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chart29.xml" ContentType="application/vnd.openxmlformats-officedocument.drawingml.chart+xml"/>
  <Override PartName="/xl/charts/chart28.xml" ContentType="application/vnd.openxmlformats-officedocument.drawingml.chart+xml"/>
  <Override PartName="/xl/charts/chart27.xml" ContentType="application/vnd.openxmlformats-officedocument.drawingml.chart+xml"/>
  <Override PartName="/xl/charts/chart26.xml" ContentType="application/vnd.openxmlformats-officedocument.drawingml.chart+xml"/>
  <Override PartName="/xl/charts/chart25.xml" ContentType="application/vnd.openxmlformats-officedocument.drawingml.chart+xml"/>
  <Override PartName="/xl/charts/chart24.xml" ContentType="application/vnd.openxmlformats-officedocument.drawingml.chart+xml"/>
  <Override PartName="/xl/charts/chart23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12.xml" ContentType="application/vnd.openxmlformats-officedocument.drawingml.chart+xml"/>
  <Override PartName="/xl/charts/chart8.xml" ContentType="application/vnd.openxmlformats-officedocument.drawingml.chart+xml"/>
  <Override PartName="/xl/charts/chart13.xml" ContentType="application/vnd.openxmlformats-officedocument.drawingml.chart+xml"/>
  <Override PartName="/xl/charts/chart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10.xml" ContentType="application/vnd.openxmlformats-officedocument.drawingml.chart+xml"/>
  <Override PartName="/xl/charts/chart34.xml" ContentType="application/vnd.openxmlformats-officedocument.drawingml.chart+xml"/>
  <Override PartName="/xl/charts/chart5.xml" ContentType="application/vnd.openxmlformats-officedocument.drawingml.chart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6.xml" ContentType="application/vnd.openxmlformats-officedocument.drawingml.chart+xml"/>
  <Override PartName="/xl/charts/chart3.xml" ContentType="application/vnd.openxmlformats-officedocument.drawingml.chart+xml"/>
  <Override PartName="/xl/charts/chart1.xml" ContentType="application/vnd.openxmlformats-officedocument.drawingml.chart+xml"/>
  <Override PartName="/xl/charts/chart35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20.xml" ContentType="application/vnd.openxmlformats-officedocument.drawingml.chart+xml"/>
  <Override PartName="/xl/charts/chart19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WEEKEND" sheetId="1" state="visible" r:id="rId3"/>
    <sheet name="DAILY" sheetId="2" state="visible" r:id="rId4"/>
  </sheets>
  <externalReferences>
    <externalReference r:id="rId5"/>
  </externalReferences>
  <definedNames>
    <definedName function="false" hidden="false" localSheetId="1" name="_xlnm.Print_Area" vbProcedure="false">DAILY!$A$1:$V$76</definedName>
    <definedName function="false" hidden="false" localSheetId="0" name="_xlnm.Print_Area" vbProcedure="false">WEEKEND!$A$1:$Q$54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<sst xmlns="http://schemas.openxmlformats.org/spreadsheetml/2006/main" count="281" uniqueCount="73">
  <si>
    <t xml:space="preserve">TODAY'S DATE:</t>
  </si>
  <si>
    <t xml:space="preserve">SENDOUT FOR:</t>
  </si>
  <si>
    <t xml:space="preserve">HI</t>
  </si>
  <si>
    <t xml:space="preserve">LOW</t>
  </si>
  <si>
    <t xml:space="preserve">MEAN</t>
  </si>
  <si>
    <t xml:space="preserve">WEATHER</t>
  </si>
  <si>
    <t xml:space="preserve">Ketra</t>
  </si>
  <si>
    <t xml:space="preserve">ELWOOD</t>
  </si>
  <si>
    <t xml:space="preserve">Chg</t>
  </si>
  <si>
    <t xml:space="preserve">PGL SENDOUT</t>
  </si>
  <si>
    <t xml:space="preserve">NS SENDOUT</t>
  </si>
  <si>
    <t xml:space="preserve">Total Burn:</t>
  </si>
  <si>
    <t xml:space="preserve">OFF SYSTEM SALES:</t>
  </si>
  <si>
    <t xml:space="preserve">OFF SYSTEM SALES</t>
  </si>
  <si>
    <t xml:space="preserve">KN Nomination:</t>
  </si>
  <si>
    <t xml:space="preserve">    ENOVATE</t>
  </si>
  <si>
    <t xml:space="preserve">INJECTIONS:</t>
  </si>
  <si>
    <t xml:space="preserve">PGL Balancing:</t>
  </si>
  <si>
    <t xml:space="preserve">    ELPASO</t>
  </si>
  <si>
    <t xml:space="preserve">     MANLOVE</t>
  </si>
  <si>
    <t xml:space="preserve">    ENA SELL-BACK</t>
  </si>
  <si>
    <t xml:space="preserve">     NGPL (DSS)</t>
  </si>
  <si>
    <t xml:space="preserve">    MISC</t>
  </si>
  <si>
    <t xml:space="preserve">     ANR </t>
  </si>
  <si>
    <t xml:space="preserve">HUB:</t>
  </si>
  <si>
    <t xml:space="preserve">     NICOR BALANCING</t>
  </si>
  <si>
    <t xml:space="preserve">     ANR (NO-NOTICE)</t>
  </si>
  <si>
    <t xml:space="preserve">     ENOVATE</t>
  </si>
  <si>
    <t xml:space="preserve"> </t>
  </si>
  <si>
    <t xml:space="preserve">TOTAL REQUIREMENTS</t>
  </si>
  <si>
    <t xml:space="preserve">ENA BASELOAD</t>
  </si>
  <si>
    <t xml:space="preserve">ENA SIQ</t>
  </si>
  <si>
    <t xml:space="preserve">     NGPL (NO-NOTICE)</t>
  </si>
  <si>
    <t xml:space="preserve">ENA DIQ</t>
  </si>
  <si>
    <t xml:space="preserve">     NGPL</t>
  </si>
  <si>
    <t xml:space="preserve">RIDER GAS</t>
  </si>
  <si>
    <t xml:space="preserve">     COENERGY</t>
  </si>
  <si>
    <t xml:space="preserve">WITHDRAWALS:</t>
  </si>
  <si>
    <t xml:space="preserve">     ENGAGE</t>
  </si>
  <si>
    <t xml:space="preserve">     NGPL DSS</t>
  </si>
  <si>
    <t xml:space="preserve">     PANHANDLE</t>
  </si>
  <si>
    <t xml:space="preserve">     NGPL DSS - AMR</t>
  </si>
  <si>
    <t xml:space="preserve">     ANR</t>
  </si>
  <si>
    <t xml:space="preserve">     FUEL</t>
  </si>
  <si>
    <t xml:space="preserve">LNG LIQUIFACTION</t>
  </si>
  <si>
    <t xml:space="preserve">LINE PACK</t>
  </si>
  <si>
    <t xml:space="preserve">CITYGATE PURCHASES</t>
  </si>
  <si>
    <t xml:space="preserve">IMBALANCES</t>
  </si>
  <si>
    <t xml:space="preserve">TOTAL SOURCES</t>
  </si>
  <si>
    <t xml:space="preserve">EL PASO BASE</t>
  </si>
  <si>
    <t xml:space="preserve">ENOVATE</t>
  </si>
  <si>
    <t xml:space="preserve">TRUNKLINE QNT</t>
  </si>
  <si>
    <t xml:space="preserve">TRUNKLINE IMBALANCE</t>
  </si>
  <si>
    <t xml:space="preserve">     MISC</t>
  </si>
  <si>
    <t xml:space="preserve">RFG</t>
  </si>
  <si>
    <t xml:space="preserve">LNG VAPORIZE</t>
  </si>
  <si>
    <t xml:space="preserve">     NGPL:  NSS1</t>
  </si>
  <si>
    <t xml:space="preserve">     NGPL:  NSS2</t>
  </si>
  <si>
    <t xml:space="preserve">     NGPL:  DSS</t>
  </si>
  <si>
    <t xml:space="preserve">TODAY'S SENDOUT FOR PGL:</t>
  </si>
  <si>
    <t xml:space="preserve">TODAY'S SENDOUT FOR NS:</t>
  </si>
  <si>
    <t xml:space="preserve">ESTIMATED PGL SENDOUT FOR: </t>
  </si>
  <si>
    <t xml:space="preserve">ESTIMATED NORTH SHORE SENDOUT FOR: </t>
  </si>
  <si>
    <t xml:space="preserve">Elwood Burn</t>
  </si>
  <si>
    <t xml:space="preserve">Elwood Injection</t>
  </si>
  <si>
    <t xml:space="preserve">Elwood Bank Balance</t>
  </si>
  <si>
    <t xml:space="preserve">Wilton Burn</t>
  </si>
  <si>
    <t xml:space="preserve">Wilton Injection</t>
  </si>
  <si>
    <t xml:space="preserve">Wilton OBA</t>
  </si>
  <si>
    <t xml:space="preserve">Gas Control Estimate</t>
  </si>
  <si>
    <t xml:space="preserve">Gas Control Actual</t>
  </si>
  <si>
    <t xml:space="preserve">Rider Gas</t>
  </si>
  <si>
    <t xml:space="preserve">Change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</si>
</sst>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[$-409]m/d/yyyy"/>
    <numFmt numFmtId="166" formatCode="0"/>
    <numFmt numFmtId="167" formatCode="_(* #,##0.00_);_(* \(#,##0.00\);_(* \-??_);_(@_)"/>
    <numFmt numFmtId="168" formatCode="_(* #,##0_);_(* \(#,##0\);_(* \-??_);_(@_)"/>
  </numFmts>
  <fonts count="1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sz val="10"/>
      <name val="Arial"/>
      <family val="2"/>
    </font>
    <font>
      <b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sz val="12"/>
      <color rgb="FF000000"/>
      <name val="Arial"/>
      <family val="2"/>
    </font>
    <font>
      <b val="true"/>
      <sz val="1.5"/>
      <color rgb="FF000000"/>
      <name val="Arial"/>
      <family val="2"/>
    </font>
    <font>
      <sz val="1.5"/>
      <color rgb="FF000000"/>
      <name val="Arial"/>
      <family val="2"/>
    </font>
    <font>
      <sz val="11.75"/>
      <color rgb="FF000000"/>
      <name val="Arial"/>
      <family val="2"/>
    </font>
    <font>
      <b val="true"/>
      <sz val="16"/>
      <color rgb="FF000000"/>
      <name val="Arial"/>
      <family val="2"/>
    </font>
    <font>
      <sz val="11"/>
      <color rgb="FF000000"/>
      <name val="Arial"/>
      <family val="2"/>
    </font>
    <font>
      <b val="true"/>
      <sz val="13.5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n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6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6.8333333333333"/>
          <c:y val="0.035246017200056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6134216833498"/>
          <c:w val="1"/>
          <c:h val="0.864655293951783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9073834"/>
        <c:axId val="47784917"/>
      </c:lineChart>
      <c:catAx>
        <c:axId val="6907383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784917"/>
        <c:crossesAt val="0"/>
        <c:auto val="1"/>
        <c:lblAlgn val="ctr"/>
        <c:lblOffset val="100"/>
        <c:noMultiLvlLbl val="0"/>
      </c:catAx>
      <c:valAx>
        <c:axId val="47784917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073834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9.6666666666667"/>
          <c:y val="0.890455378542225"/>
          <c:w val="388"/>
          <c:h val="0.1690398984914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9.3333333333333"/>
          <c:y val="0.058248847926267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8940092165899"/>
          <c:w val="1"/>
          <c:h val="0.8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3180013"/>
        <c:axId val="82162965"/>
      </c:lineChart>
      <c:catAx>
        <c:axId val="4318001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162965"/>
        <c:crossesAt val="0"/>
        <c:auto val="1"/>
        <c:lblAlgn val="ctr"/>
        <c:lblOffset val="100"/>
        <c:noMultiLvlLbl val="0"/>
      </c:catAx>
      <c:valAx>
        <c:axId val="82162965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180013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2.6666666666667"/>
          <c:y val="0.53843317972350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46"/>
          <c:y val="0.04494985673352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15759312321"/>
          <c:w val="1"/>
          <c:h val="0.861747851002865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9908175"/>
        <c:axId val="94350631"/>
      </c:lineChart>
      <c:catAx>
        <c:axId val="599081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350631"/>
        <c:crossesAt val="0"/>
        <c:auto val="1"/>
        <c:lblAlgn val="ctr"/>
        <c:lblOffset val="100"/>
        <c:noMultiLvlLbl val="0"/>
      </c:catAx>
      <c:valAx>
        <c:axId val="94350631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90817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3.8333333333333"/>
          <c:y val="0.46812320916905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7.6666666666667"/>
          <c:y val="0.044988303041209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3341731149901"/>
          <c:w val="1"/>
          <c:h val="0.9006658268850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3579449"/>
        <c:axId val="87206059"/>
      </c:lineChart>
      <c:catAx>
        <c:axId val="6357944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7206059"/>
        <c:crossesAt val="-40000"/>
        <c:auto val="1"/>
        <c:lblAlgn val="ctr"/>
        <c:lblOffset val="100"/>
        <c:noMultiLvlLbl val="0"/>
      </c:catAx>
      <c:valAx>
        <c:axId val="87206059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57944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4.8333333333333"/>
          <c:y val="0.50566852618319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6.8333333333333"/>
          <c:y val="0.035246017200056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6134216833498"/>
          <c:w val="1"/>
          <c:h val="0.864091357676583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6263337"/>
        <c:axId val="99359013"/>
      </c:lineChart>
      <c:catAx>
        <c:axId val="9626333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359013"/>
        <c:crossesAt val="0"/>
        <c:auto val="1"/>
        <c:lblAlgn val="ctr"/>
        <c:lblOffset val="100"/>
        <c:noMultiLvlLbl val="0"/>
      </c:catAx>
      <c:valAx>
        <c:axId val="99359013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263337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9.6666666666667"/>
          <c:y val="0.891583251092627"/>
          <c:w val="388"/>
          <c:h val="0.1690398984914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8.5"/>
          <c:y val="0.04626728110599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57603686635945"/>
          <c:w val="1"/>
          <c:h val="0.918709677419355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0788507"/>
        <c:axId val="94768320"/>
      </c:lineChart>
      <c:catAx>
        <c:axId val="907885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4768320"/>
        <c:crossesAt val="0"/>
        <c:auto val="1"/>
        <c:lblAlgn val="ctr"/>
        <c:lblOffset val="100"/>
        <c:noMultiLvlLbl val="0"/>
      </c:catAx>
      <c:valAx>
        <c:axId val="9476832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788507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7.6666666666667"/>
          <c:y val="0.0527188940092166"/>
          <c:w val="446.833333333333"/>
          <c:h val="0.27317972350230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9515431"/>
        <c:axId val="50774083"/>
      </c:lineChart>
      <c:catAx>
        <c:axId val="5951543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774083"/>
        <c:crossesAt val="0"/>
        <c:auto val="1"/>
        <c:lblAlgn val="ctr"/>
        <c:lblOffset val="100"/>
        <c:noMultiLvlLbl val="0"/>
      </c:catAx>
      <c:valAx>
        <c:axId val="50774083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9515431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72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9.3333333333333"/>
          <c:y val="0.058248847926267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8940092165899"/>
          <c:w val="1"/>
          <c:h val="0.8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3221444"/>
        <c:axId val="82531295"/>
      </c:lineChart>
      <c:catAx>
        <c:axId val="132214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531295"/>
        <c:crossesAt val="0"/>
        <c:auto val="1"/>
        <c:lblAlgn val="ctr"/>
        <c:lblOffset val="100"/>
        <c:noMultiLvlLbl val="0"/>
      </c:catAx>
      <c:valAx>
        <c:axId val="82531295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3221444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2.6666666666667"/>
          <c:y val="0.53843317972350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46"/>
          <c:y val="0.04494985673352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792263610315"/>
          <c:w val="1"/>
          <c:h val="0.864792263610315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5122316"/>
        <c:axId val="62444183"/>
      </c:lineChart>
      <c:catAx>
        <c:axId val="751223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444183"/>
        <c:crossesAt val="0"/>
        <c:auto val="1"/>
        <c:lblAlgn val="ctr"/>
        <c:lblOffset val="100"/>
        <c:noMultiLvlLbl val="0"/>
      </c:catAx>
      <c:valAx>
        <c:axId val="62444183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12231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113.166666666667"/>
          <c:y val="0.36425501432664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7.6666666666667"/>
          <c:y val="0.044988303041209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3341731149901"/>
          <c:w val="1"/>
          <c:h val="0.9006658268850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8238441"/>
        <c:axId val="8586613"/>
      </c:lineChart>
      <c:catAx>
        <c:axId val="6823844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86613"/>
        <c:crossesAt val="-40000"/>
        <c:auto val="1"/>
        <c:lblAlgn val="ctr"/>
        <c:lblOffset val="100"/>
        <c:noMultiLvlLbl val="0"/>
      </c:catAx>
      <c:valAx>
        <c:axId val="8586613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23844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4.8333333333333"/>
          <c:y val="0.50566852618319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6.8333333333333"/>
          <c:y val="0.035246017200056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6134216833498"/>
          <c:w val="1"/>
          <c:h val="0.86648808684618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6602299"/>
        <c:axId val="66848247"/>
      </c:lineChart>
      <c:catAx>
        <c:axId val="7660229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6848247"/>
        <c:crossesAt val="0"/>
        <c:auto val="1"/>
        <c:lblAlgn val="ctr"/>
        <c:lblOffset val="100"/>
        <c:noMultiLvlLbl val="0"/>
      </c:catAx>
      <c:valAx>
        <c:axId val="66848247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602299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9.6666666666667"/>
          <c:y val="0.889186521923023"/>
          <c:w val="388"/>
          <c:h val="0.1690398984914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8.5"/>
          <c:y val="0.04626728110599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57603686635945"/>
          <c:w val="1"/>
          <c:h val="0.918709677419355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0219361"/>
        <c:axId val="96788175"/>
      </c:lineChart>
      <c:catAx>
        <c:axId val="7021936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788175"/>
        <c:crossesAt val="0"/>
        <c:auto val="1"/>
        <c:lblAlgn val="ctr"/>
        <c:lblOffset val="100"/>
        <c:noMultiLvlLbl val="0"/>
      </c:catAx>
      <c:valAx>
        <c:axId val="9678817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21936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7.6666666666667"/>
          <c:y val="0.0527188940092166"/>
          <c:w val="446.833333333333"/>
          <c:h val="0.27317972350230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8.5"/>
          <c:y val="0.04626728110599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57603686635945"/>
          <c:w val="1"/>
          <c:h val="0.918709677419355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4386185"/>
        <c:axId val="62847030"/>
      </c:lineChart>
      <c:catAx>
        <c:axId val="6438618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2847030"/>
        <c:crossesAt val="0"/>
        <c:auto val="1"/>
        <c:lblAlgn val="ctr"/>
        <c:lblOffset val="100"/>
        <c:noMultiLvlLbl val="0"/>
      </c:catAx>
      <c:valAx>
        <c:axId val="6284703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38618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7.6666666666667"/>
          <c:y val="0.0473732718894009"/>
          <c:w val="446.833333333333"/>
          <c:h val="0.27317972350230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7662337662338"/>
          <c:w val="1"/>
          <c:h val="0.83961038961039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6421412"/>
        <c:axId val="29228407"/>
      </c:lineChart>
      <c:catAx>
        <c:axId val="4642141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228407"/>
        <c:crossesAt val="0"/>
        <c:auto val="1"/>
        <c:lblAlgn val="ctr"/>
        <c:lblOffset val="100"/>
        <c:noMultiLvlLbl val="0"/>
      </c:catAx>
      <c:valAx>
        <c:axId val="29228407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421412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8.8333333333333"/>
          <c:y val="0.27376623376623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9.3333333333333"/>
          <c:y val="0.058248847926267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8940092165899"/>
          <c:w val="1"/>
          <c:h val="0.8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8170896"/>
        <c:axId val="4238253"/>
      </c:lineChart>
      <c:catAx>
        <c:axId val="38170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38253"/>
        <c:crossesAt val="0"/>
        <c:auto val="1"/>
        <c:lblAlgn val="ctr"/>
        <c:lblOffset val="100"/>
        <c:noMultiLvlLbl val="0"/>
      </c:catAx>
      <c:valAx>
        <c:axId val="4238253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170896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2.6666666666667"/>
          <c:y val="0.54248847926267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46"/>
          <c:y val="0.04494985673352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4792263610315"/>
          <c:w val="1"/>
          <c:h val="0.864792263610315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9566201"/>
        <c:axId val="23234495"/>
      </c:lineChart>
      <c:catAx>
        <c:axId val="7956620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3234495"/>
        <c:crossesAt val="0"/>
        <c:auto val="1"/>
        <c:lblAlgn val="ctr"/>
        <c:lblOffset val="100"/>
        <c:noMultiLvlLbl val="0"/>
      </c:catAx>
      <c:valAx>
        <c:axId val="23234495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56620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3.8333333333333"/>
          <c:y val="0.36425501432664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7.6666666666667"/>
          <c:y val="0.044988303041209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3341731149901"/>
          <c:w val="1"/>
          <c:h val="0.9006658268850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4061825"/>
        <c:axId val="57344827"/>
      </c:lineChart>
      <c:catAx>
        <c:axId val="1406182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344827"/>
        <c:crossesAt val="-40000"/>
        <c:auto val="1"/>
        <c:lblAlgn val="ctr"/>
        <c:lblOffset val="100"/>
        <c:noMultiLvlLbl val="0"/>
      </c:catAx>
      <c:valAx>
        <c:axId val="57344827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061825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4.8333333333333"/>
          <c:y val="0.50674824545618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6.8333333333333"/>
          <c:y val="0.035250987027636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16525662718556"/>
          <c:w val="1"/>
          <c:h val="0.86604624929498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2366045"/>
        <c:axId val="44813690"/>
      </c:lineChart>
      <c:catAx>
        <c:axId val="42366045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813690"/>
        <c:crossesAt val="0"/>
        <c:auto val="1"/>
        <c:lblAlgn val="ctr"/>
        <c:lblOffset val="100"/>
        <c:noMultiLvlLbl val="0"/>
      </c:catAx>
      <c:valAx>
        <c:axId val="44813690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366045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9.6666666666667"/>
          <c:y val="0.891567963902989"/>
          <c:w val="388"/>
          <c:h val="0.16906373378454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8.5"/>
          <c:y val="0.039354029476324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66164941988084"/>
          <c:w val="1"/>
          <c:h val="0.928347444339918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9635838"/>
        <c:axId val="36461097"/>
      </c:lineChart>
      <c:catAx>
        <c:axId val="1963583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6461097"/>
        <c:crossesAt val="0"/>
        <c:auto val="1"/>
        <c:lblAlgn val="ctr"/>
        <c:lblOffset val="100"/>
        <c:noMultiLvlLbl val="0"/>
      </c:catAx>
      <c:valAx>
        <c:axId val="36461097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63583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7.6666666666667"/>
          <c:y val="0.0525243022891189"/>
          <c:w val="446.833333333333"/>
          <c:h val="0.232361241768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5844155844156"/>
          <c:w val="1"/>
          <c:h val="0.841298701298701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0983793"/>
        <c:axId val="90829710"/>
      </c:lineChart>
      <c:catAx>
        <c:axId val="50983793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829710"/>
        <c:crossesAt val="0"/>
        <c:auto val="1"/>
        <c:lblAlgn val="ctr"/>
        <c:lblOffset val="100"/>
        <c:noMultiLvlLbl val="0"/>
      </c:catAx>
      <c:valAx>
        <c:axId val="90829710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983793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68.8333333333333"/>
          <c:y val="0.27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9.3333333333333"/>
          <c:y val="0.054719347757917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3148322358106"/>
          <c:w val="1"/>
          <c:h val="0.848541862652869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4196535"/>
        <c:axId val="38141592"/>
      </c:lineChart>
      <c:catAx>
        <c:axId val="241965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141592"/>
        <c:crossesAt val="0"/>
        <c:auto val="1"/>
        <c:lblAlgn val="ctr"/>
        <c:lblOffset val="100"/>
        <c:noMultiLvlLbl val="0"/>
      </c:catAx>
      <c:valAx>
        <c:axId val="38141592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196535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2.6666666666667"/>
          <c:y val="0.6044214487300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46"/>
          <c:y val="0.045388788426763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500904159132"/>
          <c:w val="1"/>
          <c:h val="0.864737793851718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9977109"/>
        <c:axId val="14081726"/>
      </c:lineChart>
      <c:catAx>
        <c:axId val="7997710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081726"/>
        <c:crossesAt val="0"/>
        <c:auto val="1"/>
        <c:lblAlgn val="ctr"/>
        <c:lblOffset val="100"/>
        <c:noMultiLvlLbl val="0"/>
      </c:catAx>
      <c:valAx>
        <c:axId val="14081726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977109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113.166666666667"/>
          <c:y val="0.35931283905967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6198854"/>
        <c:axId val="43082495"/>
      </c:lineChart>
      <c:catAx>
        <c:axId val="9619885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082495"/>
        <c:crossesAt val="0"/>
        <c:auto val="1"/>
        <c:lblAlgn val="ctr"/>
        <c:lblOffset val="100"/>
        <c:noMultiLvlLbl val="0"/>
      </c:catAx>
      <c:valAx>
        <c:axId val="43082495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6198854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72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7.6666666666667"/>
          <c:y val="0.045421511627907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79287790697674"/>
          <c:w val="1"/>
          <c:h val="0.902071220930233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317781"/>
        <c:axId val="47172140"/>
      </c:lineChart>
      <c:catAx>
        <c:axId val="431778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172140"/>
        <c:crossesAt val="-40000"/>
        <c:auto val="1"/>
        <c:lblAlgn val="ctr"/>
        <c:lblOffset val="100"/>
        <c:noMultiLvlLbl val="0"/>
      </c:catAx>
      <c:valAx>
        <c:axId val="47172140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1778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4.8333333333333"/>
          <c:y val="0.50199854651162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0.449805201642624"/>
          <c:y val="0.026645435244161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00189533536906"/>
          <c:y val="0.0623142250530786"/>
          <c:w val="0.980878172054333"/>
          <c:h val="0.820063694267516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12/1/2000</c:v>
                </c:pt>
                <c:pt idx="1">
                  <c:v>12/2/2000</c:v>
                </c:pt>
                <c:pt idx="2">
                  <c:v>12/3/2000</c:v>
                </c:pt>
                <c:pt idx="3">
                  <c:v>12/4/2000</c:v>
                </c:pt>
                <c:pt idx="4">
                  <c:v>12/5/2000</c:v>
                </c:pt>
                <c:pt idx="5">
                  <c:v>12/6/2000</c:v>
                </c:pt>
                <c:pt idx="6">
                  <c:v>12/7/2000</c:v>
                </c:pt>
                <c:pt idx="7">
                  <c:v>12/8/2000</c:v>
                </c:pt>
                <c:pt idx="8">
                  <c:v>12/9/2000</c:v>
                </c:pt>
                <c:pt idx="9">
                  <c:v>12/10/2000</c:v>
                </c:pt>
                <c:pt idx="10">
                  <c:v>12/11/2000</c:v>
                </c:pt>
                <c:pt idx="11">
                  <c:v>12/12/2000</c:v>
                </c:pt>
                <c:pt idx="12">
                  <c:v>12/13/2000</c:v>
                </c:pt>
                <c:pt idx="13">
                  <c:v>12/14/2000</c:v>
                </c:pt>
                <c:pt idx="14">
                  <c:v>12/15/2000</c:v>
                </c:pt>
                <c:pt idx="15">
                  <c:v>12/16/2000</c:v>
                </c:pt>
                <c:pt idx="16">
                  <c:v>12/17/2000</c:v>
                </c:pt>
                <c:pt idx="17">
                  <c:v>12/18/2000</c:v>
                </c:pt>
                <c:pt idx="18">
                  <c:v>12/19/2000</c:v>
                </c:pt>
                <c:pt idx="19">
                  <c:v>12/20/2000</c:v>
                </c:pt>
                <c:pt idx="20">
                  <c:v>12/21/2000</c:v>
                </c:pt>
                <c:pt idx="21">
                  <c:v>12/22/2000</c:v>
                </c:pt>
                <c:pt idx="22">
                  <c:v>12/23/2000</c:v>
                </c:pt>
                <c:pt idx="23">
                  <c:v>12/24/2000</c:v>
                </c:pt>
                <c:pt idx="24">
                  <c:v>12/25/2000</c:v>
                </c:pt>
                <c:pt idx="25">
                  <c:v>12/26/2000</c:v>
                </c:pt>
                <c:pt idx="26">
                  <c:v>12/27/2000</c:v>
                </c:pt>
                <c:pt idx="27">
                  <c:v>12/28/2000</c:v>
                </c:pt>
                <c:pt idx="28">
                  <c:v>12/29/2000</c:v>
                </c:pt>
                <c:pt idx="29">
                  <c:v>12/30/2000</c:v>
                </c:pt>
                <c:pt idx="30">
                  <c:v>12/31/2000</c:v>
                </c:pt>
              </c:strCache>
            </c:strRef>
          </c:cat>
          <c:val>
            <c:numRef>
              <c:f>DAILY!$AG$2:$AG$32</c:f>
              <c:numCache>
                <c:formatCode>_(* #,##0_);_(* \(#,##0\);_(* \-??_);_(@_)</c:formatCode>
                <c:ptCount val="31"/>
                <c:pt idx="0">
                  <c:v>1158000</c:v>
                </c:pt>
                <c:pt idx="1">
                  <c:v>1253000</c:v>
                </c:pt>
                <c:pt idx="2">
                  <c:v>1170000</c:v>
                </c:pt>
                <c:pt idx="3">
                  <c:v>1340000</c:v>
                </c:pt>
                <c:pt idx="4">
                  <c:v>1655000</c:v>
                </c:pt>
                <c:pt idx="5">
                  <c:v>1570000</c:v>
                </c:pt>
                <c:pt idx="6">
                  <c:v>1450000</c:v>
                </c:pt>
                <c:pt idx="7">
                  <c:v>1510000</c:v>
                </c:pt>
                <c:pt idx="8">
                  <c:v>1280000</c:v>
                </c:pt>
                <c:pt idx="9">
                  <c:v>1046000</c:v>
                </c:pt>
                <c:pt idx="10">
                  <c:v>1276000</c:v>
                </c:pt>
                <c:pt idx="11">
                  <c:v>1564000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DAILY!$AF$2:$AF$32</c:f>
              <c:strCache>
                <c:ptCount val="31"/>
                <c:pt idx="0">
                  <c:v>12/1/2000</c:v>
                </c:pt>
                <c:pt idx="1">
                  <c:v>12/2/2000</c:v>
                </c:pt>
                <c:pt idx="2">
                  <c:v>12/3/2000</c:v>
                </c:pt>
                <c:pt idx="3">
                  <c:v>12/4/2000</c:v>
                </c:pt>
                <c:pt idx="4">
                  <c:v>12/5/2000</c:v>
                </c:pt>
                <c:pt idx="5">
                  <c:v>12/6/2000</c:v>
                </c:pt>
                <c:pt idx="6">
                  <c:v>12/7/2000</c:v>
                </c:pt>
                <c:pt idx="7">
                  <c:v>12/8/2000</c:v>
                </c:pt>
                <c:pt idx="8">
                  <c:v>12/9/2000</c:v>
                </c:pt>
                <c:pt idx="9">
                  <c:v>12/10/2000</c:v>
                </c:pt>
                <c:pt idx="10">
                  <c:v>12/11/2000</c:v>
                </c:pt>
                <c:pt idx="11">
                  <c:v>12/12/2000</c:v>
                </c:pt>
                <c:pt idx="12">
                  <c:v>12/13/2000</c:v>
                </c:pt>
                <c:pt idx="13">
                  <c:v>12/14/2000</c:v>
                </c:pt>
                <c:pt idx="14">
                  <c:v>12/15/2000</c:v>
                </c:pt>
                <c:pt idx="15">
                  <c:v>12/16/2000</c:v>
                </c:pt>
                <c:pt idx="16">
                  <c:v>12/17/2000</c:v>
                </c:pt>
                <c:pt idx="17">
                  <c:v>12/18/2000</c:v>
                </c:pt>
                <c:pt idx="18">
                  <c:v>12/19/2000</c:v>
                </c:pt>
                <c:pt idx="19">
                  <c:v>12/20/2000</c:v>
                </c:pt>
                <c:pt idx="20">
                  <c:v>12/21/2000</c:v>
                </c:pt>
                <c:pt idx="21">
                  <c:v>12/22/2000</c:v>
                </c:pt>
                <c:pt idx="22">
                  <c:v>12/23/2000</c:v>
                </c:pt>
                <c:pt idx="23">
                  <c:v>12/24/2000</c:v>
                </c:pt>
                <c:pt idx="24">
                  <c:v>12/25/2000</c:v>
                </c:pt>
                <c:pt idx="25">
                  <c:v>12/26/2000</c:v>
                </c:pt>
                <c:pt idx="26">
                  <c:v>12/27/2000</c:v>
                </c:pt>
                <c:pt idx="27">
                  <c:v>12/28/2000</c:v>
                </c:pt>
                <c:pt idx="28">
                  <c:v>12/29/2000</c:v>
                </c:pt>
                <c:pt idx="29">
                  <c:v>12/30/2000</c:v>
                </c:pt>
                <c:pt idx="30">
                  <c:v>12/31/2000</c:v>
                </c:pt>
              </c:strCache>
            </c:strRef>
          </c:cat>
          <c:val>
            <c:numRef>
              <c:f>DAILY!$AH$2:$AH$32</c:f>
              <c:numCache>
                <c:formatCode>_(* #,##0_);_(* \(#,##0\);_(* \-??_);_(@_)</c:formatCode>
                <c:ptCount val="31"/>
                <c:pt idx="0">
                  <c:v>1164438</c:v>
                </c:pt>
                <c:pt idx="1">
                  <c:v>1162572</c:v>
                </c:pt>
                <c:pt idx="2">
                  <c:v>1186205</c:v>
                </c:pt>
                <c:pt idx="3">
                  <c:v>1318243</c:v>
                </c:pt>
                <c:pt idx="4">
                  <c:v>1636584</c:v>
                </c:pt>
                <c:pt idx="5">
                  <c:v>1608793</c:v>
                </c:pt>
                <c:pt idx="6">
                  <c:v>1365000</c:v>
                </c:pt>
                <c:pt idx="7">
                  <c:v>1510000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3377377"/>
        <c:axId val="51512235"/>
      </c:lineChart>
      <c:catAx>
        <c:axId val="53377377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1512235"/>
        <c:crossesAt val="0"/>
        <c:auto val="1"/>
        <c:lblAlgn val="ctr"/>
        <c:lblOffset val="100"/>
        <c:noMultiLvlLbl val="0"/>
      </c:catAx>
      <c:valAx>
        <c:axId val="51512235"/>
        <c:scaling>
          <c:orientation val="minMax"/>
          <c:max val="1750000"/>
          <c:min val="3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377377"/>
        <c:crossesAt val="1"/>
        <c:crossBetween val="midCat"/>
        <c:majorUnit val="100000"/>
        <c:minorUnit val="10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41560492787196"/>
          <c:y val="0.85276008492569"/>
          <c:w val="0.0497841423607455"/>
          <c:h val="0.12728237791932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0.3891236349668"/>
          <c:y val="0.03020457280385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7189266311804"/>
          <c:y val="0.0622141997593261"/>
          <c:w val="0.950282609888602"/>
          <c:h val="0.905535499398315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12/1/2000</c:v>
                </c:pt>
                <c:pt idx="1">
                  <c:v>12/2/2000</c:v>
                </c:pt>
                <c:pt idx="2">
                  <c:v>12/3/2000</c:v>
                </c:pt>
                <c:pt idx="3">
                  <c:v>12/4/2000</c:v>
                </c:pt>
                <c:pt idx="4">
                  <c:v>12/5/2000</c:v>
                </c:pt>
                <c:pt idx="5">
                  <c:v>12/6/2000</c:v>
                </c:pt>
                <c:pt idx="6">
                  <c:v>12/7/2000</c:v>
                </c:pt>
                <c:pt idx="7">
                  <c:v>12/8/2000</c:v>
                </c:pt>
                <c:pt idx="8">
                  <c:v>12/9/2000</c:v>
                </c:pt>
                <c:pt idx="9">
                  <c:v>12/10/2000</c:v>
                </c:pt>
                <c:pt idx="10">
                  <c:v>12/11/2000</c:v>
                </c:pt>
                <c:pt idx="11">
                  <c:v>12/12/2000</c:v>
                </c:pt>
                <c:pt idx="12">
                  <c:v>12/13/2000</c:v>
                </c:pt>
                <c:pt idx="13">
                  <c:v>12/14/2000</c:v>
                </c:pt>
                <c:pt idx="14">
                  <c:v>12/15/2000</c:v>
                </c:pt>
                <c:pt idx="15">
                  <c:v>12/16/2000</c:v>
                </c:pt>
                <c:pt idx="16">
                  <c:v>12/17/2000</c:v>
                </c:pt>
                <c:pt idx="17">
                  <c:v>12/18/2000</c:v>
                </c:pt>
                <c:pt idx="18">
                  <c:v>12/19/2000</c:v>
                </c:pt>
                <c:pt idx="19">
                  <c:v>12/20/2000</c:v>
                </c:pt>
                <c:pt idx="20">
                  <c:v>12/21/2000</c:v>
                </c:pt>
                <c:pt idx="21">
                  <c:v>12/22/2000</c:v>
                </c:pt>
                <c:pt idx="22">
                  <c:v>12/23/2000</c:v>
                </c:pt>
                <c:pt idx="23">
                  <c:v>12/24/2000</c:v>
                </c:pt>
                <c:pt idx="24">
                  <c:v>12/25/2000</c:v>
                </c:pt>
                <c:pt idx="25">
                  <c:v>12/26/2000</c:v>
                </c:pt>
                <c:pt idx="26">
                  <c:v>12/27/2000</c:v>
                </c:pt>
                <c:pt idx="27">
                  <c:v>12/28/2000</c:v>
                </c:pt>
                <c:pt idx="28">
                  <c:v>12/29/2000</c:v>
                </c:pt>
                <c:pt idx="29">
                  <c:v>12/30/2000</c:v>
                </c:pt>
                <c:pt idx="30">
                  <c:v>12/31/2000</c:v>
                </c:pt>
              </c:strCache>
            </c:strRef>
          </c:cat>
          <c:val>
            <c:numRef>
              <c:f>DAILY!$X$2:$X$32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16080</c:v>
                </c:pt>
                <c:pt idx="4">
                  <c:v>0</c:v>
                </c:pt>
                <c:pt idx="5">
                  <c:v>37000</c:v>
                </c:pt>
                <c:pt idx="6">
                  <c:v>12600</c:v>
                </c:pt>
                <c:pt idx="7">
                  <c:v>50552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5413631"/>
        <c:axId val="10302820"/>
      </c:lineChart>
      <c:catAx>
        <c:axId val="35413631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302820"/>
        <c:crossesAt val="0"/>
        <c:auto val="1"/>
        <c:lblAlgn val="ctr"/>
        <c:lblOffset val="100"/>
        <c:noMultiLvlLbl val="0"/>
      </c:catAx>
      <c:valAx>
        <c:axId val="10302820"/>
        <c:scaling>
          <c:orientation val="minMax"/>
          <c:max val="20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413631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01240190967459"/>
          <c:y val="0.921780986762936"/>
          <c:w val="0.176151017944356"/>
          <c:h val="0.050902527075812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527392781047613"/>
          <c:y val="0.0781928757602085"/>
          <c:w val="0.986308883404004"/>
          <c:h val="0.888683753258037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DAILY!$AJ$2:$AJ$32</c:f>
              <c:strCache>
                <c:ptCount val="31"/>
                <c:pt idx="0">
                  <c:v>12/1/2000</c:v>
                </c:pt>
                <c:pt idx="1">
                  <c:v>12/2/2000</c:v>
                </c:pt>
                <c:pt idx="2">
                  <c:v>12/3/2000</c:v>
                </c:pt>
                <c:pt idx="3">
                  <c:v>12/4/2000</c:v>
                </c:pt>
                <c:pt idx="4">
                  <c:v>12/5/2000</c:v>
                </c:pt>
                <c:pt idx="5">
                  <c:v>12/6/2000</c:v>
                </c:pt>
                <c:pt idx="6">
                  <c:v>12/7/2000</c:v>
                </c:pt>
                <c:pt idx="7">
                  <c:v>12/8/2000</c:v>
                </c:pt>
                <c:pt idx="8">
                  <c:v>12/9/2000</c:v>
                </c:pt>
                <c:pt idx="9">
                  <c:v>12/10/2000</c:v>
                </c:pt>
                <c:pt idx="10">
                  <c:v>12/11/2000</c:v>
                </c:pt>
                <c:pt idx="11">
                  <c:v>12/12/2000</c:v>
                </c:pt>
                <c:pt idx="12">
                  <c:v>12/13/2000</c:v>
                </c:pt>
                <c:pt idx="13">
                  <c:v>12/14/2000</c:v>
                </c:pt>
                <c:pt idx="14">
                  <c:v>12/15/2000</c:v>
                </c:pt>
                <c:pt idx="15">
                  <c:v>12/16/2000</c:v>
                </c:pt>
                <c:pt idx="16">
                  <c:v>12/17/2000</c:v>
                </c:pt>
                <c:pt idx="17">
                  <c:v>12/18/2000</c:v>
                </c:pt>
                <c:pt idx="18">
                  <c:v>12/19/2000</c:v>
                </c:pt>
                <c:pt idx="19">
                  <c:v>12/20/2000</c:v>
                </c:pt>
                <c:pt idx="20">
                  <c:v>12/21/2000</c:v>
                </c:pt>
                <c:pt idx="21">
                  <c:v>12/22/2000</c:v>
                </c:pt>
                <c:pt idx="22">
                  <c:v>12/23/2000</c:v>
                </c:pt>
                <c:pt idx="23">
                  <c:v>12/24/2000</c:v>
                </c:pt>
                <c:pt idx="24">
                  <c:v>12/25/2000</c:v>
                </c:pt>
                <c:pt idx="25">
                  <c:v>12/26/2000</c:v>
                </c:pt>
                <c:pt idx="26">
                  <c:v>12/27/2000</c:v>
                </c:pt>
                <c:pt idx="27">
                  <c:v>12/28/2000</c:v>
                </c:pt>
                <c:pt idx="28">
                  <c:v>12/29/2000</c:v>
                </c:pt>
                <c:pt idx="29">
                  <c:v>12/30/2000</c:v>
                </c:pt>
                <c:pt idx="30">
                  <c:v>12/31/2000</c:v>
                </c:pt>
              </c:strCache>
            </c:strRef>
          </c:cat>
          <c:val>
            <c:numRef>
              <c:f>DAILY!$AK$2:$AK$32</c:f>
              <c:numCache>
                <c:formatCode>_(* #,##0_);_(* \(#,##0\);_(* \-??_);_(@_)</c:formatCode>
                <c:ptCount val="31"/>
                <c:pt idx="0">
                  <c:v>415907</c:v>
                </c:pt>
                <c:pt idx="1">
                  <c:v>421189</c:v>
                </c:pt>
                <c:pt idx="2">
                  <c:v>421175</c:v>
                </c:pt>
                <c:pt idx="3">
                  <c:v>420667</c:v>
                </c:pt>
                <c:pt idx="4">
                  <c:v>429147</c:v>
                </c:pt>
                <c:pt idx="5">
                  <c:v>404169</c:v>
                </c:pt>
                <c:pt idx="6">
                  <c:v>428391</c:v>
                </c:pt>
                <c:pt idx="7">
                  <c:v>463251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8422281"/>
        <c:axId val="43732290"/>
      </c:lineChart>
      <c:catAx>
        <c:axId val="68422281"/>
        <c:scaling>
          <c:orientation val="minMax"/>
        </c:scaling>
        <c:delete val="0"/>
        <c:axPos val="b"/>
        <c:numFmt formatCode="[$-409]m/d/yyyy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732290"/>
        <c:crossesAt val="0"/>
        <c:auto val="1"/>
        <c:lblAlgn val="ctr"/>
        <c:lblOffset val="100"/>
        <c:noMultiLvlLbl val="0"/>
      </c:catAx>
      <c:valAx>
        <c:axId val="43732290"/>
        <c:scaling>
          <c:orientation val="minMax"/>
          <c:max val="500000"/>
          <c:min val="100000"/>
        </c:scaling>
        <c:delete val="0"/>
        <c:axPos val="l"/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422281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950193025757864"/>
          <c:y val="0.91800608166811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0.330768030783631"/>
          <c:y val="0.046658566221142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8237741147106"/>
          <c:y val="0.0913730255164034"/>
          <c:w val="0.948780614632624"/>
          <c:h val="0.86767922235723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12/1/2000</c:v>
                </c:pt>
                <c:pt idx="1">
                  <c:v>12/2/2000</c:v>
                </c:pt>
                <c:pt idx="2">
                  <c:v>12/3/2000</c:v>
                </c:pt>
                <c:pt idx="3">
                  <c:v>12/4/2000</c:v>
                </c:pt>
                <c:pt idx="4">
                  <c:v>12/5/2000</c:v>
                </c:pt>
                <c:pt idx="5">
                  <c:v>12/6/2000</c:v>
                </c:pt>
                <c:pt idx="6">
                  <c:v>12/7/2000</c:v>
                </c:pt>
                <c:pt idx="7">
                  <c:v>12/8/2000</c:v>
                </c:pt>
                <c:pt idx="8">
                  <c:v>12/9/2000</c:v>
                </c:pt>
                <c:pt idx="9">
                  <c:v>12/10/2000</c:v>
                </c:pt>
                <c:pt idx="10">
                  <c:v>12/11/2000</c:v>
                </c:pt>
                <c:pt idx="11">
                  <c:v>12/12/2000</c:v>
                </c:pt>
                <c:pt idx="12">
                  <c:v>12/13/2000</c:v>
                </c:pt>
                <c:pt idx="13">
                  <c:v>12/14/2000</c:v>
                </c:pt>
                <c:pt idx="14">
                  <c:v>12/15/2000</c:v>
                </c:pt>
                <c:pt idx="15">
                  <c:v>12/16/2000</c:v>
                </c:pt>
                <c:pt idx="16">
                  <c:v>12/17/2000</c:v>
                </c:pt>
                <c:pt idx="17">
                  <c:v>12/18/2000</c:v>
                </c:pt>
                <c:pt idx="18">
                  <c:v>12/19/2000</c:v>
                </c:pt>
                <c:pt idx="19">
                  <c:v>12/20/2000</c:v>
                </c:pt>
                <c:pt idx="20">
                  <c:v>12/21/2000</c:v>
                </c:pt>
                <c:pt idx="21">
                  <c:v>12/22/2000</c:v>
                </c:pt>
                <c:pt idx="22">
                  <c:v>12/23/2000</c:v>
                </c:pt>
                <c:pt idx="23">
                  <c:v>12/24/2000</c:v>
                </c:pt>
                <c:pt idx="24">
                  <c:v>12/25/2000</c:v>
                </c:pt>
                <c:pt idx="25">
                  <c:v>12/26/2000</c:v>
                </c:pt>
                <c:pt idx="26">
                  <c:v>12/27/2000</c:v>
                </c:pt>
                <c:pt idx="27">
                  <c:v>12/28/2000</c:v>
                </c:pt>
                <c:pt idx="28">
                  <c:v>12/29/2000</c:v>
                </c:pt>
                <c:pt idx="29">
                  <c:v>12/30/2000</c:v>
                </c:pt>
                <c:pt idx="30">
                  <c:v>12/31/2000</c:v>
                </c:pt>
              </c:strCache>
            </c:strRef>
          </c:cat>
          <c:val>
            <c:numRef>
              <c:f>DAILY!$Z$2:$Z$32</c:f>
              <c:numCache>
                <c:formatCode>0</c:formatCode>
                <c:ptCount val="31"/>
                <c:pt idx="0">
                  <c:v>495450.4192</c:v>
                </c:pt>
                <c:pt idx="1">
                  <c:v>495450.4192</c:v>
                </c:pt>
                <c:pt idx="2">
                  <c:v>495450.4192</c:v>
                </c:pt>
                <c:pt idx="3">
                  <c:v>479370.4192</c:v>
                </c:pt>
                <c:pt idx="4">
                  <c:v>499370.4192</c:v>
                </c:pt>
                <c:pt idx="5">
                  <c:v>462370.4192</c:v>
                </c:pt>
                <c:pt idx="6">
                  <c:v>449770.4192</c:v>
                </c:pt>
                <c:pt idx="7">
                  <c:v>399218.4192</c:v>
                </c:pt>
                <c:pt idx="8">
                  <c:v>399218.4192</c:v>
                </c:pt>
                <c:pt idx="9">
                  <c:v>399218.4192</c:v>
                </c:pt>
                <c:pt idx="10">
                  <c:v>399218.4192</c:v>
                </c:pt>
                <c:pt idx="11">
                  <c:v>399218.4192</c:v>
                </c:pt>
                <c:pt idx="12">
                  <c:v>399218.4192</c:v>
                </c:pt>
                <c:pt idx="13">
                  <c:v>399218.4192</c:v>
                </c:pt>
                <c:pt idx="14">
                  <c:v>399218.4192</c:v>
                </c:pt>
                <c:pt idx="15">
                  <c:v>399218.4192</c:v>
                </c:pt>
                <c:pt idx="16">
                  <c:v>399218.4192</c:v>
                </c:pt>
                <c:pt idx="17">
                  <c:v>399218.4192</c:v>
                </c:pt>
                <c:pt idx="18">
                  <c:v>399218.4192</c:v>
                </c:pt>
                <c:pt idx="19">
                  <c:v>399218.4192</c:v>
                </c:pt>
                <c:pt idx="20">
                  <c:v>399218.4192</c:v>
                </c:pt>
                <c:pt idx="21">
                  <c:v>399218.4192</c:v>
                </c:pt>
                <c:pt idx="22">
                  <c:v>399218.4192</c:v>
                </c:pt>
                <c:pt idx="23">
                  <c:v>399218.4192</c:v>
                </c:pt>
                <c:pt idx="24">
                  <c:v>399218.4192</c:v>
                </c:pt>
                <c:pt idx="25">
                  <c:v>399218.4192</c:v>
                </c:pt>
                <c:pt idx="26">
                  <c:v>399218.4192</c:v>
                </c:pt>
                <c:pt idx="27">
                  <c:v>399218.4192</c:v>
                </c:pt>
                <c:pt idx="28">
                  <c:v>399218.4192</c:v>
                </c:pt>
                <c:pt idx="29">
                  <c:v>399218.4192</c:v>
                </c:pt>
                <c:pt idx="30">
                  <c:v>399218.4192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8236468"/>
        <c:axId val="88350596"/>
      </c:lineChart>
      <c:catAx>
        <c:axId val="28236468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8350596"/>
        <c:crossesAt val="0"/>
        <c:auto val="1"/>
        <c:lblAlgn val="ctr"/>
        <c:lblOffset val="100"/>
        <c:noMultiLvlLbl val="0"/>
      </c:catAx>
      <c:valAx>
        <c:axId val="88350596"/>
        <c:scaling>
          <c:orientation val="minMax"/>
          <c:min val="50000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236468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58925692891685"/>
          <c:y val="0.916767922235723"/>
          <c:w val="0.117414591024908"/>
          <c:h val="0.0557715674362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0.401586433260394"/>
          <c:y val="0.033959105584120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6761487964989"/>
          <c:y val="0.0695922515843597"/>
          <c:w val="0.954212253829322"/>
          <c:h val="0.894655028099964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12/1/2000</c:v>
                </c:pt>
                <c:pt idx="1">
                  <c:v>12/2/2000</c:v>
                </c:pt>
                <c:pt idx="2">
                  <c:v>12/3/2000</c:v>
                </c:pt>
                <c:pt idx="3">
                  <c:v>12/4/2000</c:v>
                </c:pt>
                <c:pt idx="4">
                  <c:v>12/5/2000</c:v>
                </c:pt>
                <c:pt idx="5">
                  <c:v>12/6/2000</c:v>
                </c:pt>
                <c:pt idx="6">
                  <c:v>12/7/2000</c:v>
                </c:pt>
                <c:pt idx="7">
                  <c:v>12/8/2000</c:v>
                </c:pt>
                <c:pt idx="8">
                  <c:v>12/9/2000</c:v>
                </c:pt>
                <c:pt idx="9">
                  <c:v>12/10/2000</c:v>
                </c:pt>
                <c:pt idx="10">
                  <c:v>12/11/2000</c:v>
                </c:pt>
                <c:pt idx="11">
                  <c:v>12/12/2000</c:v>
                </c:pt>
                <c:pt idx="12">
                  <c:v>12/13/2000</c:v>
                </c:pt>
                <c:pt idx="13">
                  <c:v>12/14/2000</c:v>
                </c:pt>
                <c:pt idx="14">
                  <c:v>12/15/2000</c:v>
                </c:pt>
                <c:pt idx="15">
                  <c:v>12/16/2000</c:v>
                </c:pt>
                <c:pt idx="16">
                  <c:v>12/17/2000</c:v>
                </c:pt>
                <c:pt idx="17">
                  <c:v>12/18/2000</c:v>
                </c:pt>
                <c:pt idx="18">
                  <c:v>12/19/2000</c:v>
                </c:pt>
                <c:pt idx="19">
                  <c:v>12/20/2000</c:v>
                </c:pt>
                <c:pt idx="20">
                  <c:v>12/21/2000</c:v>
                </c:pt>
                <c:pt idx="21">
                  <c:v>12/22/2000</c:v>
                </c:pt>
                <c:pt idx="22">
                  <c:v>12/23/2000</c:v>
                </c:pt>
                <c:pt idx="23">
                  <c:v>12/24/2000</c:v>
                </c:pt>
                <c:pt idx="24">
                  <c:v>12/25/2000</c:v>
                </c:pt>
                <c:pt idx="25">
                  <c:v>12/26/2000</c:v>
                </c:pt>
                <c:pt idx="26">
                  <c:v>12/27/2000</c:v>
                </c:pt>
                <c:pt idx="27">
                  <c:v>12/28/2000</c:v>
                </c:pt>
                <c:pt idx="28">
                  <c:v>12/29/2000</c:v>
                </c:pt>
                <c:pt idx="29">
                  <c:v>12/30/2000</c:v>
                </c:pt>
                <c:pt idx="30">
                  <c:v>12/31/2000</c:v>
                </c:pt>
              </c:strCache>
            </c:strRef>
          </c:cat>
          <c:val>
            <c:numRef>
              <c:f>DAILY!$AB$2:$AB$32</c:f>
              <c:numCache>
                <c:formatCode>_(* #,##0_);_(* \(#,##0\);_(* \-??_);_(@_)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1599078"/>
        <c:axId val="72915371"/>
      </c:lineChart>
      <c:catAx>
        <c:axId val="11599078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915371"/>
        <c:crossesAt val="0"/>
        <c:auto val="1"/>
        <c:lblAlgn val="ctr"/>
        <c:lblOffset val="100"/>
        <c:noMultiLvlLbl val="0"/>
      </c:catAx>
      <c:valAx>
        <c:axId val="72915371"/>
        <c:scaling>
          <c:orientation val="minMax"/>
          <c:max val="100000"/>
          <c:min val="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59907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84682713347921"/>
          <c:y val="0.91868946550281"/>
          <c:w val="0.0964989059080963"/>
          <c:h val="0.05488461078560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35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0.452012706347967"/>
          <c:y val="0.033868092691622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0187991459668"/>
          <c:y val="0.0693998811645871"/>
          <c:w val="0.956569286049055"/>
          <c:h val="0.890552584670232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DAILY!$W$2:$W$32</c:f>
              <c:strCache>
                <c:ptCount val="31"/>
                <c:pt idx="0">
                  <c:v>12/1/2000</c:v>
                </c:pt>
                <c:pt idx="1">
                  <c:v>12/2/2000</c:v>
                </c:pt>
                <c:pt idx="2">
                  <c:v>12/3/2000</c:v>
                </c:pt>
                <c:pt idx="3">
                  <c:v>12/4/2000</c:v>
                </c:pt>
                <c:pt idx="4">
                  <c:v>12/5/2000</c:v>
                </c:pt>
                <c:pt idx="5">
                  <c:v>12/6/2000</c:v>
                </c:pt>
                <c:pt idx="6">
                  <c:v>12/7/2000</c:v>
                </c:pt>
                <c:pt idx="7">
                  <c:v>12/8/2000</c:v>
                </c:pt>
                <c:pt idx="8">
                  <c:v>12/9/2000</c:v>
                </c:pt>
                <c:pt idx="9">
                  <c:v>12/10/2000</c:v>
                </c:pt>
                <c:pt idx="10">
                  <c:v>12/11/2000</c:v>
                </c:pt>
                <c:pt idx="11">
                  <c:v>12/12/2000</c:v>
                </c:pt>
                <c:pt idx="12">
                  <c:v>12/13/2000</c:v>
                </c:pt>
                <c:pt idx="13">
                  <c:v>12/14/2000</c:v>
                </c:pt>
                <c:pt idx="14">
                  <c:v>12/15/2000</c:v>
                </c:pt>
                <c:pt idx="15">
                  <c:v>12/16/2000</c:v>
                </c:pt>
                <c:pt idx="16">
                  <c:v>12/17/2000</c:v>
                </c:pt>
                <c:pt idx="17">
                  <c:v>12/18/2000</c:v>
                </c:pt>
                <c:pt idx="18">
                  <c:v>12/19/2000</c:v>
                </c:pt>
                <c:pt idx="19">
                  <c:v>12/20/2000</c:v>
                </c:pt>
                <c:pt idx="20">
                  <c:v>12/21/2000</c:v>
                </c:pt>
                <c:pt idx="21">
                  <c:v>12/22/2000</c:v>
                </c:pt>
                <c:pt idx="22">
                  <c:v>12/23/2000</c:v>
                </c:pt>
                <c:pt idx="23">
                  <c:v>12/24/2000</c:v>
                </c:pt>
                <c:pt idx="24">
                  <c:v>12/25/2000</c:v>
                </c:pt>
                <c:pt idx="25">
                  <c:v>12/26/2000</c:v>
                </c:pt>
                <c:pt idx="26">
                  <c:v>12/27/2000</c:v>
                </c:pt>
                <c:pt idx="27">
                  <c:v>12/28/2000</c:v>
                </c:pt>
                <c:pt idx="28">
                  <c:v>12/29/2000</c:v>
                </c:pt>
                <c:pt idx="29">
                  <c:v>12/30/2000</c:v>
                </c:pt>
                <c:pt idx="30">
                  <c:v>12/31/2000</c:v>
                </c:pt>
              </c:strCache>
            </c:strRef>
          </c:cat>
          <c:val>
            <c:numRef>
              <c:f>DAILY!$AD$2:$AD$32</c:f>
              <c:numCache>
                <c:formatCode>_(* #,##0_);_(* \(#,##0\);_(* \-??_);_(@_)</c:formatCode>
                <c:ptCount val="31"/>
                <c:pt idx="0">
                  <c:v>1500</c:v>
                </c:pt>
                <c:pt idx="1">
                  <c:v>1500</c:v>
                </c:pt>
                <c:pt idx="2">
                  <c:v>1500</c:v>
                </c:pt>
                <c:pt idx="3">
                  <c:v>1500</c:v>
                </c:pt>
                <c:pt idx="4">
                  <c:v>1500</c:v>
                </c:pt>
                <c:pt idx="5">
                  <c:v>1500</c:v>
                </c:pt>
                <c:pt idx="6">
                  <c:v>1500</c:v>
                </c:pt>
                <c:pt idx="7">
                  <c:v>1500</c:v>
                </c:pt>
                <c:pt idx="8">
                  <c:v>1500</c:v>
                </c:pt>
                <c:pt idx="9">
                  <c:v>1500</c:v>
                </c:pt>
                <c:pt idx="10">
                  <c:v>1500</c:v>
                </c:pt>
                <c:pt idx="11">
                  <c:v>1500</c:v>
                </c:pt>
                <c:pt idx="12">
                  <c:v>1500</c:v>
                </c:pt>
                <c:pt idx="13">
                  <c:v>1500</c:v>
                </c:pt>
                <c:pt idx="14">
                  <c:v>1500</c:v>
                </c:pt>
                <c:pt idx="15">
                  <c:v>1500</c:v>
                </c:pt>
                <c:pt idx="16">
                  <c:v>1500</c:v>
                </c:pt>
                <c:pt idx="17">
                  <c:v>1500</c:v>
                </c:pt>
                <c:pt idx="18">
                  <c:v>1500</c:v>
                </c:pt>
                <c:pt idx="19">
                  <c:v>1500</c:v>
                </c:pt>
                <c:pt idx="20">
                  <c:v>1500</c:v>
                </c:pt>
                <c:pt idx="21">
                  <c:v>1500</c:v>
                </c:pt>
                <c:pt idx="22">
                  <c:v>1500</c:v>
                </c:pt>
                <c:pt idx="23">
                  <c:v>1500</c:v>
                </c:pt>
                <c:pt idx="24">
                  <c:v>1500</c:v>
                </c:pt>
                <c:pt idx="25">
                  <c:v>1500</c:v>
                </c:pt>
                <c:pt idx="26">
                  <c:v>1500</c:v>
                </c:pt>
                <c:pt idx="27">
                  <c:v>1500</c:v>
                </c:pt>
                <c:pt idx="28">
                  <c:v>1500</c:v>
                </c:pt>
                <c:pt idx="29">
                  <c:v>1500</c:v>
                </c:pt>
                <c:pt idx="30">
                  <c:v>1500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1986298"/>
        <c:axId val="37790594"/>
      </c:lineChart>
      <c:catAx>
        <c:axId val="11986298"/>
        <c:scaling>
          <c:orientation val="minMax"/>
        </c:scaling>
        <c:delete val="0"/>
        <c:axPos val="b"/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790594"/>
        <c:crossesAt val="-40000"/>
        <c:auto val="1"/>
        <c:lblAlgn val="ctr"/>
        <c:lblOffset val="100"/>
        <c:noMultiLvlLbl val="0"/>
      </c:catAx>
      <c:valAx>
        <c:axId val="37790594"/>
        <c:scaling>
          <c:orientation val="minMax"/>
          <c:max val="80000"/>
          <c:min val="-40000"/>
        </c:scaling>
        <c:delete val="0"/>
        <c:axPos val="l"/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986298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000000"/>
          </a:solidFill>
          <a:round/>
        </a:ln>
      </c:spPr>
    </c:plotArea>
    <c:legend>
      <c:legendPos val="r"/>
      <c:layout>
        <c:manualLayout>
          <c:xMode val="edge"/>
          <c:yMode val="edge"/>
          <c:x val="0.852835494453992"/>
          <c:y val="0.922281639928699"/>
          <c:w val="0.128573660365568"/>
          <c:h val="0.046108140225787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9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ELWOOD BANK BALANCE</a:t>
            </a:r>
          </a:p>
        </c:rich>
      </c:tx>
      <c:layout>
        <c:manualLayout>
          <c:xMode val="edge"/>
          <c:yMode val="edge"/>
          <c:x val="49.3333333333333"/>
          <c:y val="0.058248847926267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48940092165899"/>
          <c:w val="1"/>
          <c:h val="0.84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[1]SENDOUT!$AD$2:$AD$32</c:f>
              <c:numCache>
                <c:formatCode>General</c:formatCode>
                <c:ptCount val="31"/>
                <c:pt idx="0">
                  <c:v>190431</c:v>
                </c:pt>
                <c:pt idx="1">
                  <c:v>188696</c:v>
                </c:pt>
                <c:pt idx="2">
                  <c:v>208354</c:v>
                </c:pt>
                <c:pt idx="3">
                  <c:v>228012</c:v>
                </c:pt>
                <c:pt idx="4">
                  <c:v>247670</c:v>
                </c:pt>
                <c:pt idx="5">
                  <c:v>267328</c:v>
                </c:pt>
                <c:pt idx="6">
                  <c:v>226879</c:v>
                </c:pt>
                <c:pt idx="7">
                  <c:v>166911</c:v>
                </c:pt>
                <c:pt idx="8">
                  <c:v>190255.8579</c:v>
                </c:pt>
                <c:pt idx="9">
                  <c:v>236235.9199</c:v>
                </c:pt>
                <c:pt idx="10">
                  <c:v>251980.0121</c:v>
                </c:pt>
                <c:pt idx="11">
                  <c:v>277254.3027</c:v>
                </c:pt>
                <c:pt idx="12">
                  <c:v>298455.4557</c:v>
                </c:pt>
                <c:pt idx="13">
                  <c:v>276768.4557</c:v>
                </c:pt>
                <c:pt idx="14">
                  <c:v>296426.4557</c:v>
                </c:pt>
                <c:pt idx="15">
                  <c:v>316084.4557</c:v>
                </c:pt>
                <c:pt idx="16">
                  <c:v>335742.4557</c:v>
                </c:pt>
                <c:pt idx="17">
                  <c:v>274084.4557</c:v>
                </c:pt>
                <c:pt idx="18">
                  <c:v>255684.4557</c:v>
                </c:pt>
                <c:pt idx="19">
                  <c:v>305684.4557</c:v>
                </c:pt>
                <c:pt idx="20">
                  <c:v>305684.4557</c:v>
                </c:pt>
                <c:pt idx="21">
                  <c:v>305684.4557</c:v>
                </c:pt>
                <c:pt idx="22">
                  <c:v>305684.4557</c:v>
                </c:pt>
                <c:pt idx="23">
                  <c:v>305684.4557</c:v>
                </c:pt>
                <c:pt idx="24">
                  <c:v>305684.4557</c:v>
                </c:pt>
                <c:pt idx="25">
                  <c:v>305684.4557</c:v>
                </c:pt>
                <c:pt idx="26">
                  <c:v>305684.4557</c:v>
                </c:pt>
                <c:pt idx="27">
                  <c:v>305684.4557</c:v>
                </c:pt>
                <c:pt idx="28">
                  <c:v>305684.4557</c:v>
                </c:pt>
                <c:pt idx="29">
                  <c:v>305684.4557</c:v>
                </c:pt>
                <c:pt idx="30">
                  <c:v>305684.4557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5445292"/>
        <c:axId val="24062938"/>
      </c:lineChart>
      <c:catAx>
        <c:axId val="254452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062938"/>
        <c:crossesAt val="0"/>
        <c:auto val="1"/>
        <c:lblAlgn val="ctr"/>
        <c:lblOffset val="100"/>
        <c:noMultiLvlLbl val="0"/>
      </c:catAx>
      <c:valAx>
        <c:axId val="24062938"/>
        <c:scaling>
          <c:orientation val="minMax"/>
          <c:min val="5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445292"/>
        <c:crossesAt val="1"/>
        <c:crossBetween val="midCat"/>
        <c:majorUnit val="5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2.6666666666667"/>
          <c:y val="0.53843317972350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BURN</a:t>
            </a:r>
          </a:p>
        </c:rich>
      </c:tx>
      <c:layout>
        <c:manualLayout>
          <c:xMode val="edge"/>
          <c:yMode val="edge"/>
          <c:x val="46"/>
          <c:y val="0.044949856733524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18015759312321"/>
          <c:w val="1"/>
          <c:h val="0.861747851002865"/>
        </c:manualLayout>
      </c:layout>
      <c:lineChart>
        <c:grouping val="standard"/>
        <c:varyColors val="0"/>
        <c:ser>
          <c:idx val="0"/>
          <c:order val="0"/>
          <c:tx>
            <c:strRef>
              <c:f>"Burn"</c:f>
              <c:strCache>
                <c:ptCount val="1"/>
                <c:pt idx="0">
                  <c:v>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[1]SENDOUT!$AE$2:$AE$32</c:f>
              <c:numCache>
                <c:formatCode>General</c:formatCode>
                <c:ptCount val="31"/>
                <c:pt idx="0">
                  <c:v>70212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17041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498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0135900"/>
        <c:axId val="19678216"/>
      </c:lineChart>
      <c:catAx>
        <c:axId val="701359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9678216"/>
        <c:crossesAt val="0"/>
        <c:auto val="1"/>
        <c:lblAlgn val="ctr"/>
        <c:lblOffset val="100"/>
        <c:noMultiLvlLbl val="0"/>
      </c:catAx>
      <c:valAx>
        <c:axId val="19678216"/>
        <c:scaling>
          <c:orientation val="minMax"/>
          <c:max val="100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13590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93.8333333333333"/>
          <c:y val="0.46812320916905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WILTON OBA</a:t>
            </a:r>
          </a:p>
        </c:rich>
      </c:tx>
      <c:layout>
        <c:manualLayout>
          <c:xMode val="edge"/>
          <c:yMode val="edge"/>
          <c:x val="47.6666666666667"/>
          <c:y val="0.044988303041209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93341731149901"/>
          <c:w val="1"/>
          <c:h val="0.90066582688501"/>
        </c:manualLayout>
      </c:layout>
      <c:lineChart>
        <c:grouping val="standard"/>
        <c:varyColors val="0"/>
        <c:ser>
          <c:idx val="0"/>
          <c:order val="0"/>
          <c:tx>
            <c:strRef>
              <c:f>"Balance"</c:f>
              <c:strCache>
                <c:ptCount val="1"/>
                <c:pt idx="0">
                  <c:v>Balance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[1]SENDOUT!$AF$2:$AF$32</c:f>
              <c:numCache>
                <c:formatCode>General</c:formatCode>
                <c:ptCount val="31"/>
                <c:pt idx="0">
                  <c:v>-66665</c:v>
                </c:pt>
                <c:pt idx="1">
                  <c:v>-51703</c:v>
                </c:pt>
                <c:pt idx="2">
                  <c:v>-26758</c:v>
                </c:pt>
                <c:pt idx="3">
                  <c:v>-6768</c:v>
                </c:pt>
                <c:pt idx="4">
                  <c:v>-6778</c:v>
                </c:pt>
                <c:pt idx="5">
                  <c:v>-6788</c:v>
                </c:pt>
                <c:pt idx="6">
                  <c:v>-6798</c:v>
                </c:pt>
                <c:pt idx="7">
                  <c:v>-6808</c:v>
                </c:pt>
                <c:pt idx="8">
                  <c:v>-4568</c:v>
                </c:pt>
                <c:pt idx="9">
                  <c:v>-2328</c:v>
                </c:pt>
                <c:pt idx="10">
                  <c:v>2881</c:v>
                </c:pt>
                <c:pt idx="11">
                  <c:v>2871</c:v>
                </c:pt>
                <c:pt idx="12">
                  <c:v>2861</c:v>
                </c:pt>
                <c:pt idx="13">
                  <c:v>2851</c:v>
                </c:pt>
                <c:pt idx="14">
                  <c:v>2353</c:v>
                </c:pt>
                <c:pt idx="15">
                  <c:v>2343</c:v>
                </c:pt>
                <c:pt idx="16">
                  <c:v>2333</c:v>
                </c:pt>
                <c:pt idx="17">
                  <c:v>2323</c:v>
                </c:pt>
                <c:pt idx="18">
                  <c:v>2313</c:v>
                </c:pt>
                <c:pt idx="19">
                  <c:v>2303</c:v>
                </c:pt>
                <c:pt idx="20">
                  <c:v>2293</c:v>
                </c:pt>
                <c:pt idx="21">
                  <c:v>2283</c:v>
                </c:pt>
                <c:pt idx="22">
                  <c:v>2273</c:v>
                </c:pt>
                <c:pt idx="23">
                  <c:v>2263</c:v>
                </c:pt>
                <c:pt idx="24">
                  <c:v>2253</c:v>
                </c:pt>
                <c:pt idx="25">
                  <c:v>2243</c:v>
                </c:pt>
                <c:pt idx="26">
                  <c:v>2233</c:v>
                </c:pt>
                <c:pt idx="27">
                  <c:v>2223</c:v>
                </c:pt>
                <c:pt idx="28">
                  <c:v>2213</c:v>
                </c:pt>
                <c:pt idx="29">
                  <c:v>2203</c:v>
                </c:pt>
                <c:pt idx="30">
                  <c:v>2193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6278296"/>
        <c:axId val="89670790"/>
      </c:lineChart>
      <c:catAx>
        <c:axId val="86278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9670790"/>
        <c:crossesAt val="-40000"/>
        <c:auto val="1"/>
        <c:lblAlgn val="ctr"/>
        <c:lblOffset val="100"/>
        <c:noMultiLvlLbl val="0"/>
      </c:catAx>
      <c:valAx>
        <c:axId val="89670790"/>
        <c:scaling>
          <c:orientation val="minMax"/>
          <c:max val="80000"/>
          <c:min val="-4000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278296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84.8333333333333"/>
          <c:y val="0.50566852618319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PGL &amp; NS SENDOUT</a:t>
            </a:r>
          </a:p>
        </c:rich>
      </c:tx>
      <c:layout>
        <c:manualLayout>
          <c:xMode val="edge"/>
          <c:yMode val="edge"/>
          <c:x val="46.8333333333333"/>
          <c:y val="0.035246017200056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936134216833498"/>
          <c:w val="1"/>
          <c:h val="0.864091357676583"/>
        </c:manualLayout>
      </c:layout>
      <c:lineChart>
        <c:grouping val="standard"/>
        <c:varyColors val="0"/>
        <c:ser>
          <c:idx val="0"/>
          <c:order val="0"/>
          <c:tx>
            <c:strRef>
              <c:f>"Estimate"</c:f>
              <c:strCache>
                <c:ptCount val="1"/>
                <c:pt idx="0">
                  <c:v>Estimate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[1]SENDOUT!$AI$2:$AI$36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250000</c:v>
                </c:pt>
                <c:pt idx="18">
                  <c:v>252000</c:v>
                </c:pt>
                <c:pt idx="19">
                  <c:v>258000</c:v>
                </c:pt>
                <c:pt idx="20">
                  <c:v>305000</c:v>
                </c:pt>
                <c:pt idx="21">
                  <c:v>279000</c:v>
                </c:pt>
                <c:pt idx="22">
                  <c:v>250000</c:v>
                </c:pt>
                <c:pt idx="23">
                  <c:v>463000</c:v>
                </c:pt>
                <c:pt idx="24">
                  <c:v>476000</c:v>
                </c:pt>
                <c:pt idx="25">
                  <c:v>376000</c:v>
                </c:pt>
                <c:pt idx="26">
                  <c:v>388000</c:v>
                </c:pt>
                <c:pt idx="27">
                  <c:v>372000</c:v>
                </c:pt>
                <c:pt idx="28">
                  <c:v>292000</c:v>
                </c:pt>
                <c:pt idx="29">
                  <c:v>233000</c:v>
                </c:pt>
                <c:pt idx="30">
                  <c:v>258000</c:v>
                </c:pt>
                <c:pt idx="31">
                  <c:v>282000</c:v>
                </c:pt>
                <c:pt idx="32">
                  <c:v>266000</c:v>
                </c:pt>
                <c:pt idx="33">
                  <c:v>352000</c:v>
                </c:pt>
                <c:pt idx="34">
                  <c:v>517000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[1]SENDOUT!$AH$2:$AH$36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[1]SENDOUT!$AJ$2:$AJ$36</c:f>
              <c:numCache>
                <c:formatCode>General</c:formatCode>
                <c:ptCount val="35"/>
                <c:pt idx="0">
                  <c:v>271986</c:v>
                </c:pt>
                <c:pt idx="1">
                  <c:v>215041</c:v>
                </c:pt>
                <c:pt idx="2">
                  <c:v>190000</c:v>
                </c:pt>
                <c:pt idx="3">
                  <c:v>223000</c:v>
                </c:pt>
                <c:pt idx="4">
                  <c:v>253395</c:v>
                </c:pt>
                <c:pt idx="5">
                  <c:v>253852</c:v>
                </c:pt>
                <c:pt idx="6">
                  <c:v>252690</c:v>
                </c:pt>
                <c:pt idx="7">
                  <c:v>234709</c:v>
                </c:pt>
                <c:pt idx="8">
                  <c:v>206740</c:v>
                </c:pt>
                <c:pt idx="9">
                  <c:v>219834</c:v>
                </c:pt>
                <c:pt idx="10">
                  <c:v>257926</c:v>
                </c:pt>
                <c:pt idx="11">
                  <c:v>251589</c:v>
                </c:pt>
                <c:pt idx="12">
                  <c:v>246443</c:v>
                </c:pt>
                <c:pt idx="13">
                  <c:v>251946</c:v>
                </c:pt>
                <c:pt idx="14">
                  <c:v>271866</c:v>
                </c:pt>
                <c:pt idx="15">
                  <c:v>243751</c:v>
                </c:pt>
                <c:pt idx="16">
                  <c:v>237705</c:v>
                </c:pt>
                <c:pt idx="17">
                  <c:v>251462</c:v>
                </c:pt>
                <c:pt idx="18">
                  <c:v>238627</c:v>
                </c:pt>
                <c:pt idx="19">
                  <c:v>293010</c:v>
                </c:pt>
                <c:pt idx="20">
                  <c:v>297613</c:v>
                </c:pt>
                <c:pt idx="21">
                  <c:v>279524</c:v>
                </c:pt>
                <c:pt idx="22">
                  <c:v>259718</c:v>
                </c:pt>
                <c:pt idx="23">
                  <c:v>361520</c:v>
                </c:pt>
                <c:pt idx="24">
                  <c:v>474825</c:v>
                </c:pt>
                <c:pt idx="25">
                  <c:v>364951</c:v>
                </c:pt>
                <c:pt idx="26">
                  <c:v>365702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4502178"/>
        <c:axId val="7477400"/>
      </c:lineChart>
      <c:catAx>
        <c:axId val="6450217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77400"/>
        <c:crossesAt val="0"/>
        <c:auto val="1"/>
        <c:lblAlgn val="ctr"/>
        <c:lblOffset val="100"/>
        <c:noMultiLvlLbl val="0"/>
      </c:catAx>
      <c:valAx>
        <c:axId val="7477400"/>
        <c:scaling>
          <c:orientation val="minMax"/>
          <c:min val="2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502178"/>
        <c:crossesAt val="1"/>
        <c:crossBetween val="midCat"/>
        <c:majorUnit val="50000"/>
        <c:minorUnit val="50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49.6666666666667"/>
          <c:y val="0.891583251092627"/>
          <c:w val="388"/>
          <c:h val="0.1690398984914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50" strike="noStrike" u="none">
                <a:solidFill>
                  <a:srgbClr val="000000"/>
                </a:solidFill>
                <a:uFillTx/>
                <a:latin typeface="Arial"/>
              </a:rPr>
              <a:t>ELWOOD BURN</a:t>
            </a:r>
          </a:p>
        </c:rich>
      </c:tx>
      <c:layout>
        <c:manualLayout>
          <c:xMode val="edge"/>
          <c:yMode val="edge"/>
          <c:x val="48.5"/>
          <c:y val="0.046267281105990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0757603686635945"/>
          <c:w val="1"/>
          <c:h val="0.918709677419355"/>
        </c:manualLayout>
      </c:layout>
      <c:lineChart>
        <c:grouping val="standard"/>
        <c:varyColors val="0"/>
        <c:ser>
          <c:idx val="0"/>
          <c:order val="0"/>
          <c:tx>
            <c:strRef>
              <c:f>"TOTAL BURN"</c:f>
              <c:strCache>
                <c:ptCount val="1"/>
                <c:pt idx="0">
                  <c:v>TOTAL BURN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[1]SENDOUT!$AB$2:$AB$32</c:f>
              <c:strCache>
                <c:ptCount val="31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</c:strCache>
            </c:strRef>
          </c:cat>
          <c:val>
            <c:numRef>
              <c:f>[1]SENDOUT!$AC$2:$AC$32</c:f>
              <c:numCache>
                <c:formatCode>General</c:formatCode>
                <c:ptCount val="31"/>
                <c:pt idx="0">
                  <c:v>66453</c:v>
                </c:pt>
                <c:pt idx="1">
                  <c:v>21735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60449</c:v>
                </c:pt>
                <c:pt idx="7">
                  <c:v>59968</c:v>
                </c:pt>
                <c:pt idx="8">
                  <c:v>26249</c:v>
                </c:pt>
                <c:pt idx="9">
                  <c:v>3220</c:v>
                </c:pt>
                <c:pt idx="10">
                  <c:v>33982</c:v>
                </c:pt>
                <c:pt idx="11">
                  <c:v>24286</c:v>
                </c:pt>
                <c:pt idx="12">
                  <c:v>28430</c:v>
                </c:pt>
                <c:pt idx="13">
                  <c:v>21687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81658</c:v>
                </c:pt>
                <c:pt idx="18">
                  <c:v>38400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7202920"/>
        <c:axId val="43570055"/>
      </c:lineChart>
      <c:catAx>
        <c:axId val="77202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570055"/>
        <c:crossesAt val="0"/>
        <c:auto val="1"/>
        <c:lblAlgn val="ctr"/>
        <c:lblOffset val="100"/>
        <c:noMultiLvlLbl val="0"/>
      </c:catAx>
      <c:valAx>
        <c:axId val="43570055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7202920"/>
        <c:crossesAt val="1"/>
        <c:crossBetween val="midCat"/>
        <c:majorUnit val="20000"/>
      </c:valAx>
      <c:spPr>
        <a:solidFill>
          <a:srgbClr val="cc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37.6666666666667"/>
          <c:y val="0.0527188940092166"/>
          <c:w val="446.833333333333"/>
          <c:h val="0.27317972350230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RIDER GAS - PGLC &amp; NS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"/>
          <c:y val="0.122467532467532"/>
          <c:w val="1"/>
          <c:h val="0.872207792207792"/>
        </c:manualLayout>
      </c:layout>
      <c:lineChart>
        <c:grouping val="standard"/>
        <c:varyColors val="0"/>
        <c:ser>
          <c:idx val="0"/>
          <c:order val="0"/>
          <c:tx>
            <c:strRef>
              <c:f>"Actual"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[1]SENDOUT!$AL$2:$AL$36</c:f>
              <c:strCache>
                <c:ptCount val="35"/>
                <c:pt idx="0">
                  <c:v>36770</c:v>
                </c:pt>
                <c:pt idx="1">
                  <c:v>36771</c:v>
                </c:pt>
                <c:pt idx="2">
                  <c:v>36772</c:v>
                </c:pt>
                <c:pt idx="3">
                  <c:v>36773</c:v>
                </c:pt>
                <c:pt idx="4">
                  <c:v>36774</c:v>
                </c:pt>
                <c:pt idx="5">
                  <c:v>36775</c:v>
                </c:pt>
                <c:pt idx="6">
                  <c:v>36776</c:v>
                </c:pt>
                <c:pt idx="7">
                  <c:v>36777</c:v>
                </c:pt>
                <c:pt idx="8">
                  <c:v>36778</c:v>
                </c:pt>
                <c:pt idx="9">
                  <c:v>36779</c:v>
                </c:pt>
                <c:pt idx="10">
                  <c:v>36780</c:v>
                </c:pt>
                <c:pt idx="11">
                  <c:v>36781</c:v>
                </c:pt>
                <c:pt idx="12">
                  <c:v>36782</c:v>
                </c:pt>
                <c:pt idx="13">
                  <c:v>36783</c:v>
                </c:pt>
                <c:pt idx="14">
                  <c:v>36784</c:v>
                </c:pt>
                <c:pt idx="15">
                  <c:v>36785</c:v>
                </c:pt>
                <c:pt idx="16">
                  <c:v>36786</c:v>
                </c:pt>
                <c:pt idx="17">
                  <c:v>36787</c:v>
                </c:pt>
                <c:pt idx="18">
                  <c:v>36788</c:v>
                </c:pt>
                <c:pt idx="19">
                  <c:v>36789</c:v>
                </c:pt>
                <c:pt idx="20">
                  <c:v>36790</c:v>
                </c:pt>
                <c:pt idx="21">
                  <c:v>36791</c:v>
                </c:pt>
                <c:pt idx="22">
                  <c:v>36792</c:v>
                </c:pt>
                <c:pt idx="23">
                  <c:v>36793</c:v>
                </c:pt>
                <c:pt idx="24">
                  <c:v>36794</c:v>
                </c:pt>
                <c:pt idx="25">
                  <c:v>36795</c:v>
                </c:pt>
                <c:pt idx="26">
                  <c:v>36796</c:v>
                </c:pt>
                <c:pt idx="27">
                  <c:v>36797</c:v>
                </c:pt>
                <c:pt idx="28">
                  <c:v>36798</c:v>
                </c:pt>
                <c:pt idx="29">
                  <c:v>36799</c:v>
                </c:pt>
                <c:pt idx="30">
                  <c:v>36800</c:v>
                </c:pt>
                <c:pt idx="31">
                  <c:v>36801</c:v>
                </c:pt>
                <c:pt idx="32">
                  <c:v>36802</c:v>
                </c:pt>
                <c:pt idx="33">
                  <c:v>36803</c:v>
                </c:pt>
                <c:pt idx="34">
                  <c:v>36804</c:v>
                </c:pt>
              </c:strCache>
            </c:strRef>
          </c:cat>
          <c:val>
            <c:numRef>
              <c:f>[1]SENDOUT!$AM$2:$AM$36</c:f>
              <c:numCache>
                <c:formatCode>General</c:formatCode>
                <c:ptCount val="35"/>
                <c:pt idx="0">
                  <c:v>145517</c:v>
                </c:pt>
                <c:pt idx="1">
                  <c:v>175311</c:v>
                </c:pt>
                <c:pt idx="2">
                  <c:v>169521</c:v>
                </c:pt>
                <c:pt idx="3">
                  <c:v>175636</c:v>
                </c:pt>
                <c:pt idx="4">
                  <c:v>174951</c:v>
                </c:pt>
                <c:pt idx="5">
                  <c:v>151882</c:v>
                </c:pt>
                <c:pt idx="6">
                  <c:v>149644</c:v>
                </c:pt>
                <c:pt idx="7">
                  <c:v>141843</c:v>
                </c:pt>
                <c:pt idx="8">
                  <c:v>152372</c:v>
                </c:pt>
                <c:pt idx="9">
                  <c:v>152322</c:v>
                </c:pt>
                <c:pt idx="10">
                  <c:v>151972</c:v>
                </c:pt>
                <c:pt idx="11">
                  <c:v>154619</c:v>
                </c:pt>
                <c:pt idx="12">
                  <c:v>138783</c:v>
                </c:pt>
                <c:pt idx="13">
                  <c:v>151157</c:v>
                </c:pt>
                <c:pt idx="14">
                  <c:v>150550</c:v>
                </c:pt>
                <c:pt idx="15">
                  <c:v>147765</c:v>
                </c:pt>
                <c:pt idx="16">
                  <c:v>147792</c:v>
                </c:pt>
                <c:pt idx="17">
                  <c:v>147092</c:v>
                </c:pt>
                <c:pt idx="18">
                  <c:v>172170</c:v>
                </c:pt>
                <c:pt idx="19">
                  <c:v>150209</c:v>
                </c:pt>
                <c:pt idx="20">
                  <c:v>157505</c:v>
                </c:pt>
                <c:pt idx="21">
                  <c:v>160398</c:v>
                </c:pt>
                <c:pt idx="22">
                  <c:v>149216</c:v>
                </c:pt>
                <c:pt idx="23">
                  <c:v>149106</c:v>
                </c:pt>
                <c:pt idx="24">
                  <c:v>148256</c:v>
                </c:pt>
                <c:pt idx="25">
                  <c:v>154560</c:v>
                </c:pt>
                <c:pt idx="26">
                  <c:v>148298</c:v>
                </c:pt>
                <c:pt idx="27">
                  <c:v>152983</c:v>
                </c:pt>
                <c:pt idx="28">
                  <c:v>180458</c:v>
                </c:pt>
                <c:pt idx="29">
                  <c:v>180458</c:v>
                </c:pt>
                <c:pt idx="30">
                  <c:v>218710</c:v>
                </c:pt>
                <c:pt idx="31">
                  <c:v>218240</c:v>
                </c:pt>
                <c:pt idx="32">
                  <c:v>218240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4225307"/>
        <c:axId val="10291099"/>
      </c:lineChart>
      <c:catAx>
        <c:axId val="34225307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0291099"/>
        <c:crossesAt val="0"/>
        <c:auto val="1"/>
        <c:lblAlgn val="ctr"/>
        <c:lblOffset val="100"/>
        <c:noMultiLvlLbl val="0"/>
      </c:catAx>
      <c:valAx>
        <c:axId val="10291099"/>
        <c:scaling>
          <c:orientation val="minMax"/>
          <c:min val="100000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225307"/>
        <c:crossesAt val="1"/>
        <c:crossBetween val="midCat"/>
        <c:majorUnit val="25000"/>
        <c:minorUnit val="25000"/>
      </c:valAx>
      <c:spPr>
        <a:solidFill>
          <a:srgbClr val="ccffff"/>
        </a:solidFill>
        <a:ln w="12600">
          <a:solidFill>
            <a:srgbClr val="ccffff"/>
          </a:solidFill>
          <a:round/>
        </a:ln>
      </c:spPr>
    </c:plotArea>
    <c:legend>
      <c:legendPos val="r"/>
      <c:layout>
        <c:manualLayout>
          <c:xMode val="edge"/>
          <c:yMode val="edge"/>
          <c:x val="72"/>
          <c:y val="0.26558441558441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<Relationship Id="rId8" Type="http://schemas.openxmlformats.org/officeDocument/2006/relationships/chart" Target="../charts/chart8.xml"/><Relationship Id="rId9" Type="http://schemas.openxmlformats.org/officeDocument/2006/relationships/chart" Target="../charts/chart9.xml"/><Relationship Id="rId10" Type="http://schemas.openxmlformats.org/officeDocument/2006/relationships/chart" Target="../charts/chart10.xml"/><Relationship Id="rId11" Type="http://schemas.openxmlformats.org/officeDocument/2006/relationships/chart" Target="../charts/chart11.xml"/><Relationship Id="rId12" Type="http://schemas.openxmlformats.org/officeDocument/2006/relationships/chart" Target="../charts/chart12.xml"/><Relationship Id="rId13" Type="http://schemas.openxmlformats.org/officeDocument/2006/relationships/chart" Target="../charts/chart13.xml"/><Relationship Id="rId14" Type="http://schemas.openxmlformats.org/officeDocument/2006/relationships/chart" Target="../charts/chart14.xml"/><Relationship Id="rId15" Type="http://schemas.openxmlformats.org/officeDocument/2006/relationships/chart" Target="../charts/chart15.xml"/><Relationship Id="rId16" Type="http://schemas.openxmlformats.org/officeDocument/2006/relationships/chart" Target="../charts/chart16.xml"/><Relationship Id="rId17" Type="http://schemas.openxmlformats.org/officeDocument/2006/relationships/chart" Target="../charts/chart17.xml"/><Relationship Id="rId18" Type="http://schemas.openxmlformats.org/officeDocument/2006/relationships/chart" Target="../charts/chart18.xml"/><Relationship Id="rId19" Type="http://schemas.openxmlformats.org/officeDocument/2006/relationships/chart" Target="../charts/chart19.xml"/><Relationship Id="rId20" Type="http://schemas.openxmlformats.org/officeDocument/2006/relationships/chart" Target="../charts/chart20.xml"/><Relationship Id="rId21" Type="http://schemas.openxmlformats.org/officeDocument/2006/relationships/chart" Target="../charts/chart21.xml"/><Relationship Id="rId22" Type="http://schemas.openxmlformats.org/officeDocument/2006/relationships/chart" Target="../charts/chart22.xml"/><Relationship Id="rId23" Type="http://schemas.openxmlformats.org/officeDocument/2006/relationships/chart" Target="../charts/chart23.xml"/><Relationship Id="rId24" Type="http://schemas.openxmlformats.org/officeDocument/2006/relationships/chart" Target="../charts/chart24.xml"/><Relationship Id="rId25" Type="http://schemas.openxmlformats.org/officeDocument/2006/relationships/chart" Target="../charts/chart25.xml"/><Relationship Id="rId26" Type="http://schemas.openxmlformats.org/officeDocument/2006/relationships/chart" Target="../charts/chart26.xml"/><Relationship Id="rId27" Type="http://schemas.openxmlformats.org/officeDocument/2006/relationships/chart" Target="../charts/chart27.xml"/><Relationship Id="rId28" Type="http://schemas.openxmlformats.org/officeDocument/2006/relationships/chart" Target="../charts/chart28.xml"/><Relationship Id="rId29" Type="http://schemas.openxmlformats.org/officeDocument/2006/relationships/chart" Target="../charts/chart29.xml"/><Relationship Id="rId30" Type="http://schemas.openxmlformats.org/officeDocument/2006/relationships/chart" Target="../charts/chart30.xml"/><Relationship Id="rId31" Type="http://schemas.openxmlformats.org/officeDocument/2006/relationships/chart" Target="../charts/chart31.xml"/><Relationship Id="rId32" Type="http://schemas.openxmlformats.org/officeDocument/2006/relationships/chart" Target="../charts/chart32.xml"/><Relationship Id="rId33" Type="http://schemas.openxmlformats.org/officeDocument/2006/relationships/chart" Target="../charts/chart33.xml"/><Relationship Id="rId34" Type="http://schemas.openxmlformats.org/officeDocument/2006/relationships/chart" Target="../charts/chart34.xml"/><Relationship Id="rId35" Type="http://schemas.openxmlformats.org/officeDocument/2006/relationships/chart" Target="../charts/chart35.xml"/><Relationship Id="rId36" Type="http://schemas.openxmlformats.org/officeDocument/2006/relationships/chart" Target="../charts/chart3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40</xdr:row>
      <xdr:rowOff>0</xdr:rowOff>
    </xdr:from>
    <xdr:to>
      <xdr:col>0</xdr:col>
      <xdr:colOff>1800</xdr:colOff>
      <xdr:row>55</xdr:row>
      <xdr:rowOff>95760</xdr:rowOff>
    </xdr:to>
    <xdr:graphicFrame>
      <xdr:nvGraphicFramePr>
        <xdr:cNvPr id="0" name="Chart 1"/>
        <xdr:cNvGraphicFramePr/>
      </xdr:nvGraphicFramePr>
      <xdr:xfrm>
        <a:off x="0" y="7067520"/>
        <a:ext cx="1800" cy="2553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1800</xdr:colOff>
      <xdr:row>25</xdr:row>
      <xdr:rowOff>171360</xdr:rowOff>
    </xdr:to>
    <xdr:graphicFrame>
      <xdr:nvGraphicFramePr>
        <xdr:cNvPr id="1" name="Chart 2"/>
        <xdr:cNvGraphicFramePr/>
      </xdr:nvGraphicFramePr>
      <xdr:xfrm>
        <a:off x="0" y="2809800"/>
        <a:ext cx="1800" cy="1952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56</xdr:row>
      <xdr:rowOff>28440</xdr:rowOff>
    </xdr:from>
    <xdr:to>
      <xdr:col>0</xdr:col>
      <xdr:colOff>1800</xdr:colOff>
      <xdr:row>73</xdr:row>
      <xdr:rowOff>47160</xdr:rowOff>
    </xdr:to>
    <xdr:graphicFrame>
      <xdr:nvGraphicFramePr>
        <xdr:cNvPr id="2" name="Chart 3"/>
        <xdr:cNvGraphicFramePr/>
      </xdr:nvGraphicFramePr>
      <xdr:xfrm>
        <a:off x="0" y="9715320"/>
        <a:ext cx="180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1800</xdr:colOff>
      <xdr:row>25</xdr:row>
      <xdr:rowOff>171360</xdr:rowOff>
    </xdr:to>
    <xdr:graphicFrame>
      <xdr:nvGraphicFramePr>
        <xdr:cNvPr id="3" name="Chart 4"/>
        <xdr:cNvGraphicFramePr/>
      </xdr:nvGraphicFramePr>
      <xdr:xfrm>
        <a:off x="0" y="2809800"/>
        <a:ext cx="1800" cy="1952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1800</xdr:colOff>
      <xdr:row>39</xdr:row>
      <xdr:rowOff>38160</xdr:rowOff>
    </xdr:to>
    <xdr:graphicFrame>
      <xdr:nvGraphicFramePr>
        <xdr:cNvPr id="4" name="Chart 5"/>
        <xdr:cNvGraphicFramePr/>
      </xdr:nvGraphicFramePr>
      <xdr:xfrm>
        <a:off x="0" y="4933800"/>
        <a:ext cx="1800" cy="2009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1800</xdr:colOff>
      <xdr:row>39</xdr:row>
      <xdr:rowOff>28440</xdr:rowOff>
    </xdr:to>
    <xdr:graphicFrame>
      <xdr:nvGraphicFramePr>
        <xdr:cNvPr id="5" name="Chart 6"/>
        <xdr:cNvGraphicFramePr/>
      </xdr:nvGraphicFramePr>
      <xdr:xfrm>
        <a:off x="0" y="4933800"/>
        <a:ext cx="180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0</xdr:col>
      <xdr:colOff>0</xdr:colOff>
      <xdr:row>40</xdr:row>
      <xdr:rowOff>0</xdr:rowOff>
    </xdr:from>
    <xdr:to>
      <xdr:col>0</xdr:col>
      <xdr:colOff>1800</xdr:colOff>
      <xdr:row>55</xdr:row>
      <xdr:rowOff>95760</xdr:rowOff>
    </xdr:to>
    <xdr:graphicFrame>
      <xdr:nvGraphicFramePr>
        <xdr:cNvPr id="6" name="Chart 7"/>
        <xdr:cNvGraphicFramePr/>
      </xdr:nvGraphicFramePr>
      <xdr:xfrm>
        <a:off x="0" y="7067520"/>
        <a:ext cx="1800" cy="2553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1800</xdr:colOff>
      <xdr:row>25</xdr:row>
      <xdr:rowOff>171360</xdr:rowOff>
    </xdr:to>
    <xdr:graphicFrame>
      <xdr:nvGraphicFramePr>
        <xdr:cNvPr id="7" name="Chart 8"/>
        <xdr:cNvGraphicFramePr/>
      </xdr:nvGraphicFramePr>
      <xdr:xfrm>
        <a:off x="0" y="2809800"/>
        <a:ext cx="1800" cy="1952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56</xdr:row>
      <xdr:rowOff>28440</xdr:rowOff>
    </xdr:from>
    <xdr:to>
      <xdr:col>0</xdr:col>
      <xdr:colOff>1800</xdr:colOff>
      <xdr:row>73</xdr:row>
      <xdr:rowOff>47160</xdr:rowOff>
    </xdr:to>
    <xdr:graphicFrame>
      <xdr:nvGraphicFramePr>
        <xdr:cNvPr id="8" name="Chart 9"/>
        <xdr:cNvGraphicFramePr/>
      </xdr:nvGraphicFramePr>
      <xdr:xfrm>
        <a:off x="0" y="9715320"/>
        <a:ext cx="180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1800</xdr:colOff>
      <xdr:row>25</xdr:row>
      <xdr:rowOff>171360</xdr:rowOff>
    </xdr:to>
    <xdr:graphicFrame>
      <xdr:nvGraphicFramePr>
        <xdr:cNvPr id="9" name="Chart 10"/>
        <xdr:cNvGraphicFramePr/>
      </xdr:nvGraphicFramePr>
      <xdr:xfrm>
        <a:off x="0" y="2809800"/>
        <a:ext cx="1800" cy="1952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1800</xdr:colOff>
      <xdr:row>39</xdr:row>
      <xdr:rowOff>38160</xdr:rowOff>
    </xdr:to>
    <xdr:graphicFrame>
      <xdr:nvGraphicFramePr>
        <xdr:cNvPr id="10" name="Chart 11"/>
        <xdr:cNvGraphicFramePr/>
      </xdr:nvGraphicFramePr>
      <xdr:xfrm>
        <a:off x="0" y="4933800"/>
        <a:ext cx="1800" cy="2009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1800</xdr:colOff>
      <xdr:row>39</xdr:row>
      <xdr:rowOff>28440</xdr:rowOff>
    </xdr:to>
    <xdr:graphicFrame>
      <xdr:nvGraphicFramePr>
        <xdr:cNvPr id="11" name="Chart 12"/>
        <xdr:cNvGraphicFramePr/>
      </xdr:nvGraphicFramePr>
      <xdr:xfrm>
        <a:off x="0" y="4933800"/>
        <a:ext cx="180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0</xdr:colOff>
      <xdr:row>40</xdr:row>
      <xdr:rowOff>0</xdr:rowOff>
    </xdr:from>
    <xdr:to>
      <xdr:col>0</xdr:col>
      <xdr:colOff>1800</xdr:colOff>
      <xdr:row>55</xdr:row>
      <xdr:rowOff>95760</xdr:rowOff>
    </xdr:to>
    <xdr:graphicFrame>
      <xdr:nvGraphicFramePr>
        <xdr:cNvPr id="12" name="Chart 13"/>
        <xdr:cNvGraphicFramePr/>
      </xdr:nvGraphicFramePr>
      <xdr:xfrm>
        <a:off x="0" y="7067520"/>
        <a:ext cx="1800" cy="2553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1800</xdr:colOff>
      <xdr:row>25</xdr:row>
      <xdr:rowOff>171360</xdr:rowOff>
    </xdr:to>
    <xdr:graphicFrame>
      <xdr:nvGraphicFramePr>
        <xdr:cNvPr id="13" name="Chart 14"/>
        <xdr:cNvGraphicFramePr/>
      </xdr:nvGraphicFramePr>
      <xdr:xfrm>
        <a:off x="0" y="2809800"/>
        <a:ext cx="1800" cy="1952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oneCell">
    <xdr:from>
      <xdr:col>0</xdr:col>
      <xdr:colOff>0</xdr:colOff>
      <xdr:row>56</xdr:row>
      <xdr:rowOff>28440</xdr:rowOff>
    </xdr:from>
    <xdr:to>
      <xdr:col>0</xdr:col>
      <xdr:colOff>1800</xdr:colOff>
      <xdr:row>73</xdr:row>
      <xdr:rowOff>47160</xdr:rowOff>
    </xdr:to>
    <xdr:graphicFrame>
      <xdr:nvGraphicFramePr>
        <xdr:cNvPr id="14" name="Chart 15"/>
        <xdr:cNvGraphicFramePr/>
      </xdr:nvGraphicFramePr>
      <xdr:xfrm>
        <a:off x="0" y="9715320"/>
        <a:ext cx="180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1800</xdr:colOff>
      <xdr:row>25</xdr:row>
      <xdr:rowOff>171360</xdr:rowOff>
    </xdr:to>
    <xdr:graphicFrame>
      <xdr:nvGraphicFramePr>
        <xdr:cNvPr id="15" name="Chart 16"/>
        <xdr:cNvGraphicFramePr/>
      </xdr:nvGraphicFramePr>
      <xdr:xfrm>
        <a:off x="0" y="2809800"/>
        <a:ext cx="1800" cy="1952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1800</xdr:colOff>
      <xdr:row>39</xdr:row>
      <xdr:rowOff>38160</xdr:rowOff>
    </xdr:to>
    <xdr:graphicFrame>
      <xdr:nvGraphicFramePr>
        <xdr:cNvPr id="16" name="Chart 17"/>
        <xdr:cNvGraphicFramePr/>
      </xdr:nvGraphicFramePr>
      <xdr:xfrm>
        <a:off x="0" y="4933800"/>
        <a:ext cx="1800" cy="2009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1800</xdr:colOff>
      <xdr:row>39</xdr:row>
      <xdr:rowOff>28440</xdr:rowOff>
    </xdr:to>
    <xdr:graphicFrame>
      <xdr:nvGraphicFramePr>
        <xdr:cNvPr id="17" name="Chart 18"/>
        <xdr:cNvGraphicFramePr/>
      </xdr:nvGraphicFramePr>
      <xdr:xfrm>
        <a:off x="0" y="4933800"/>
        <a:ext cx="180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0</xdr:colOff>
      <xdr:row>40</xdr:row>
      <xdr:rowOff>0</xdr:rowOff>
    </xdr:from>
    <xdr:to>
      <xdr:col>0</xdr:col>
      <xdr:colOff>1800</xdr:colOff>
      <xdr:row>55</xdr:row>
      <xdr:rowOff>95760</xdr:rowOff>
    </xdr:to>
    <xdr:graphicFrame>
      <xdr:nvGraphicFramePr>
        <xdr:cNvPr id="18" name="Chart 19"/>
        <xdr:cNvGraphicFramePr/>
      </xdr:nvGraphicFramePr>
      <xdr:xfrm>
        <a:off x="0" y="7067520"/>
        <a:ext cx="1800" cy="2553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1800</xdr:colOff>
      <xdr:row>25</xdr:row>
      <xdr:rowOff>171360</xdr:rowOff>
    </xdr:to>
    <xdr:graphicFrame>
      <xdr:nvGraphicFramePr>
        <xdr:cNvPr id="19" name="Chart 20"/>
        <xdr:cNvGraphicFramePr/>
      </xdr:nvGraphicFramePr>
      <xdr:xfrm>
        <a:off x="0" y="2809800"/>
        <a:ext cx="1800" cy="1952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 editAs="oneCell">
    <xdr:from>
      <xdr:col>0</xdr:col>
      <xdr:colOff>0</xdr:colOff>
      <xdr:row>56</xdr:row>
      <xdr:rowOff>28440</xdr:rowOff>
    </xdr:from>
    <xdr:to>
      <xdr:col>0</xdr:col>
      <xdr:colOff>1800</xdr:colOff>
      <xdr:row>73</xdr:row>
      <xdr:rowOff>47160</xdr:rowOff>
    </xdr:to>
    <xdr:graphicFrame>
      <xdr:nvGraphicFramePr>
        <xdr:cNvPr id="20" name="Chart 21"/>
        <xdr:cNvGraphicFramePr/>
      </xdr:nvGraphicFramePr>
      <xdr:xfrm>
        <a:off x="0" y="9715320"/>
        <a:ext cx="180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1800</xdr:colOff>
      <xdr:row>25</xdr:row>
      <xdr:rowOff>171360</xdr:rowOff>
    </xdr:to>
    <xdr:graphicFrame>
      <xdr:nvGraphicFramePr>
        <xdr:cNvPr id="21" name="Chart 22"/>
        <xdr:cNvGraphicFramePr/>
      </xdr:nvGraphicFramePr>
      <xdr:xfrm>
        <a:off x="0" y="2809800"/>
        <a:ext cx="1800" cy="1952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1800</xdr:colOff>
      <xdr:row>39</xdr:row>
      <xdr:rowOff>38160</xdr:rowOff>
    </xdr:to>
    <xdr:graphicFrame>
      <xdr:nvGraphicFramePr>
        <xdr:cNvPr id="22" name="Chart 23"/>
        <xdr:cNvGraphicFramePr/>
      </xdr:nvGraphicFramePr>
      <xdr:xfrm>
        <a:off x="0" y="4933800"/>
        <a:ext cx="1800" cy="20098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1800</xdr:colOff>
      <xdr:row>39</xdr:row>
      <xdr:rowOff>28440</xdr:rowOff>
    </xdr:to>
    <xdr:graphicFrame>
      <xdr:nvGraphicFramePr>
        <xdr:cNvPr id="23" name="Chart 24"/>
        <xdr:cNvGraphicFramePr/>
      </xdr:nvGraphicFramePr>
      <xdr:xfrm>
        <a:off x="0" y="4933800"/>
        <a:ext cx="1800" cy="200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 editAs="oneCell">
    <xdr:from>
      <xdr:col>0</xdr:col>
      <xdr:colOff>0</xdr:colOff>
      <xdr:row>42</xdr:row>
      <xdr:rowOff>0</xdr:rowOff>
    </xdr:from>
    <xdr:to>
      <xdr:col>0</xdr:col>
      <xdr:colOff>1800</xdr:colOff>
      <xdr:row>57</xdr:row>
      <xdr:rowOff>95400</xdr:rowOff>
    </xdr:to>
    <xdr:graphicFrame>
      <xdr:nvGraphicFramePr>
        <xdr:cNvPr id="24" name="Chart 25"/>
        <xdr:cNvGraphicFramePr/>
      </xdr:nvGraphicFramePr>
      <xdr:xfrm>
        <a:off x="0" y="7391520"/>
        <a:ext cx="1800" cy="2552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1800</xdr:colOff>
      <xdr:row>27</xdr:row>
      <xdr:rowOff>171720</xdr:rowOff>
    </xdr:to>
    <xdr:graphicFrame>
      <xdr:nvGraphicFramePr>
        <xdr:cNvPr id="25" name="Chart 26"/>
        <xdr:cNvGraphicFramePr/>
      </xdr:nvGraphicFramePr>
      <xdr:xfrm>
        <a:off x="0" y="2809800"/>
        <a:ext cx="1800" cy="22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0</xdr:colOff>
      <xdr:row>58</xdr:row>
      <xdr:rowOff>28440</xdr:rowOff>
    </xdr:from>
    <xdr:to>
      <xdr:col>0</xdr:col>
      <xdr:colOff>1800</xdr:colOff>
      <xdr:row>75</xdr:row>
      <xdr:rowOff>47520</xdr:rowOff>
    </xdr:to>
    <xdr:graphicFrame>
      <xdr:nvGraphicFramePr>
        <xdr:cNvPr id="26" name="Chart 27"/>
        <xdr:cNvGraphicFramePr/>
      </xdr:nvGraphicFramePr>
      <xdr:xfrm>
        <a:off x="0" y="10039320"/>
        <a:ext cx="1800" cy="2771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1800</xdr:colOff>
      <xdr:row>27</xdr:row>
      <xdr:rowOff>171720</xdr:rowOff>
    </xdr:to>
    <xdr:graphicFrame>
      <xdr:nvGraphicFramePr>
        <xdr:cNvPr id="27" name="Chart 28"/>
        <xdr:cNvGraphicFramePr/>
      </xdr:nvGraphicFramePr>
      <xdr:xfrm>
        <a:off x="0" y="2809800"/>
        <a:ext cx="1800" cy="22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1800</xdr:colOff>
      <xdr:row>41</xdr:row>
      <xdr:rowOff>37800</xdr:rowOff>
    </xdr:to>
    <xdr:graphicFrame>
      <xdr:nvGraphicFramePr>
        <xdr:cNvPr id="28" name="Chart 29"/>
        <xdr:cNvGraphicFramePr/>
      </xdr:nvGraphicFramePr>
      <xdr:xfrm>
        <a:off x="0" y="5276880"/>
        <a:ext cx="1800" cy="1990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1800</xdr:colOff>
      <xdr:row>41</xdr:row>
      <xdr:rowOff>28440</xdr:rowOff>
    </xdr:to>
    <xdr:graphicFrame>
      <xdr:nvGraphicFramePr>
        <xdr:cNvPr id="29" name="Chart 30"/>
        <xdr:cNvGraphicFramePr/>
      </xdr:nvGraphicFramePr>
      <xdr:xfrm>
        <a:off x="0" y="5276880"/>
        <a:ext cx="1800" cy="1981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3</xdr:col>
      <xdr:colOff>0</xdr:colOff>
      <xdr:row>45</xdr:row>
      <xdr:rowOff>19080</xdr:rowOff>
    </xdr:from>
    <xdr:to>
      <xdr:col>21</xdr:col>
      <xdr:colOff>10440</xdr:colOff>
      <xdr:row>65</xdr:row>
      <xdr:rowOff>142920</xdr:rowOff>
    </xdr:to>
    <xdr:graphicFrame>
      <xdr:nvGraphicFramePr>
        <xdr:cNvPr id="30" name="Chart 31"/>
        <xdr:cNvGraphicFramePr/>
      </xdr:nvGraphicFramePr>
      <xdr:xfrm>
        <a:off x="3411360" y="7896240"/>
        <a:ext cx="17094240" cy="3390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6</xdr:col>
      <xdr:colOff>20520</xdr:colOff>
      <xdr:row>7</xdr:row>
      <xdr:rowOff>18720</xdr:rowOff>
    </xdr:from>
    <xdr:to>
      <xdr:col>13</xdr:col>
      <xdr:colOff>151560</xdr:colOff>
      <xdr:row>25</xdr:row>
      <xdr:rowOff>76320</xdr:rowOff>
    </xdr:to>
    <xdr:graphicFrame>
      <xdr:nvGraphicFramePr>
        <xdr:cNvPr id="31" name="Chart 32"/>
        <xdr:cNvGraphicFramePr/>
      </xdr:nvGraphicFramePr>
      <xdr:xfrm>
        <a:off x="6882840" y="1676160"/>
        <a:ext cx="6559920" cy="2991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2</xdr:col>
      <xdr:colOff>764640</xdr:colOff>
      <xdr:row>66</xdr:row>
      <xdr:rowOff>114480</xdr:rowOff>
    </xdr:from>
    <xdr:to>
      <xdr:col>20</xdr:col>
      <xdr:colOff>685080</xdr:colOff>
      <xdr:row>87</xdr:row>
      <xdr:rowOff>28440</xdr:rowOff>
    </xdr:to>
    <xdr:graphicFrame>
      <xdr:nvGraphicFramePr>
        <xdr:cNvPr id="32" name="Chart 33"/>
        <xdr:cNvGraphicFramePr/>
      </xdr:nvGraphicFramePr>
      <xdr:xfrm>
        <a:off x="3401280" y="11420640"/>
        <a:ext cx="17064720" cy="3314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13</xdr:col>
      <xdr:colOff>291600</xdr:colOff>
      <xdr:row>7</xdr:row>
      <xdr:rowOff>18720</xdr:rowOff>
    </xdr:from>
    <xdr:to>
      <xdr:col>21</xdr:col>
      <xdr:colOff>10440</xdr:colOff>
      <xdr:row>25</xdr:row>
      <xdr:rowOff>47520</xdr:rowOff>
    </xdr:to>
    <xdr:graphicFrame>
      <xdr:nvGraphicFramePr>
        <xdr:cNvPr id="33" name="Chart 34"/>
        <xdr:cNvGraphicFramePr/>
      </xdr:nvGraphicFramePr>
      <xdr:xfrm>
        <a:off x="13582800" y="1676160"/>
        <a:ext cx="6922800" cy="296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6</xdr:col>
      <xdr:colOff>0</xdr:colOff>
      <xdr:row>25</xdr:row>
      <xdr:rowOff>104400</xdr:rowOff>
    </xdr:from>
    <xdr:to>
      <xdr:col>13</xdr:col>
      <xdr:colOff>151560</xdr:colOff>
      <xdr:row>43</xdr:row>
      <xdr:rowOff>152640</xdr:rowOff>
    </xdr:to>
    <xdr:graphicFrame>
      <xdr:nvGraphicFramePr>
        <xdr:cNvPr id="34" name="Chart 35"/>
        <xdr:cNvGraphicFramePr/>
      </xdr:nvGraphicFramePr>
      <xdr:xfrm>
        <a:off x="6862320" y="4695480"/>
        <a:ext cx="6580440" cy="3010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13</xdr:col>
      <xdr:colOff>321840</xdr:colOff>
      <xdr:row>25</xdr:row>
      <xdr:rowOff>76320</xdr:rowOff>
    </xdr:from>
    <xdr:to>
      <xdr:col>21</xdr:col>
      <xdr:colOff>30600</xdr:colOff>
      <xdr:row>43</xdr:row>
      <xdr:rowOff>143280</xdr:rowOff>
    </xdr:to>
    <xdr:graphicFrame>
      <xdr:nvGraphicFramePr>
        <xdr:cNvPr id="35" name="Chart 36"/>
        <xdr:cNvGraphicFramePr/>
      </xdr:nvGraphicFramePr>
      <xdr:xfrm>
        <a:off x="13613040" y="4667400"/>
        <a:ext cx="6912720" cy="3029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NATTS/ARUBA/Alcatraz/quote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eolquote"/>
      <sheetName val="gas supply deal"/>
      <sheetName val="WKEND SENDOUT"/>
      <sheetName val="Sheet2"/>
      <sheetName val="nng ventura"/>
      <sheetName val="SENDOUT"/>
      <sheetName val="ngpl dss deal"/>
      <sheetName val="gage (sept)"/>
      <sheetName val="ANR"/>
      <sheetName val="Cary"/>
      <sheetName val="Richie"/>
      <sheetName val="CHICAGO PRICES"/>
      <sheetName val="gage ga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5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6.42"/>
    <col collapsed="false" customWidth="true" hidden="false" outlineLevel="0" max="2" min="2" style="1" width="10.99"/>
    <col collapsed="false" customWidth="true" hidden="false" outlineLevel="0" max="3" min="3" style="2" width="10.99"/>
    <col collapsed="false" customWidth="true" hidden="false" outlineLevel="0" max="4" min="4" style="2" width="26.42"/>
    <col collapsed="false" customWidth="true" hidden="false" outlineLevel="0" max="6" min="5" style="2" width="9.28"/>
    <col collapsed="false" customWidth="true" hidden="false" outlineLevel="0" max="7" min="7" style="2" width="26.42"/>
    <col collapsed="false" customWidth="true" hidden="false" outlineLevel="0" max="9" min="8" style="2" width="10.99"/>
    <col collapsed="false" customWidth="true" hidden="false" outlineLevel="0" max="10" min="10" style="2" width="26.42"/>
    <col collapsed="false" customWidth="true" hidden="false" outlineLevel="0" max="12" min="11" style="2" width="9.28"/>
    <col collapsed="false" customWidth="false" hidden="false" outlineLevel="0" max="13" min="13" style="2" width="9.14"/>
    <col collapsed="false" customWidth="true" hidden="false" outlineLevel="0" max="14" min="14" style="2" width="14.28"/>
    <col collapsed="false" customWidth="true" hidden="false" outlineLevel="0" max="17" min="15" style="2" width="13.7"/>
    <col collapsed="false" customWidth="false" hidden="false" outlineLevel="0" max="22" min="18" style="2" width="9.14"/>
    <col collapsed="false" customWidth="true" hidden="false" outlineLevel="0" max="23" min="23" style="2" width="13.7"/>
    <col collapsed="false" customWidth="true" hidden="false" outlineLevel="0" max="25" min="24" style="2" width="13.14"/>
    <col collapsed="false" customWidth="false" hidden="false" outlineLevel="0" max="257" min="26" style="2" width="9.14"/>
  </cols>
  <sheetData>
    <row r="1" customFormat="false" ht="27.75" hidden="false" customHeight="true" outlineLevel="0" collapsed="false">
      <c r="A1" s="1" t="s">
        <v>0</v>
      </c>
      <c r="B1" s="3" t="n">
        <f aca="true">TODAY()</f>
        <v>45926</v>
      </c>
      <c r="G1" s="2" t="s">
        <v>0</v>
      </c>
      <c r="H1" s="4" t="n">
        <f aca="true">TODAY()</f>
        <v>45926</v>
      </c>
    </row>
    <row r="2" customFormat="false" ht="13.5" hidden="false" customHeight="false" outlineLevel="0" collapsed="false">
      <c r="A2" s="1" t="s">
        <v>1</v>
      </c>
      <c r="B2" s="3" t="n">
        <f aca="true">TODAY()+2</f>
        <v>45928</v>
      </c>
      <c r="G2" s="2" t="s">
        <v>1</v>
      </c>
      <c r="H2" s="4" t="n">
        <f aca="true">TODAY()+3</f>
        <v>45929</v>
      </c>
    </row>
    <row r="3" customFormat="false" ht="25.5" hidden="false" customHeight="true" outlineLevel="0" collapsed="false">
      <c r="B3" s="5" t="s">
        <v>2</v>
      </c>
      <c r="C3" s="6" t="s">
        <v>3</v>
      </c>
      <c r="D3" s="6" t="s">
        <v>4</v>
      </c>
      <c r="H3" s="6" t="s">
        <v>2</v>
      </c>
      <c r="I3" s="6" t="s">
        <v>3</v>
      </c>
      <c r="J3" s="6" t="s">
        <v>4</v>
      </c>
    </row>
    <row r="4" customFormat="false" ht="13.5" hidden="false" customHeight="false" outlineLevel="0" collapsed="false">
      <c r="A4" s="1" t="s">
        <v>5</v>
      </c>
      <c r="B4" s="7" t="n">
        <v>42</v>
      </c>
      <c r="C4" s="8" t="n">
        <v>35</v>
      </c>
      <c r="D4" s="9" t="n">
        <f aca="false">AVERAGE(B4,C4)</f>
        <v>38.5</v>
      </c>
      <c r="G4" s="2" t="s">
        <v>5</v>
      </c>
      <c r="H4" s="10" t="n">
        <v>35</v>
      </c>
      <c r="I4" s="8" t="n">
        <v>23</v>
      </c>
      <c r="J4" s="9" t="n">
        <f aca="false">AVERAGE(H4,I4)</f>
        <v>29</v>
      </c>
    </row>
    <row r="5" customFormat="false" ht="13.5" hidden="false" customHeight="false" outlineLevel="0" collapsed="false">
      <c r="A5" s="11"/>
      <c r="B5" s="12"/>
      <c r="C5" s="6" t="s">
        <v>6</v>
      </c>
      <c r="D5" s="13"/>
      <c r="E5" s="14"/>
      <c r="F5" s="6" t="s">
        <v>6</v>
      </c>
      <c r="G5" s="13"/>
      <c r="H5" s="14"/>
      <c r="I5" s="6" t="s">
        <v>6</v>
      </c>
      <c r="J5" s="13"/>
      <c r="K5" s="14"/>
      <c r="L5" s="6" t="s">
        <v>6</v>
      </c>
      <c r="N5" s="15" t="s">
        <v>7</v>
      </c>
      <c r="O5" s="16" t="n">
        <f aca="true">TODAY()-1</f>
        <v>45925</v>
      </c>
      <c r="P5" s="16" t="n">
        <f aca="true">TODAY()</f>
        <v>45926</v>
      </c>
      <c r="Q5" s="16" t="s">
        <v>8</v>
      </c>
    </row>
    <row r="6" customFormat="false" ht="12.75" hidden="false" customHeight="false" outlineLevel="0" collapsed="false">
      <c r="A6" s="17" t="s">
        <v>9</v>
      </c>
      <c r="B6" s="18" t="n">
        <v>-900000</v>
      </c>
      <c r="C6" s="19" t="n">
        <v>-903000</v>
      </c>
      <c r="D6" s="20" t="s">
        <v>10</v>
      </c>
      <c r="E6" s="21" t="n">
        <v>-146000</v>
      </c>
      <c r="F6" s="19" t="n">
        <v>-140000</v>
      </c>
      <c r="G6" s="20" t="s">
        <v>9</v>
      </c>
      <c r="H6" s="21" t="n">
        <v>-1100000</v>
      </c>
      <c r="I6" s="19" t="n">
        <v>-1080000</v>
      </c>
      <c r="J6" s="20" t="s">
        <v>10</v>
      </c>
      <c r="K6" s="21" t="n">
        <v>-176000</v>
      </c>
      <c r="L6" s="19" t="n">
        <v>-180000</v>
      </c>
      <c r="N6" s="20" t="s">
        <v>11</v>
      </c>
      <c r="O6" s="22" t="n">
        <f aca="false">6300*2</f>
        <v>12600</v>
      </c>
      <c r="P6" s="23" t="n">
        <f aca="false">25276*2</f>
        <v>50552</v>
      </c>
      <c r="Q6" s="22" t="n">
        <f aca="false">+P6-O6</f>
        <v>37952</v>
      </c>
    </row>
    <row r="7" customFormat="false" ht="12.75" hidden="false" customHeight="false" outlineLevel="0" collapsed="false">
      <c r="A7" s="17" t="s">
        <v>12</v>
      </c>
      <c r="B7" s="18"/>
      <c r="D7" s="20" t="s">
        <v>13</v>
      </c>
      <c r="E7" s="21" t="n">
        <v>0</v>
      </c>
      <c r="G7" s="20" t="s">
        <v>12</v>
      </c>
      <c r="H7" s="21"/>
      <c r="J7" s="20" t="s">
        <v>13</v>
      </c>
      <c r="K7" s="21" t="n">
        <v>0</v>
      </c>
      <c r="N7" s="20" t="s">
        <v>14</v>
      </c>
      <c r="O7" s="24" t="n">
        <f aca="false">DAILY!K5</f>
        <v>0</v>
      </c>
      <c r="P7" s="25" t="n">
        <f aca="false">DAILY!L5</f>
        <v>0</v>
      </c>
      <c r="Q7" s="24" t="n">
        <f aca="false">+P7-O7</f>
        <v>0</v>
      </c>
    </row>
    <row r="8" customFormat="false" ht="13.5" hidden="false" customHeight="false" outlineLevel="0" collapsed="false">
      <c r="A8" s="17" t="s">
        <v>15</v>
      </c>
      <c r="B8" s="18" t="n">
        <f aca="false">-10670-10000</f>
        <v>-20670</v>
      </c>
      <c r="D8" s="20" t="s">
        <v>16</v>
      </c>
      <c r="E8" s="21"/>
      <c r="G8" s="20" t="s">
        <v>15</v>
      </c>
      <c r="H8" s="21" t="n">
        <f aca="false">-10670-10000</f>
        <v>-20670</v>
      </c>
      <c r="J8" s="20" t="s">
        <v>16</v>
      </c>
      <c r="K8" s="21"/>
      <c r="N8" s="26" t="s">
        <v>17</v>
      </c>
      <c r="O8" s="27" t="n">
        <f aca="false">+(O6-O7)/2</f>
        <v>6300</v>
      </c>
      <c r="P8" s="28" t="n">
        <f aca="false">+(P6-P7)/2</f>
        <v>25276</v>
      </c>
      <c r="Q8" s="27" t="n">
        <f aca="false">+P8-O8</f>
        <v>18976</v>
      </c>
    </row>
    <row r="9" customFormat="false" ht="12.75" hidden="false" customHeight="false" outlineLevel="0" collapsed="false">
      <c r="A9" s="17" t="s">
        <v>18</v>
      </c>
      <c r="B9" s="18" t="n">
        <v>0</v>
      </c>
      <c r="D9" s="20" t="s">
        <v>19</v>
      </c>
      <c r="E9" s="21" t="n">
        <v>0</v>
      </c>
      <c r="G9" s="29" t="s">
        <v>18</v>
      </c>
      <c r="H9" s="21" t="n">
        <v>0</v>
      </c>
      <c r="J9" s="20" t="s">
        <v>19</v>
      </c>
      <c r="K9" s="21" t="n">
        <v>0</v>
      </c>
    </row>
    <row r="10" customFormat="false" ht="12.75" hidden="false" customHeight="false" outlineLevel="0" collapsed="false">
      <c r="A10" s="17" t="s">
        <v>20</v>
      </c>
      <c r="B10" s="18" t="n">
        <v>-50000</v>
      </c>
      <c r="C10" s="30"/>
      <c r="D10" s="20" t="s">
        <v>21</v>
      </c>
      <c r="E10" s="21" t="n">
        <v>0</v>
      </c>
      <c r="G10" s="29" t="s">
        <v>20</v>
      </c>
      <c r="H10" s="21" t="n">
        <v>-50000</v>
      </c>
      <c r="I10" s="30"/>
      <c r="J10" s="20" t="s">
        <v>21</v>
      </c>
      <c r="K10" s="21" t="n">
        <v>0</v>
      </c>
    </row>
    <row r="11" customFormat="false" ht="12.75" hidden="false" customHeight="false" outlineLevel="0" collapsed="false">
      <c r="A11" s="17" t="s">
        <v>22</v>
      </c>
      <c r="B11" s="21" t="n">
        <f aca="false">-25720-B8</f>
        <v>-5050</v>
      </c>
      <c r="C11" s="30"/>
      <c r="D11" s="20" t="s">
        <v>23</v>
      </c>
      <c r="E11" s="21" t="n">
        <v>0</v>
      </c>
      <c r="G11" s="29" t="s">
        <v>22</v>
      </c>
      <c r="H11" s="21" t="n">
        <f aca="false">-25720-H8</f>
        <v>-5050</v>
      </c>
      <c r="I11" s="30"/>
      <c r="J11" s="20" t="s">
        <v>23</v>
      </c>
      <c r="K11" s="21" t="n">
        <v>0</v>
      </c>
    </row>
    <row r="12" customFormat="false" ht="12.75" hidden="false" customHeight="false" outlineLevel="0" collapsed="false">
      <c r="A12" s="17" t="s">
        <v>24</v>
      </c>
      <c r="B12" s="18" t="n">
        <v>0</v>
      </c>
      <c r="D12" s="29" t="s">
        <v>25</v>
      </c>
      <c r="E12" s="21" t="n">
        <v>-1000</v>
      </c>
      <c r="G12" s="20" t="s">
        <v>24</v>
      </c>
      <c r="H12" s="21" t="n">
        <v>0</v>
      </c>
      <c r="J12" s="29" t="s">
        <v>25</v>
      </c>
      <c r="K12" s="21" t="n">
        <v>-1000</v>
      </c>
    </row>
    <row r="13" customFormat="false" ht="13.5" hidden="false" customHeight="false" outlineLevel="0" collapsed="false">
      <c r="A13" s="17" t="s">
        <v>19</v>
      </c>
      <c r="B13" s="21" t="n">
        <f aca="false">(-126746-24000-3730)-B14</f>
        <v>-125294</v>
      </c>
      <c r="D13" s="20" t="s">
        <v>26</v>
      </c>
      <c r="E13" s="21" t="n">
        <v>0</v>
      </c>
      <c r="G13" s="20" t="s">
        <v>19</v>
      </c>
      <c r="H13" s="21" t="n">
        <f aca="false">(-126746-24000-3730)-H14</f>
        <v>-125294</v>
      </c>
      <c r="J13" s="20" t="s">
        <v>26</v>
      </c>
      <c r="K13" s="21" t="n">
        <v>0</v>
      </c>
    </row>
    <row r="14" customFormat="false" ht="13.5" hidden="false" customHeight="false" outlineLevel="0" collapsed="false">
      <c r="A14" s="17" t="s">
        <v>27</v>
      </c>
      <c r="B14" s="18" t="n">
        <f aca="false">-1452-24000-3730</f>
        <v>-29182</v>
      </c>
      <c r="C14" s="2" t="s">
        <v>28</v>
      </c>
      <c r="D14" s="31" t="s">
        <v>29</v>
      </c>
      <c r="E14" s="32" t="n">
        <f aca="false">SUM(E6:E13)</f>
        <v>-147000</v>
      </c>
      <c r="G14" s="20" t="s">
        <v>27</v>
      </c>
      <c r="H14" s="21" t="n">
        <f aca="false">-1452-24000-3730</f>
        <v>-29182</v>
      </c>
      <c r="I14" s="2" t="s">
        <v>28</v>
      </c>
      <c r="J14" s="31" t="s">
        <v>29</v>
      </c>
      <c r="K14" s="32" t="n">
        <f aca="false">SUM(K6:K13)</f>
        <v>-177000</v>
      </c>
    </row>
    <row r="15" customFormat="false" ht="12.75" hidden="false" customHeight="false" outlineLevel="0" collapsed="false">
      <c r="A15" s="17" t="s">
        <v>7</v>
      </c>
      <c r="B15" s="18" t="n">
        <v>0</v>
      </c>
      <c r="C15" s="30"/>
      <c r="D15" s="20"/>
      <c r="E15" s="21"/>
      <c r="F15" s="30" t="n">
        <f aca="false">SUM(E29,E14)</f>
        <v>0</v>
      </c>
      <c r="G15" s="20" t="s">
        <v>7</v>
      </c>
      <c r="H15" s="21" t="n">
        <v>0</v>
      </c>
      <c r="I15" s="30"/>
      <c r="J15" s="20"/>
      <c r="K15" s="21"/>
      <c r="L15" s="30" t="n">
        <f aca="false">SUM(K29,K14)</f>
        <v>0</v>
      </c>
    </row>
    <row r="16" customFormat="false" ht="12.75" hidden="false" customHeight="false" outlineLevel="0" collapsed="false">
      <c r="A16" s="17" t="s">
        <v>16</v>
      </c>
      <c r="B16" s="18"/>
      <c r="C16" s="30"/>
      <c r="D16" s="20" t="s">
        <v>30</v>
      </c>
      <c r="E16" s="21" t="n">
        <v>49111</v>
      </c>
      <c r="G16" s="20" t="s">
        <v>16</v>
      </c>
      <c r="H16" s="21"/>
      <c r="I16" s="30"/>
      <c r="J16" s="20" t="s">
        <v>30</v>
      </c>
      <c r="K16" s="21" t="n">
        <v>49111</v>
      </c>
    </row>
    <row r="17" customFormat="false" ht="12.75" hidden="false" customHeight="false" outlineLevel="0" collapsed="false">
      <c r="A17" s="17" t="s">
        <v>26</v>
      </c>
      <c r="B17" s="18" t="n">
        <v>-35000</v>
      </c>
      <c r="C17" s="30"/>
      <c r="D17" s="20" t="s">
        <v>31</v>
      </c>
      <c r="E17" s="21" t="n">
        <v>0</v>
      </c>
      <c r="G17" s="20" t="s">
        <v>26</v>
      </c>
      <c r="H17" s="21" t="n">
        <v>0</v>
      </c>
      <c r="I17" s="30"/>
      <c r="J17" s="20" t="s">
        <v>31</v>
      </c>
      <c r="K17" s="21" t="n">
        <v>0</v>
      </c>
    </row>
    <row r="18" customFormat="false" ht="12.75" hidden="false" customHeight="false" outlineLevel="0" collapsed="false">
      <c r="A18" s="17" t="s">
        <v>32</v>
      </c>
      <c r="B18" s="18" t="n">
        <v>0</v>
      </c>
      <c r="C18" s="2" t="s">
        <v>28</v>
      </c>
      <c r="D18" s="20" t="s">
        <v>33</v>
      </c>
      <c r="E18" s="21" t="n">
        <v>8933</v>
      </c>
      <c r="F18" s="30" t="s">
        <v>28</v>
      </c>
      <c r="G18" s="20" t="s">
        <v>32</v>
      </c>
      <c r="H18" s="21" t="n">
        <v>0</v>
      </c>
      <c r="I18" s="2" t="s">
        <v>28</v>
      </c>
      <c r="J18" s="20" t="s">
        <v>33</v>
      </c>
      <c r="K18" s="21" t="n">
        <v>8933</v>
      </c>
    </row>
    <row r="19" customFormat="false" ht="12.75" hidden="false" customHeight="false" outlineLevel="0" collapsed="false">
      <c r="A19" s="17" t="s">
        <v>34</v>
      </c>
      <c r="B19" s="18" t="n">
        <v>0</v>
      </c>
      <c r="D19" s="20" t="s">
        <v>35</v>
      </c>
      <c r="E19" s="21" t="n">
        <v>38712</v>
      </c>
      <c r="G19" s="20" t="s">
        <v>34</v>
      </c>
      <c r="H19" s="21" t="n">
        <v>0</v>
      </c>
      <c r="J19" s="20" t="s">
        <v>35</v>
      </c>
      <c r="K19" s="21" t="n">
        <v>38712</v>
      </c>
    </row>
    <row r="20" customFormat="false" ht="12.75" hidden="false" customHeight="false" outlineLevel="0" collapsed="false">
      <c r="A20" s="17" t="s">
        <v>36</v>
      </c>
      <c r="B20" s="18" t="n">
        <v>0</v>
      </c>
      <c r="C20" s="30"/>
      <c r="D20" s="20" t="s">
        <v>37</v>
      </c>
      <c r="E20" s="21"/>
      <c r="G20" s="20" t="s">
        <v>36</v>
      </c>
      <c r="H20" s="21" t="n">
        <v>0</v>
      </c>
      <c r="I20" s="30"/>
      <c r="J20" s="20" t="s">
        <v>37</v>
      </c>
      <c r="K20" s="21"/>
    </row>
    <row r="21" customFormat="false" ht="12.75" hidden="false" customHeight="false" outlineLevel="0" collapsed="false">
      <c r="A21" s="17" t="s">
        <v>38</v>
      </c>
      <c r="B21" s="18" t="n">
        <v>0</v>
      </c>
      <c r="C21" s="30"/>
      <c r="D21" s="20" t="s">
        <v>39</v>
      </c>
      <c r="E21" s="21" t="n">
        <v>8000</v>
      </c>
      <c r="G21" s="20" t="s">
        <v>38</v>
      </c>
      <c r="H21" s="21" t="n">
        <v>0</v>
      </c>
      <c r="I21" s="30"/>
      <c r="J21" s="20" t="s">
        <v>39</v>
      </c>
      <c r="K21" s="21" t="n">
        <v>8000</v>
      </c>
    </row>
    <row r="22" customFormat="false" ht="12.75" hidden="false" customHeight="false" outlineLevel="0" collapsed="false">
      <c r="A22" s="17" t="s">
        <v>40</v>
      </c>
      <c r="B22" s="18" t="n">
        <v>-42500</v>
      </c>
      <c r="C22" s="30"/>
      <c r="D22" s="20" t="s">
        <v>41</v>
      </c>
      <c r="E22" s="21" t="n">
        <v>7000</v>
      </c>
      <c r="G22" s="20" t="s">
        <v>40</v>
      </c>
      <c r="H22" s="21" t="n">
        <v>0</v>
      </c>
      <c r="I22" s="30"/>
      <c r="J22" s="20" t="s">
        <v>41</v>
      </c>
      <c r="K22" s="21" t="n">
        <v>7000</v>
      </c>
    </row>
    <row r="23" customFormat="false" ht="12.75" hidden="false" customHeight="false" outlineLevel="0" collapsed="false">
      <c r="A23" s="17" t="s">
        <v>19</v>
      </c>
      <c r="B23" s="18" t="n">
        <v>0</v>
      </c>
      <c r="C23" s="30" t="s">
        <v>28</v>
      </c>
      <c r="D23" s="20" t="s">
        <v>42</v>
      </c>
      <c r="E23" s="21" t="n">
        <f aca="false">25000+1244</f>
        <v>26244</v>
      </c>
      <c r="G23" s="20" t="s">
        <v>19</v>
      </c>
      <c r="H23" s="21" t="n">
        <v>0</v>
      </c>
      <c r="I23" s="30" t="s">
        <v>28</v>
      </c>
      <c r="J23" s="20" t="s">
        <v>42</v>
      </c>
      <c r="K23" s="21" t="n">
        <f aca="false">45000+11244</f>
        <v>56244</v>
      </c>
    </row>
    <row r="24" customFormat="false" ht="12.75" hidden="false" customHeight="false" outlineLevel="0" collapsed="false">
      <c r="A24" s="17" t="s">
        <v>43</v>
      </c>
      <c r="B24" s="18" t="n">
        <v>0</v>
      </c>
      <c r="D24" s="20" t="s">
        <v>26</v>
      </c>
      <c r="E24" s="21" t="n">
        <v>0</v>
      </c>
      <c r="G24" s="20" t="s">
        <v>43</v>
      </c>
      <c r="H24" s="21" t="n">
        <v>0</v>
      </c>
      <c r="J24" s="20" t="s">
        <v>26</v>
      </c>
      <c r="K24" s="21" t="n">
        <v>0</v>
      </c>
    </row>
    <row r="25" customFormat="false" ht="12.75" hidden="false" customHeight="false" outlineLevel="0" collapsed="false">
      <c r="A25" s="17" t="s">
        <v>44</v>
      </c>
      <c r="B25" s="18" t="n">
        <v>0</v>
      </c>
      <c r="D25" s="20" t="s">
        <v>19</v>
      </c>
      <c r="E25" s="21" t="n">
        <v>9000</v>
      </c>
      <c r="G25" s="20" t="s">
        <v>44</v>
      </c>
      <c r="H25" s="21" t="n">
        <v>0</v>
      </c>
      <c r="J25" s="20" t="s">
        <v>19</v>
      </c>
      <c r="K25" s="21" t="n">
        <v>9000</v>
      </c>
    </row>
    <row r="26" customFormat="false" ht="13.5" hidden="false" customHeight="false" outlineLevel="0" collapsed="false">
      <c r="A26" s="17" t="s">
        <v>45</v>
      </c>
      <c r="B26" s="18" t="n">
        <v>-22500</v>
      </c>
      <c r="D26" s="20" t="s">
        <v>25</v>
      </c>
      <c r="E26" s="21" t="n">
        <v>0</v>
      </c>
      <c r="G26" s="20" t="s">
        <v>45</v>
      </c>
      <c r="H26" s="21" t="n">
        <v>0</v>
      </c>
      <c r="J26" s="20" t="s">
        <v>25</v>
      </c>
      <c r="K26" s="21" t="n">
        <v>0</v>
      </c>
    </row>
    <row r="27" customFormat="false" ht="13.5" hidden="false" customHeight="false" outlineLevel="0" collapsed="false">
      <c r="A27" s="33" t="s">
        <v>29</v>
      </c>
      <c r="B27" s="32" t="n">
        <f aca="false">SUM(B6:B26)</f>
        <v>-1230196</v>
      </c>
      <c r="C27" s="30" t="n">
        <f aca="false">SUM(B27,B54)</f>
        <v>0</v>
      </c>
      <c r="D27" s="20" t="s">
        <v>46</v>
      </c>
      <c r="E27" s="21" t="n">
        <v>0</v>
      </c>
      <c r="G27" s="31" t="s">
        <v>29</v>
      </c>
      <c r="H27" s="32" t="n">
        <f aca="false">SUM(H6:H26)</f>
        <v>-1330196</v>
      </c>
      <c r="I27" s="30" t="n">
        <f aca="false">SUM(H27,H54)</f>
        <v>0</v>
      </c>
      <c r="J27" s="20" t="s">
        <v>46</v>
      </c>
      <c r="K27" s="21" t="n">
        <v>0</v>
      </c>
    </row>
    <row r="28" customFormat="false" ht="13.5" hidden="false" customHeight="false" outlineLevel="0" collapsed="false">
      <c r="A28" s="17"/>
      <c r="B28" s="18"/>
      <c r="D28" s="20" t="s">
        <v>47</v>
      </c>
      <c r="E28" s="21" t="n">
        <v>0</v>
      </c>
      <c r="G28" s="20"/>
      <c r="H28" s="21"/>
      <c r="J28" s="20" t="s">
        <v>47</v>
      </c>
      <c r="K28" s="21" t="n">
        <v>0</v>
      </c>
    </row>
    <row r="29" customFormat="false" ht="13.5" hidden="false" customHeight="false" outlineLevel="0" collapsed="false">
      <c r="A29" s="17" t="s">
        <v>30</v>
      </c>
      <c r="B29" s="18" t="n">
        <v>355784</v>
      </c>
      <c r="C29" s="30" t="s">
        <v>28</v>
      </c>
      <c r="D29" s="31" t="s">
        <v>48</v>
      </c>
      <c r="E29" s="32" t="n">
        <f aca="false">SUM(E16:E28)</f>
        <v>147000</v>
      </c>
      <c r="G29" s="20" t="s">
        <v>30</v>
      </c>
      <c r="H29" s="21" t="n">
        <v>355784</v>
      </c>
      <c r="I29" s="30" t="s">
        <v>28</v>
      </c>
      <c r="J29" s="31" t="s">
        <v>48</v>
      </c>
      <c r="K29" s="32" t="n">
        <f aca="false">SUM(K16:K28)</f>
        <v>177000</v>
      </c>
    </row>
    <row r="30" customFormat="false" ht="13.5" hidden="false" customHeight="false" outlineLevel="0" collapsed="false">
      <c r="A30" s="17" t="s">
        <v>31</v>
      </c>
      <c r="B30" s="18" t="n">
        <v>0</v>
      </c>
      <c r="D30" s="26"/>
      <c r="E30" s="34"/>
      <c r="F30" s="30"/>
      <c r="G30" s="20" t="s">
        <v>31</v>
      </c>
      <c r="H30" s="21" t="n">
        <v>0</v>
      </c>
      <c r="J30" s="26"/>
      <c r="K30" s="34"/>
    </row>
    <row r="31" customFormat="false" ht="12.75" hidden="false" customHeight="false" outlineLevel="0" collapsed="false">
      <c r="A31" s="17" t="s">
        <v>33</v>
      </c>
      <c r="B31" s="18" t="n">
        <v>0</v>
      </c>
      <c r="C31" s="30" t="s">
        <v>28</v>
      </c>
      <c r="D31" s="0"/>
      <c r="E31" s="0"/>
      <c r="G31" s="20" t="s">
        <v>33</v>
      </c>
      <c r="H31" s="21" t="n">
        <v>0</v>
      </c>
      <c r="I31" s="30" t="s">
        <v>28</v>
      </c>
      <c r="J31" s="0"/>
      <c r="K31" s="0"/>
    </row>
    <row r="32" customFormat="false" ht="12.75" hidden="false" customHeight="false" outlineLevel="0" collapsed="false">
      <c r="A32" s="17" t="s">
        <v>35</v>
      </c>
      <c r="B32" s="18" t="n">
        <v>424539</v>
      </c>
      <c r="E32" s="19"/>
      <c r="G32" s="20" t="s">
        <v>35</v>
      </c>
      <c r="H32" s="21" t="n">
        <v>424539</v>
      </c>
      <c r="K32" s="19"/>
    </row>
    <row r="33" customFormat="false" ht="12.75" hidden="false" customHeight="false" outlineLevel="0" collapsed="false">
      <c r="A33" s="17" t="s">
        <v>49</v>
      </c>
      <c r="B33" s="18" t="n">
        <v>0</v>
      </c>
      <c r="E33" s="19"/>
      <c r="G33" s="20" t="s">
        <v>49</v>
      </c>
      <c r="H33" s="21" t="n">
        <v>0</v>
      </c>
      <c r="K33" s="19"/>
    </row>
    <row r="34" customFormat="false" ht="12.75" hidden="false" customHeight="false" outlineLevel="0" collapsed="false">
      <c r="A34" s="17" t="s">
        <v>50</v>
      </c>
      <c r="B34" s="18" t="n">
        <v>0</v>
      </c>
      <c r="G34" s="20" t="s">
        <v>50</v>
      </c>
      <c r="H34" s="21" t="n">
        <v>0</v>
      </c>
    </row>
    <row r="35" customFormat="false" ht="12.75" hidden="false" customHeight="false" outlineLevel="0" collapsed="false">
      <c r="A35" s="17" t="s">
        <v>51</v>
      </c>
      <c r="B35" s="18" t="n">
        <v>47813</v>
      </c>
      <c r="G35" s="20" t="s">
        <v>51</v>
      </c>
      <c r="H35" s="21" t="n">
        <v>47813</v>
      </c>
    </row>
    <row r="36" customFormat="false" ht="12.75" hidden="false" customHeight="false" outlineLevel="0" collapsed="false">
      <c r="A36" s="17" t="s">
        <v>52</v>
      </c>
      <c r="B36" s="18" t="n">
        <v>0</v>
      </c>
      <c r="G36" s="20" t="s">
        <v>52</v>
      </c>
      <c r="H36" s="21" t="n">
        <v>0</v>
      </c>
    </row>
    <row r="37" customFormat="false" ht="12.75" hidden="false" customHeight="false" outlineLevel="0" collapsed="false">
      <c r="A37" s="17" t="s">
        <v>46</v>
      </c>
      <c r="B37" s="18" t="n">
        <v>15050</v>
      </c>
      <c r="G37" s="20" t="s">
        <v>46</v>
      </c>
      <c r="H37" s="21" t="n">
        <v>15050</v>
      </c>
    </row>
    <row r="38" customFormat="false" ht="12.75" hidden="false" customHeight="false" outlineLevel="0" collapsed="false">
      <c r="A38" s="17" t="s">
        <v>7</v>
      </c>
      <c r="B38" s="18" t="n">
        <v>0</v>
      </c>
      <c r="G38" s="20" t="s">
        <v>7</v>
      </c>
      <c r="H38" s="21" t="n">
        <v>0</v>
      </c>
    </row>
    <row r="39" customFormat="false" ht="12.75" hidden="false" customHeight="false" outlineLevel="0" collapsed="false">
      <c r="A39" s="17" t="s">
        <v>24</v>
      </c>
      <c r="B39" s="35"/>
      <c r="G39" s="20" t="s">
        <v>24</v>
      </c>
      <c r="H39" s="36"/>
    </row>
    <row r="40" customFormat="false" ht="12.75" hidden="false" customHeight="false" outlineLevel="0" collapsed="false">
      <c r="A40" s="17" t="s">
        <v>53</v>
      </c>
      <c r="B40" s="18" t="n">
        <v>0</v>
      </c>
      <c r="G40" s="20" t="s">
        <v>53</v>
      </c>
      <c r="H40" s="21" t="n">
        <v>0</v>
      </c>
    </row>
    <row r="41" customFormat="false" ht="12.75" hidden="false" customHeight="false" outlineLevel="0" collapsed="false">
      <c r="A41" s="17" t="s">
        <v>19</v>
      </c>
      <c r="B41" s="18" t="n">
        <v>0</v>
      </c>
      <c r="G41" s="20" t="s">
        <v>19</v>
      </c>
      <c r="H41" s="21" t="n">
        <v>0</v>
      </c>
    </row>
    <row r="42" customFormat="false" ht="12.75" hidden="false" customHeight="false" outlineLevel="0" collapsed="false">
      <c r="A42" s="17" t="s">
        <v>54</v>
      </c>
      <c r="B42" s="18" t="n">
        <v>10</v>
      </c>
      <c r="G42" s="20" t="s">
        <v>54</v>
      </c>
      <c r="H42" s="21" t="n">
        <v>10</v>
      </c>
    </row>
    <row r="43" customFormat="false" ht="12.75" hidden="false" customHeight="false" outlineLevel="0" collapsed="false">
      <c r="A43" s="17" t="s">
        <v>55</v>
      </c>
      <c r="B43" s="18" t="n">
        <v>1000</v>
      </c>
      <c r="G43" s="20" t="s">
        <v>55</v>
      </c>
      <c r="H43" s="21" t="n">
        <v>1000</v>
      </c>
    </row>
    <row r="44" customFormat="false" ht="12.75" hidden="false" customHeight="false" outlineLevel="0" collapsed="false">
      <c r="A44" s="17" t="s">
        <v>37</v>
      </c>
      <c r="B44" s="18"/>
      <c r="E44" s="19"/>
      <c r="G44" s="20" t="s">
        <v>37</v>
      </c>
      <c r="H44" s="21"/>
      <c r="K44" s="19"/>
    </row>
    <row r="45" customFormat="false" ht="12.75" hidden="false" customHeight="false" outlineLevel="0" collapsed="false">
      <c r="A45" s="17" t="s">
        <v>42</v>
      </c>
      <c r="B45" s="18" t="n">
        <v>35000</v>
      </c>
      <c r="E45" s="19"/>
      <c r="G45" s="20" t="s">
        <v>42</v>
      </c>
      <c r="H45" s="21" t="n">
        <v>35000</v>
      </c>
      <c r="K45" s="19"/>
    </row>
    <row r="46" customFormat="false" ht="12.75" hidden="false" customHeight="false" outlineLevel="0" collapsed="false">
      <c r="A46" s="17" t="s">
        <v>26</v>
      </c>
      <c r="B46" s="18" t="n">
        <v>0</v>
      </c>
      <c r="E46" s="19"/>
      <c r="G46" s="20" t="s">
        <v>26</v>
      </c>
      <c r="H46" s="21" t="n">
        <v>0</v>
      </c>
      <c r="K46" s="19"/>
    </row>
    <row r="47" customFormat="false" ht="12.75" hidden="false" customHeight="false" outlineLevel="0" collapsed="false">
      <c r="A47" s="17" t="s">
        <v>32</v>
      </c>
      <c r="B47" s="18" t="n">
        <v>0</v>
      </c>
      <c r="E47" s="19"/>
      <c r="G47" s="20" t="s">
        <v>32</v>
      </c>
      <c r="H47" s="21" t="n">
        <v>0</v>
      </c>
      <c r="K47" s="19"/>
    </row>
    <row r="48" customFormat="false" ht="12.75" hidden="false" customHeight="false" outlineLevel="0" collapsed="false">
      <c r="A48" s="17" t="s">
        <v>56</v>
      </c>
      <c r="B48" s="18" t="n">
        <v>0</v>
      </c>
      <c r="E48" s="19"/>
      <c r="G48" s="20" t="s">
        <v>56</v>
      </c>
      <c r="H48" s="21" t="n">
        <v>0</v>
      </c>
      <c r="K48" s="19"/>
    </row>
    <row r="49" customFormat="false" ht="12.75" hidden="false" customHeight="false" outlineLevel="0" collapsed="false">
      <c r="A49" s="17" t="s">
        <v>57</v>
      </c>
      <c r="B49" s="18" t="n">
        <v>0</v>
      </c>
      <c r="C49" s="30"/>
      <c r="G49" s="20" t="s">
        <v>57</v>
      </c>
      <c r="H49" s="21" t="n">
        <v>0</v>
      </c>
      <c r="I49" s="30"/>
    </row>
    <row r="50" customFormat="false" ht="12.75" hidden="false" customHeight="false" outlineLevel="0" collapsed="false">
      <c r="A50" s="17" t="s">
        <v>58</v>
      </c>
      <c r="B50" s="18" t="n">
        <v>60000</v>
      </c>
      <c r="E50" s="19"/>
      <c r="G50" s="20" t="s">
        <v>58</v>
      </c>
      <c r="H50" s="21" t="n">
        <v>60000</v>
      </c>
      <c r="K50" s="19"/>
    </row>
    <row r="51" customFormat="false" ht="12.75" hidden="false" customHeight="false" outlineLevel="0" collapsed="false">
      <c r="A51" s="17" t="s">
        <v>40</v>
      </c>
      <c r="B51" s="18" t="n">
        <v>0</v>
      </c>
      <c r="E51" s="19"/>
      <c r="G51" s="20" t="s">
        <v>40</v>
      </c>
      <c r="H51" s="21" t="n">
        <v>0</v>
      </c>
      <c r="K51" s="19"/>
    </row>
    <row r="52" customFormat="false" ht="12.75" hidden="false" customHeight="false" outlineLevel="0" collapsed="false">
      <c r="A52" s="17" t="s">
        <v>19</v>
      </c>
      <c r="B52" s="18" t="n">
        <f aca="false">163387+137613+66000-67000-9000</f>
        <v>291000</v>
      </c>
      <c r="C52" s="0"/>
      <c r="E52" s="19"/>
      <c r="G52" s="20" t="s">
        <v>19</v>
      </c>
      <c r="H52" s="18" t="n">
        <f aca="false">236524+154476</f>
        <v>391000</v>
      </c>
      <c r="I52" s="0"/>
      <c r="K52" s="19"/>
    </row>
    <row r="53" customFormat="false" ht="13.5" hidden="false" customHeight="false" outlineLevel="0" collapsed="false">
      <c r="A53" s="17" t="s">
        <v>47</v>
      </c>
      <c r="B53" s="18" t="n">
        <v>0</v>
      </c>
      <c r="C53" s="0"/>
      <c r="E53" s="19"/>
      <c r="G53" s="20" t="s">
        <v>47</v>
      </c>
      <c r="H53" s="21" t="n">
        <v>0</v>
      </c>
      <c r="I53" s="0"/>
      <c r="K53" s="19"/>
    </row>
    <row r="54" customFormat="false" ht="13.5" hidden="false" customHeight="false" outlineLevel="0" collapsed="false">
      <c r="A54" s="33" t="s">
        <v>48</v>
      </c>
      <c r="B54" s="32" t="n">
        <f aca="false">SUM(B29:B53)</f>
        <v>1230196</v>
      </c>
      <c r="E54" s="19"/>
      <c r="G54" s="31" t="s">
        <v>48</v>
      </c>
      <c r="H54" s="32" t="n">
        <f aca="false">SUM(H29:H53)</f>
        <v>1330196</v>
      </c>
      <c r="K54" s="19"/>
    </row>
    <row r="55" customFormat="false" ht="13.5" hidden="false" customHeight="false" outlineLevel="0" collapsed="false">
      <c r="A55" s="37"/>
      <c r="B55" s="38"/>
      <c r="E55" s="19"/>
      <c r="G55" s="26"/>
      <c r="H55" s="39"/>
      <c r="K55" s="19"/>
    </row>
    <row r="56" customFormat="false" ht="12.75" hidden="false" customHeight="false" outlineLevel="0" collapsed="false">
      <c r="E56" s="19"/>
      <c r="K56" s="19"/>
    </row>
    <row r="57" customFormat="false" ht="12.75" hidden="false" customHeight="false" outlineLevel="0" collapsed="false">
      <c r="E57" s="19"/>
      <c r="K57" s="19"/>
    </row>
    <row r="58" customFormat="false" ht="12.75" hidden="false" customHeight="false" outlineLevel="0" collapsed="false">
      <c r="E58" s="19"/>
      <c r="K58" s="19"/>
    </row>
    <row r="59" customFormat="false" ht="12.75" hidden="false" customHeight="false" outlineLevel="0" collapsed="false">
      <c r="E59" s="19"/>
      <c r="K59" s="19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57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26.42"/>
    <col collapsed="false" customWidth="true" hidden="false" outlineLevel="0" max="3" min="2" style="2" width="10.99"/>
    <col collapsed="false" customWidth="true" hidden="false" outlineLevel="0" max="4" min="4" style="2" width="26.42"/>
    <col collapsed="false" customWidth="true" hidden="false" outlineLevel="0" max="5" min="5" style="2" width="10.41"/>
    <col collapsed="false" customWidth="true" hidden="false" outlineLevel="0" max="6" min="6" style="2" width="12.14"/>
    <col collapsed="false" customWidth="true" hidden="false" outlineLevel="0" max="7" min="7" style="2" width="12.28"/>
    <col collapsed="false" customWidth="true" hidden="false" outlineLevel="0" max="8" min="8" style="2" width="11.56"/>
    <col collapsed="false" customWidth="true" hidden="false" outlineLevel="0" max="9" min="9" style="2" width="11.85"/>
    <col collapsed="false" customWidth="true" hidden="false" outlineLevel="0" max="10" min="10" style="2" width="14.56"/>
    <col collapsed="false" customWidth="true" hidden="false" outlineLevel="0" max="12" min="11" style="2" width="13.7"/>
    <col collapsed="false" customWidth="true" hidden="false" outlineLevel="0" max="13" min="13" style="2" width="13.56"/>
    <col collapsed="false" customWidth="false" hidden="false" outlineLevel="0" max="14" min="14" style="2" width="9.14"/>
    <col collapsed="false" customWidth="true" hidden="false" outlineLevel="0" max="15" min="15" style="2" width="18.99"/>
    <col collapsed="false" customWidth="true" hidden="false" outlineLevel="0" max="16" min="16" style="2" width="10.71"/>
    <col collapsed="false" customWidth="true" hidden="false" outlineLevel="0" max="17" min="17" style="2" width="11.85"/>
    <col collapsed="false" customWidth="true" hidden="false" outlineLevel="0" max="18" min="18" style="2" width="9.99"/>
    <col collapsed="false" customWidth="true" hidden="false" outlineLevel="0" max="19" min="19" style="2" width="20.7"/>
    <col collapsed="false" customWidth="true" hidden="false" outlineLevel="0" max="20" min="20" style="2" width="10.71"/>
    <col collapsed="false" customWidth="true" hidden="false" outlineLevel="0" max="21" min="21" style="2" width="10.13"/>
    <col collapsed="false" customWidth="true" hidden="false" outlineLevel="0" max="22" min="22" style="2" width="3.14"/>
    <col collapsed="false" customWidth="true" hidden="false" outlineLevel="0" max="23" min="23" style="2" width="11.85"/>
    <col collapsed="false" customWidth="true" hidden="false" outlineLevel="0" max="25" min="24" style="2" width="10.28"/>
    <col collapsed="false" customWidth="true" hidden="false" outlineLevel="0" max="26" min="26" style="2" width="9.28"/>
    <col collapsed="false" customWidth="true" hidden="false" outlineLevel="0" max="27" min="27" style="2" width="1.7"/>
    <col collapsed="false" customWidth="true" hidden="false" outlineLevel="0" max="30" min="28" style="2" width="9.28"/>
    <col collapsed="false" customWidth="false" hidden="false" outlineLevel="0" max="31" min="31" style="2" width="9.14"/>
    <col collapsed="false" customWidth="true" hidden="false" outlineLevel="0" max="32" min="32" style="2" width="13.7"/>
    <col collapsed="false" customWidth="true" hidden="false" outlineLevel="0" max="33" min="33" style="2" width="16.99"/>
    <col collapsed="false" customWidth="true" hidden="false" outlineLevel="0" max="34" min="34" style="2" width="20.13"/>
    <col collapsed="false" customWidth="false" hidden="false" outlineLevel="0" max="35" min="35" style="2" width="9.14"/>
    <col collapsed="false" customWidth="true" hidden="false" outlineLevel="0" max="36" min="36" style="2" width="15.41"/>
    <col collapsed="false" customWidth="true" hidden="false" outlineLevel="0" max="37" min="37" style="2" width="14.7"/>
    <col collapsed="false" customWidth="true" hidden="false" outlineLevel="0" max="38" min="38" style="2" width="16.56"/>
    <col collapsed="false" customWidth="false" hidden="false" outlineLevel="0" max="257" min="39" style="2" width="9.14"/>
  </cols>
  <sheetData>
    <row r="1" customFormat="false" ht="39" hidden="false" customHeight="false" outlineLevel="0" collapsed="false">
      <c r="A1" s="2" t="s">
        <v>0</v>
      </c>
      <c r="B1" s="4" t="n">
        <f aca="true">TODAY()</f>
        <v>45926</v>
      </c>
      <c r="F1" s="40" t="s">
        <v>59</v>
      </c>
      <c r="G1" s="41" t="n">
        <v>1300000</v>
      </c>
      <c r="H1" s="42"/>
      <c r="I1" s="43" t="s">
        <v>60</v>
      </c>
      <c r="J1" s="44" t="n">
        <v>210000</v>
      </c>
      <c r="O1" s="45" t="s">
        <v>61</v>
      </c>
      <c r="P1" s="46" t="n">
        <f aca="true">TODAY()+2</f>
        <v>45928</v>
      </c>
      <c r="Q1" s="19" t="n">
        <v>900000</v>
      </c>
      <c r="S1" s="45" t="s">
        <v>62</v>
      </c>
      <c r="T1" s="46" t="n">
        <f aca="true">TODAY()+2</f>
        <v>45928</v>
      </c>
      <c r="U1" s="19" t="n">
        <v>146000</v>
      </c>
      <c r="X1" s="47" t="s">
        <v>63</v>
      </c>
      <c r="Y1" s="47" t="s">
        <v>64</v>
      </c>
      <c r="Z1" s="47" t="s">
        <v>65</v>
      </c>
      <c r="AA1" s="47"/>
      <c r="AB1" s="47" t="s">
        <v>66</v>
      </c>
      <c r="AC1" s="47" t="s">
        <v>67</v>
      </c>
      <c r="AD1" s="47" t="s">
        <v>68</v>
      </c>
      <c r="AG1" s="47" t="s">
        <v>69</v>
      </c>
      <c r="AH1" s="47" t="s">
        <v>70</v>
      </c>
      <c r="AK1" s="6" t="s">
        <v>71</v>
      </c>
    </row>
    <row r="2" customFormat="false" ht="13.5" hidden="false" customHeight="false" outlineLevel="0" collapsed="false">
      <c r="A2" s="2" t="s">
        <v>1</v>
      </c>
      <c r="B2" s="4" t="n">
        <f aca="true">TODAY()+1</f>
        <v>45927</v>
      </c>
      <c r="D2" s="30"/>
      <c r="P2" s="46" t="n">
        <f aca="true">TODAY()+3</f>
        <v>45929</v>
      </c>
      <c r="Q2" s="19" t="n">
        <v>1100000</v>
      </c>
      <c r="T2" s="46" t="n">
        <f aca="true">TODAY()+3</f>
        <v>45929</v>
      </c>
      <c r="U2" s="19" t="n">
        <v>176000</v>
      </c>
      <c r="W2" s="46" t="n">
        <v>36861</v>
      </c>
      <c r="X2" s="30" t="n">
        <v>0</v>
      </c>
      <c r="Y2" s="30" t="n">
        <v>0</v>
      </c>
      <c r="Z2" s="48" t="n">
        <f aca="false">495450.4192-X2+Y2</f>
        <v>495450.4192</v>
      </c>
      <c r="AA2" s="48"/>
      <c r="AB2" s="30" t="n">
        <v>0</v>
      </c>
      <c r="AC2" s="30" t="n">
        <v>0</v>
      </c>
      <c r="AD2" s="30" t="n">
        <v>1500</v>
      </c>
      <c r="AF2" s="46" t="n">
        <f aca="false">+W2</f>
        <v>36861</v>
      </c>
      <c r="AG2" s="19" t="n">
        <f aca="false">1000000+158000</f>
        <v>1158000</v>
      </c>
      <c r="AH2" s="19" t="n">
        <f aca="false">159611+1004827</f>
        <v>1164438</v>
      </c>
      <c r="AJ2" s="49" t="n">
        <f aca="false">+AF2</f>
        <v>36861</v>
      </c>
      <c r="AK2" s="19" t="n">
        <f aca="false">377030+38877</f>
        <v>415907</v>
      </c>
      <c r="AL2" s="19"/>
      <c r="AM2" s="19"/>
    </row>
    <row r="3" customFormat="false" ht="25.5" hidden="false" customHeight="true" outlineLevel="0" collapsed="false">
      <c r="B3" s="6" t="s">
        <v>2</v>
      </c>
      <c r="C3" s="6" t="s">
        <v>3</v>
      </c>
      <c r="D3" s="6" t="s">
        <v>4</v>
      </c>
      <c r="J3" s="15" t="s">
        <v>7</v>
      </c>
      <c r="K3" s="16" t="n">
        <f aca="true">TODAY()-1</f>
        <v>45925</v>
      </c>
      <c r="L3" s="50" t="n">
        <f aca="true">TODAY()</f>
        <v>45926</v>
      </c>
      <c r="M3" s="51" t="s">
        <v>72</v>
      </c>
      <c r="P3" s="46" t="n">
        <f aca="true">TODAY()+4</f>
        <v>45930</v>
      </c>
      <c r="Q3" s="19" t="n">
        <v>1350000</v>
      </c>
      <c r="T3" s="46" t="n">
        <f aca="true">TODAY()+4</f>
        <v>45930</v>
      </c>
      <c r="U3" s="19" t="n">
        <v>214000</v>
      </c>
      <c r="W3" s="46" t="n">
        <v>36862</v>
      </c>
      <c r="X3" s="30" t="n">
        <v>0</v>
      </c>
      <c r="Y3" s="30" t="n">
        <v>0</v>
      </c>
      <c r="Z3" s="48" t="n">
        <f aca="false">Z2-X3+Y3</f>
        <v>495450.4192</v>
      </c>
      <c r="AA3" s="48"/>
      <c r="AB3" s="30" t="n">
        <v>0</v>
      </c>
      <c r="AC3" s="30" t="n">
        <v>0</v>
      </c>
      <c r="AD3" s="30" t="n">
        <v>1500</v>
      </c>
      <c r="AF3" s="46" t="n">
        <f aca="false">+W3</f>
        <v>36862</v>
      </c>
      <c r="AG3" s="19" t="n">
        <f aca="false">1080000+173000</f>
        <v>1253000</v>
      </c>
      <c r="AH3" s="19" t="n">
        <f aca="false">1000790+161782</f>
        <v>1162572</v>
      </c>
      <c r="AJ3" s="49" t="n">
        <f aca="false">+AF3</f>
        <v>36862</v>
      </c>
      <c r="AK3" s="19" t="n">
        <f aca="false">382063+39126</f>
        <v>421189</v>
      </c>
      <c r="AL3" s="19"/>
      <c r="AM3" s="19"/>
    </row>
    <row r="4" customFormat="false" ht="13.5" hidden="false" customHeight="false" outlineLevel="0" collapsed="false">
      <c r="A4" s="2" t="s">
        <v>5</v>
      </c>
      <c r="B4" s="10" t="n">
        <v>30</v>
      </c>
      <c r="C4" s="8" t="n">
        <v>27</v>
      </c>
      <c r="D4" s="9" t="n">
        <f aca="false">AVERAGE(B4,C4)</f>
        <v>28.5</v>
      </c>
      <c r="J4" s="20" t="s">
        <v>11</v>
      </c>
      <c r="K4" s="22" t="n">
        <f aca="false">6300*2</f>
        <v>12600</v>
      </c>
      <c r="L4" s="19" t="n">
        <f aca="false">25276*2</f>
        <v>50552</v>
      </c>
      <c r="M4" s="52" t="n">
        <f aca="false">+L4-K4</f>
        <v>37952</v>
      </c>
      <c r="R4" s="46" t="s">
        <v>28</v>
      </c>
      <c r="W4" s="46" t="n">
        <v>36863</v>
      </c>
      <c r="X4" s="30" t="n">
        <v>0</v>
      </c>
      <c r="Y4" s="30" t="n">
        <v>0</v>
      </c>
      <c r="Z4" s="48" t="n">
        <f aca="false">Z3-X4+Y4</f>
        <v>495450.4192</v>
      </c>
      <c r="AA4" s="48"/>
      <c r="AB4" s="30" t="n">
        <v>0</v>
      </c>
      <c r="AC4" s="30" t="n">
        <v>0</v>
      </c>
      <c r="AD4" s="30" t="n">
        <v>1500</v>
      </c>
      <c r="AF4" s="46" t="n">
        <f aca="false">+W4</f>
        <v>36863</v>
      </c>
      <c r="AG4" s="19" t="n">
        <f aca="false">1010000+160000</f>
        <v>1170000</v>
      </c>
      <c r="AH4" s="19" t="n">
        <f aca="false">1022418+163787</f>
        <v>1186205</v>
      </c>
      <c r="AJ4" s="49" t="n">
        <f aca="false">+AF4</f>
        <v>36863</v>
      </c>
      <c r="AK4" s="19" t="n">
        <f aca="false">382049+39126</f>
        <v>421175</v>
      </c>
      <c r="AL4" s="19"/>
      <c r="AM4" s="19"/>
    </row>
    <row r="5" customFormat="false" ht="12.75" hidden="false" customHeight="false" outlineLevel="0" collapsed="false">
      <c r="A5" s="13"/>
      <c r="B5" s="14"/>
      <c r="C5" s="6" t="s">
        <v>6</v>
      </c>
      <c r="D5" s="13"/>
      <c r="E5" s="14"/>
      <c r="F5" s="6" t="s">
        <v>6</v>
      </c>
      <c r="H5" s="6"/>
      <c r="J5" s="20" t="s">
        <v>14</v>
      </c>
      <c r="K5" s="24" t="n">
        <v>0</v>
      </c>
      <c r="L5" s="19" t="n">
        <v>0</v>
      </c>
      <c r="M5" s="53" t="n">
        <f aca="false">+L5-K5</f>
        <v>0</v>
      </c>
      <c r="W5" s="46" t="n">
        <v>36864</v>
      </c>
      <c r="X5" s="30" t="n">
        <f aca="false">8040*2</f>
        <v>16080</v>
      </c>
      <c r="Y5" s="30" t="n">
        <v>0</v>
      </c>
      <c r="Z5" s="48" t="n">
        <f aca="false">Z4-X5+Y5</f>
        <v>479370.4192</v>
      </c>
      <c r="AA5" s="48"/>
      <c r="AB5" s="30" t="n">
        <v>0</v>
      </c>
      <c r="AC5" s="30" t="n">
        <v>0</v>
      </c>
      <c r="AD5" s="30" t="n">
        <v>1500</v>
      </c>
      <c r="AF5" s="46" t="n">
        <f aca="false">+W5</f>
        <v>36864</v>
      </c>
      <c r="AG5" s="19" t="n">
        <f aca="false">1150000+190000</f>
        <v>1340000</v>
      </c>
      <c r="AH5" s="19" t="n">
        <f aca="false">1130867+187376</f>
        <v>1318243</v>
      </c>
      <c r="AJ5" s="49" t="n">
        <f aca="false">+AF5</f>
        <v>36864</v>
      </c>
      <c r="AK5" s="19" t="n">
        <f aca="false">381541+39126</f>
        <v>420667</v>
      </c>
      <c r="AL5" s="19"/>
      <c r="AM5" s="19"/>
    </row>
    <row r="6" customFormat="false" ht="13.5" hidden="false" customHeight="false" outlineLevel="0" collapsed="false">
      <c r="A6" s="20" t="s">
        <v>9</v>
      </c>
      <c r="B6" s="21" t="n">
        <v>-1100000</v>
      </c>
      <c r="C6" s="19" t="n">
        <v>-1082000</v>
      </c>
      <c r="D6" s="20" t="s">
        <v>10</v>
      </c>
      <c r="E6" s="21" t="n">
        <v>-180000</v>
      </c>
      <c r="F6" s="19" t="n">
        <v>-178000</v>
      </c>
      <c r="H6" s="19"/>
      <c r="J6" s="26" t="s">
        <v>17</v>
      </c>
      <c r="K6" s="27" t="n">
        <f aca="false">(+K4-K5)/2</f>
        <v>6300</v>
      </c>
      <c r="L6" s="54" t="n">
        <f aca="false">(+L4-L5)/2</f>
        <v>25276</v>
      </c>
      <c r="M6" s="55" t="n">
        <f aca="false">+L6-K6</f>
        <v>18976</v>
      </c>
      <c r="W6" s="46" t="n">
        <v>36865</v>
      </c>
      <c r="X6" s="30" t="n">
        <v>0</v>
      </c>
      <c r="Y6" s="30" t="n">
        <f aca="false">10000*2</f>
        <v>20000</v>
      </c>
      <c r="Z6" s="48" t="n">
        <f aca="false">Z5-X6+Y6</f>
        <v>499370.4192</v>
      </c>
      <c r="AA6" s="48"/>
      <c r="AB6" s="30" t="n">
        <v>0</v>
      </c>
      <c r="AC6" s="30" t="n">
        <v>0</v>
      </c>
      <c r="AD6" s="30" t="n">
        <v>1500</v>
      </c>
      <c r="AF6" s="46" t="n">
        <f aca="false">+W6</f>
        <v>36865</v>
      </c>
      <c r="AG6" s="19" t="n">
        <f aca="false">1420000+235000</f>
        <v>1655000</v>
      </c>
      <c r="AH6" s="19" t="n">
        <f aca="false">1397814+238770</f>
        <v>1636584</v>
      </c>
      <c r="AJ6" s="49" t="n">
        <f aca="false">+AF6</f>
        <v>36865</v>
      </c>
      <c r="AK6" s="19" t="n">
        <f aca="false">390021+39126</f>
        <v>429147</v>
      </c>
      <c r="AL6" s="19"/>
      <c r="AM6" s="19"/>
    </row>
    <row r="7" customFormat="false" ht="12.75" hidden="false" customHeight="false" outlineLevel="0" collapsed="false">
      <c r="A7" s="20" t="s">
        <v>12</v>
      </c>
      <c r="B7" s="21"/>
      <c r="D7" s="20" t="s">
        <v>13</v>
      </c>
      <c r="E7" s="21" t="n">
        <v>0</v>
      </c>
      <c r="G7" s="19"/>
      <c r="H7" s="19"/>
      <c r="W7" s="46" t="n">
        <v>36866</v>
      </c>
      <c r="X7" s="30" t="n">
        <f aca="false">18500*2</f>
        <v>37000</v>
      </c>
      <c r="Y7" s="30" t="n">
        <v>0</v>
      </c>
      <c r="Z7" s="48" t="n">
        <f aca="false">Z6-X7+Y7</f>
        <v>462370.4192</v>
      </c>
      <c r="AA7" s="48"/>
      <c r="AB7" s="30" t="n">
        <v>0</v>
      </c>
      <c r="AC7" s="30" t="n">
        <v>0</v>
      </c>
      <c r="AD7" s="30" t="n">
        <v>1500</v>
      </c>
      <c r="AF7" s="46" t="n">
        <f aca="false">+W7</f>
        <v>36866</v>
      </c>
      <c r="AG7" s="19" t="n">
        <f aca="false">1340000+230000</f>
        <v>1570000</v>
      </c>
      <c r="AH7" s="19" t="n">
        <f aca="false">1380129+228664</f>
        <v>1608793</v>
      </c>
      <c r="AJ7" s="49" t="n">
        <f aca="false">+AF7</f>
        <v>36866</v>
      </c>
      <c r="AK7" s="19" t="n">
        <f aca="false">365880+38289</f>
        <v>404169</v>
      </c>
      <c r="AL7" s="19"/>
      <c r="AM7" s="19"/>
    </row>
    <row r="8" customFormat="false" ht="12.75" hidden="false" customHeight="false" outlineLevel="0" collapsed="false">
      <c r="A8" s="20" t="s">
        <v>15</v>
      </c>
      <c r="B8" s="21" t="n">
        <v>-20670</v>
      </c>
      <c r="D8" s="20" t="s">
        <v>16</v>
      </c>
      <c r="E8" s="21"/>
      <c r="G8" s="19"/>
      <c r="H8" s="19"/>
      <c r="W8" s="46" t="n">
        <v>36867</v>
      </c>
      <c r="X8" s="30" t="n">
        <f aca="false">6300*2</f>
        <v>12600</v>
      </c>
      <c r="Y8" s="30" t="n">
        <v>0</v>
      </c>
      <c r="Z8" s="48" t="n">
        <f aca="false">Z7-X8+Y8</f>
        <v>449770.4192</v>
      </c>
      <c r="AA8" s="48"/>
      <c r="AB8" s="30" t="n">
        <v>0</v>
      </c>
      <c r="AC8" s="30" t="n">
        <v>0</v>
      </c>
      <c r="AD8" s="30" t="n">
        <v>1500</v>
      </c>
      <c r="AF8" s="46" t="n">
        <f aca="false">+W8</f>
        <v>36867</v>
      </c>
      <c r="AG8" s="19" t="n">
        <f aca="false">1250000+200000</f>
        <v>1450000</v>
      </c>
      <c r="AH8" s="19" t="n">
        <f aca="false">1175000+190000</f>
        <v>1365000</v>
      </c>
      <c r="AJ8" s="49" t="n">
        <f aca="false">+AF8</f>
        <v>36867</v>
      </c>
      <c r="AK8" s="19" t="n">
        <f aca="false">389683+38708</f>
        <v>428391</v>
      </c>
      <c r="AL8" s="19"/>
      <c r="AM8" s="19"/>
    </row>
    <row r="9" customFormat="false" ht="12.75" hidden="false" customHeight="false" outlineLevel="0" collapsed="false">
      <c r="A9" s="29" t="s">
        <v>18</v>
      </c>
      <c r="B9" s="21" t="n">
        <v>0</v>
      </c>
      <c r="D9" s="20" t="s">
        <v>19</v>
      </c>
      <c r="E9" s="21" t="n">
        <v>0</v>
      </c>
      <c r="G9" s="19"/>
      <c r="H9" s="19"/>
      <c r="L9" s="19"/>
      <c r="W9" s="46" t="n">
        <v>36868</v>
      </c>
      <c r="X9" s="30" t="n">
        <f aca="false">25276*2</f>
        <v>50552</v>
      </c>
      <c r="Y9" s="30" t="n">
        <v>0</v>
      </c>
      <c r="Z9" s="48" t="n">
        <f aca="false">Z8-X9+Y9</f>
        <v>399218.4192</v>
      </c>
      <c r="AA9" s="48"/>
      <c r="AB9" s="30" t="n">
        <v>0</v>
      </c>
      <c r="AC9" s="30" t="n">
        <v>0</v>
      </c>
      <c r="AD9" s="30" t="n">
        <v>1500</v>
      </c>
      <c r="AF9" s="46" t="n">
        <f aca="false">+W9</f>
        <v>36868</v>
      </c>
      <c r="AG9" s="19" t="n">
        <f aca="false">1300000+210000</f>
        <v>1510000</v>
      </c>
      <c r="AH9" s="19" t="n">
        <f aca="false">1300000+210000</f>
        <v>1510000</v>
      </c>
      <c r="AJ9" s="49" t="n">
        <f aca="false">+AF9</f>
        <v>36868</v>
      </c>
      <c r="AK9" s="19" t="n">
        <f aca="false">424539+38712</f>
        <v>463251</v>
      </c>
      <c r="AL9" s="19"/>
      <c r="AM9" s="19"/>
    </row>
    <row r="10" customFormat="false" ht="12.75" hidden="false" customHeight="false" outlineLevel="0" collapsed="false">
      <c r="A10" s="29" t="s">
        <v>20</v>
      </c>
      <c r="B10" s="21" t="n">
        <v>-50000</v>
      </c>
      <c r="C10" s="30" t="s">
        <v>28</v>
      </c>
      <c r="D10" s="20" t="s">
        <v>21</v>
      </c>
      <c r="E10" s="21" t="n">
        <v>0</v>
      </c>
      <c r="G10" s="19"/>
      <c r="H10" s="19"/>
      <c r="W10" s="46" t="n">
        <v>36869</v>
      </c>
      <c r="X10" s="30" t="n">
        <v>0</v>
      </c>
      <c r="Y10" s="30" t="n">
        <v>0</v>
      </c>
      <c r="Z10" s="48" t="n">
        <f aca="false">Z9-X10+Y10</f>
        <v>399218.4192</v>
      </c>
      <c r="AA10" s="48"/>
      <c r="AB10" s="30" t="n">
        <v>0</v>
      </c>
      <c r="AC10" s="30" t="n">
        <v>0</v>
      </c>
      <c r="AD10" s="30" t="n">
        <v>1500</v>
      </c>
      <c r="AF10" s="46" t="n">
        <f aca="false">+W10</f>
        <v>36869</v>
      </c>
      <c r="AG10" s="19" t="n">
        <f aca="false">1100000+180000</f>
        <v>1280000</v>
      </c>
      <c r="AH10" s="19"/>
      <c r="AJ10" s="49" t="n">
        <f aca="false">+AF10</f>
        <v>36869</v>
      </c>
      <c r="AK10" s="19"/>
      <c r="AL10" s="19"/>
      <c r="AM10" s="19"/>
    </row>
    <row r="11" customFormat="false" ht="12.75" hidden="false" customHeight="false" outlineLevel="0" collapsed="false">
      <c r="A11" s="29" t="s">
        <v>22</v>
      </c>
      <c r="B11" s="21" t="n">
        <f aca="false">-25720-B8</f>
        <v>-5050</v>
      </c>
      <c r="C11" s="30"/>
      <c r="D11" s="20" t="s">
        <v>23</v>
      </c>
      <c r="E11" s="21" t="n">
        <v>0</v>
      </c>
      <c r="G11" s="19"/>
      <c r="H11" s="19"/>
      <c r="R11" s="48"/>
      <c r="W11" s="46" t="n">
        <v>36870</v>
      </c>
      <c r="X11" s="30" t="n">
        <v>0</v>
      </c>
      <c r="Y11" s="30" t="n">
        <v>0</v>
      </c>
      <c r="Z11" s="48" t="n">
        <f aca="false">Z10-X11+Y11</f>
        <v>399218.4192</v>
      </c>
      <c r="AA11" s="48"/>
      <c r="AB11" s="30" t="n">
        <v>0</v>
      </c>
      <c r="AC11" s="30" t="n">
        <v>0</v>
      </c>
      <c r="AD11" s="30" t="n">
        <v>1500</v>
      </c>
      <c r="AF11" s="46" t="n">
        <f aca="false">+W11</f>
        <v>36870</v>
      </c>
      <c r="AG11" s="19" t="n">
        <f aca="false">900000+146000</f>
        <v>1046000</v>
      </c>
      <c r="AH11" s="19"/>
      <c r="AJ11" s="49" t="n">
        <f aca="false">+AF11</f>
        <v>36870</v>
      </c>
      <c r="AK11" s="19"/>
      <c r="AL11" s="19"/>
      <c r="AM11" s="19"/>
    </row>
    <row r="12" customFormat="false" ht="12.75" hidden="false" customHeight="false" outlineLevel="0" collapsed="false">
      <c r="A12" s="20" t="s">
        <v>24</v>
      </c>
      <c r="B12" s="21" t="n">
        <v>0</v>
      </c>
      <c r="C12" s="30" t="s">
        <v>28</v>
      </c>
      <c r="D12" s="29" t="s">
        <v>25</v>
      </c>
      <c r="E12" s="21" t="n">
        <v>-1000</v>
      </c>
      <c r="G12" s="19" t="s">
        <v>28</v>
      </c>
      <c r="H12" s="19"/>
      <c r="R12" s="48"/>
      <c r="W12" s="46" t="n">
        <v>36871</v>
      </c>
      <c r="X12" s="30" t="n">
        <v>0</v>
      </c>
      <c r="Y12" s="30" t="n">
        <v>0</v>
      </c>
      <c r="Z12" s="48" t="n">
        <f aca="false">Z11-X12+Y12</f>
        <v>399218.4192</v>
      </c>
      <c r="AA12" s="48"/>
      <c r="AB12" s="30" t="n">
        <v>0</v>
      </c>
      <c r="AC12" s="30" t="n">
        <v>0</v>
      </c>
      <c r="AD12" s="30" t="n">
        <v>1500</v>
      </c>
      <c r="AF12" s="46" t="n">
        <f aca="false">+W12</f>
        <v>36871</v>
      </c>
      <c r="AG12" s="19" t="n">
        <f aca="false">1100000+176000</f>
        <v>1276000</v>
      </c>
      <c r="AH12" s="19"/>
      <c r="AJ12" s="49" t="n">
        <f aca="false">+AF12</f>
        <v>36871</v>
      </c>
      <c r="AK12" s="19"/>
      <c r="AL12" s="19"/>
      <c r="AM12" s="19"/>
    </row>
    <row r="13" customFormat="false" ht="13.5" hidden="false" customHeight="false" outlineLevel="0" collapsed="false">
      <c r="A13" s="20" t="s">
        <v>19</v>
      </c>
      <c r="B13" s="21" t="n">
        <f aca="false">(-126746-24000-3730)-B14</f>
        <v>-125294</v>
      </c>
      <c r="D13" s="20" t="s">
        <v>26</v>
      </c>
      <c r="E13" s="21" t="n">
        <v>0</v>
      </c>
      <c r="G13" s="19"/>
      <c r="H13" s="19"/>
      <c r="R13" s="48"/>
      <c r="W13" s="46" t="n">
        <v>36872</v>
      </c>
      <c r="X13" s="30" t="n">
        <v>0</v>
      </c>
      <c r="Y13" s="30" t="n">
        <v>0</v>
      </c>
      <c r="Z13" s="48" t="n">
        <f aca="false">Z12-X13+Y13</f>
        <v>399218.4192</v>
      </c>
      <c r="AA13" s="48"/>
      <c r="AB13" s="30" t="n">
        <v>0</v>
      </c>
      <c r="AC13" s="30" t="n">
        <v>0</v>
      </c>
      <c r="AD13" s="30" t="n">
        <v>1500</v>
      </c>
      <c r="AF13" s="46" t="n">
        <f aca="false">+W13</f>
        <v>36872</v>
      </c>
      <c r="AG13" s="19" t="n">
        <f aca="false">1350000+214000</f>
        <v>1564000</v>
      </c>
      <c r="AH13" s="19"/>
      <c r="AJ13" s="49" t="n">
        <f aca="false">+AF13</f>
        <v>36872</v>
      </c>
      <c r="AK13" s="19"/>
      <c r="AL13" s="19"/>
      <c r="AM13" s="19"/>
    </row>
    <row r="14" customFormat="false" ht="13.5" hidden="false" customHeight="false" outlineLevel="0" collapsed="false">
      <c r="A14" s="20" t="s">
        <v>27</v>
      </c>
      <c r="B14" s="21" t="n">
        <f aca="false">-1452-24000-3730</f>
        <v>-29182</v>
      </c>
      <c r="C14" s="2" t="s">
        <v>28</v>
      </c>
      <c r="D14" s="31" t="s">
        <v>29</v>
      </c>
      <c r="E14" s="32" t="n">
        <f aca="false">SUM(E6:E13)</f>
        <v>-181000</v>
      </c>
      <c r="G14" s="19"/>
      <c r="H14" s="19"/>
      <c r="L14" s="19"/>
      <c r="R14" s="48"/>
      <c r="W14" s="46" t="n">
        <v>36873</v>
      </c>
      <c r="X14" s="30" t="n">
        <v>0</v>
      </c>
      <c r="Y14" s="30" t="n">
        <v>0</v>
      </c>
      <c r="Z14" s="48" t="n">
        <f aca="false">Z13-X14+Y14</f>
        <v>399218.4192</v>
      </c>
      <c r="AA14" s="48"/>
      <c r="AB14" s="30" t="n">
        <v>0</v>
      </c>
      <c r="AC14" s="30" t="n">
        <v>0</v>
      </c>
      <c r="AD14" s="30" t="n">
        <v>1500</v>
      </c>
      <c r="AF14" s="46" t="n">
        <f aca="false">+W14</f>
        <v>36873</v>
      </c>
      <c r="AG14" s="19"/>
      <c r="AH14" s="19"/>
      <c r="AJ14" s="49" t="n">
        <f aca="false">+AF14</f>
        <v>36873</v>
      </c>
      <c r="AK14" s="19"/>
      <c r="AL14" s="19"/>
      <c r="AM14" s="19"/>
    </row>
    <row r="15" customFormat="false" ht="12.75" hidden="false" customHeight="false" outlineLevel="0" collapsed="false">
      <c r="A15" s="20" t="s">
        <v>7</v>
      </c>
      <c r="B15" s="21" t="n">
        <v>0</v>
      </c>
      <c r="C15" s="30"/>
      <c r="D15" s="20"/>
      <c r="E15" s="21"/>
      <c r="F15" s="30" t="n">
        <f aca="false">+E14+E29</f>
        <v>0</v>
      </c>
      <c r="G15" s="19"/>
      <c r="H15" s="19"/>
      <c r="L15" s="19"/>
      <c r="R15" s="48"/>
      <c r="W15" s="46" t="n">
        <v>36874</v>
      </c>
      <c r="X15" s="30" t="n">
        <v>0</v>
      </c>
      <c r="Y15" s="30" t="n">
        <v>0</v>
      </c>
      <c r="Z15" s="48" t="n">
        <f aca="false">Z14-X15+Y15</f>
        <v>399218.4192</v>
      </c>
      <c r="AA15" s="48"/>
      <c r="AB15" s="30" t="n">
        <v>0</v>
      </c>
      <c r="AC15" s="30" t="n">
        <v>0</v>
      </c>
      <c r="AD15" s="30" t="n">
        <v>1500</v>
      </c>
      <c r="AF15" s="46" t="n">
        <f aca="false">+W15</f>
        <v>36874</v>
      </c>
      <c r="AG15" s="19"/>
      <c r="AH15" s="19"/>
      <c r="AJ15" s="49" t="n">
        <f aca="false">+AF15</f>
        <v>36874</v>
      </c>
      <c r="AK15" s="19"/>
      <c r="AL15" s="19"/>
      <c r="AM15" s="19"/>
    </row>
    <row r="16" customFormat="false" ht="12.75" hidden="false" customHeight="false" outlineLevel="0" collapsed="false">
      <c r="A16" s="20" t="s">
        <v>16</v>
      </c>
      <c r="B16" s="21"/>
      <c r="C16" s="30"/>
      <c r="D16" s="20" t="s">
        <v>30</v>
      </c>
      <c r="E16" s="21" t="n">
        <v>49111</v>
      </c>
      <c r="G16" s="19"/>
      <c r="H16" s="19"/>
      <c r="L16" s="19"/>
      <c r="R16" s="48"/>
      <c r="W16" s="46" t="n">
        <v>36875</v>
      </c>
      <c r="X16" s="30" t="n">
        <v>0</v>
      </c>
      <c r="Y16" s="30" t="n">
        <v>0</v>
      </c>
      <c r="Z16" s="48" t="n">
        <f aca="false">Z15-X16+Y16</f>
        <v>399218.4192</v>
      </c>
      <c r="AA16" s="48"/>
      <c r="AB16" s="30" t="n">
        <v>0</v>
      </c>
      <c r="AC16" s="30" t="n">
        <v>0</v>
      </c>
      <c r="AD16" s="30" t="n">
        <v>1500</v>
      </c>
      <c r="AF16" s="46" t="n">
        <f aca="false">+W16</f>
        <v>36875</v>
      </c>
      <c r="AG16" s="19"/>
      <c r="AH16" s="19"/>
      <c r="AJ16" s="49" t="n">
        <f aca="false">+AF16</f>
        <v>36875</v>
      </c>
      <c r="AK16" s="19"/>
      <c r="AL16" s="19"/>
      <c r="AM16" s="19"/>
    </row>
    <row r="17" customFormat="false" ht="12.75" hidden="false" customHeight="false" outlineLevel="0" collapsed="false">
      <c r="A17" s="20" t="s">
        <v>26</v>
      </c>
      <c r="B17" s="21" t="n">
        <v>0</v>
      </c>
      <c r="C17" s="30"/>
      <c r="D17" s="20" t="s">
        <v>31</v>
      </c>
      <c r="E17" s="21" t="n">
        <v>0</v>
      </c>
      <c r="G17" s="19"/>
      <c r="H17" s="19"/>
      <c r="L17" s="19"/>
      <c r="R17" s="48"/>
      <c r="W17" s="46" t="n">
        <v>36876</v>
      </c>
      <c r="X17" s="30" t="n">
        <v>0</v>
      </c>
      <c r="Y17" s="30" t="n">
        <v>0</v>
      </c>
      <c r="Z17" s="48" t="n">
        <f aca="false">Z16-X17+Y17</f>
        <v>399218.4192</v>
      </c>
      <c r="AA17" s="48"/>
      <c r="AB17" s="30" t="n">
        <v>0</v>
      </c>
      <c r="AC17" s="30" t="n">
        <v>0</v>
      </c>
      <c r="AD17" s="30" t="n">
        <v>1500</v>
      </c>
      <c r="AF17" s="46" t="n">
        <f aca="false">+W17</f>
        <v>36876</v>
      </c>
      <c r="AG17" s="19"/>
      <c r="AH17" s="19"/>
      <c r="AJ17" s="49" t="n">
        <f aca="false">+AF17</f>
        <v>36876</v>
      </c>
      <c r="AK17" s="19"/>
      <c r="AL17" s="19"/>
      <c r="AM17" s="19"/>
    </row>
    <row r="18" customFormat="false" ht="12.75" hidden="false" customHeight="false" outlineLevel="0" collapsed="false">
      <c r="A18" s="20" t="s">
        <v>32</v>
      </c>
      <c r="B18" s="21" t="n">
        <v>0</v>
      </c>
      <c r="D18" s="20" t="s">
        <v>33</v>
      </c>
      <c r="E18" s="21" t="n">
        <v>8933</v>
      </c>
      <c r="F18" s="30" t="s">
        <v>28</v>
      </c>
      <c r="G18" s="19"/>
      <c r="H18" s="19"/>
      <c r="L18" s="19"/>
      <c r="R18" s="48"/>
      <c r="W18" s="46" t="n">
        <v>36877</v>
      </c>
      <c r="X18" s="30" t="n">
        <v>0</v>
      </c>
      <c r="Y18" s="30" t="n">
        <v>0</v>
      </c>
      <c r="Z18" s="48" t="n">
        <f aca="false">Z17-X18+Y18</f>
        <v>399218.4192</v>
      </c>
      <c r="AA18" s="48"/>
      <c r="AB18" s="30" t="n">
        <v>0</v>
      </c>
      <c r="AC18" s="30" t="n">
        <v>0</v>
      </c>
      <c r="AD18" s="30" t="n">
        <v>1500</v>
      </c>
      <c r="AF18" s="46" t="n">
        <f aca="false">+W18</f>
        <v>36877</v>
      </c>
      <c r="AG18" s="19"/>
      <c r="AH18" s="19"/>
      <c r="AJ18" s="49" t="n">
        <f aca="false">+AF18</f>
        <v>36877</v>
      </c>
      <c r="AK18" s="19"/>
      <c r="AL18" s="19"/>
      <c r="AM18" s="19"/>
    </row>
    <row r="19" customFormat="false" ht="12.75" hidden="false" customHeight="false" outlineLevel="0" collapsed="false">
      <c r="A19" s="20" t="s">
        <v>34</v>
      </c>
      <c r="B19" s="21" t="n">
        <v>0</v>
      </c>
      <c r="D19" s="20" t="s">
        <v>35</v>
      </c>
      <c r="E19" s="21" t="n">
        <v>38712</v>
      </c>
      <c r="G19" s="19"/>
      <c r="H19" s="19"/>
      <c r="L19" s="19"/>
      <c r="R19" s="48"/>
      <c r="W19" s="46" t="n">
        <v>36878</v>
      </c>
      <c r="X19" s="30" t="n">
        <v>0</v>
      </c>
      <c r="Y19" s="30" t="n">
        <v>0</v>
      </c>
      <c r="Z19" s="48" t="n">
        <f aca="false">Z18-X19+Y19</f>
        <v>399218.4192</v>
      </c>
      <c r="AA19" s="48"/>
      <c r="AB19" s="30" t="n">
        <v>0</v>
      </c>
      <c r="AC19" s="30" t="n">
        <v>0</v>
      </c>
      <c r="AD19" s="30" t="n">
        <v>1500</v>
      </c>
      <c r="AF19" s="46" t="n">
        <f aca="false">+W19</f>
        <v>36878</v>
      </c>
      <c r="AG19" s="19"/>
      <c r="AH19" s="19"/>
      <c r="AJ19" s="49" t="n">
        <f aca="false">+AF19</f>
        <v>36878</v>
      </c>
      <c r="AK19" s="19"/>
      <c r="AL19" s="19"/>
      <c r="AM19" s="19"/>
    </row>
    <row r="20" customFormat="false" ht="12.75" hidden="false" customHeight="false" outlineLevel="0" collapsed="false">
      <c r="A20" s="20" t="s">
        <v>36</v>
      </c>
      <c r="B20" s="21" t="n">
        <v>0</v>
      </c>
      <c r="C20" s="30"/>
      <c r="D20" s="20" t="s">
        <v>37</v>
      </c>
      <c r="E20" s="21"/>
      <c r="G20" s="19"/>
      <c r="H20" s="19"/>
      <c r="R20" s="48"/>
      <c r="W20" s="46" t="n">
        <v>36879</v>
      </c>
      <c r="X20" s="30" t="n">
        <v>0</v>
      </c>
      <c r="Y20" s="30" t="n">
        <v>0</v>
      </c>
      <c r="Z20" s="48" t="n">
        <f aca="false">Z19-X20+Y20</f>
        <v>399218.4192</v>
      </c>
      <c r="AA20" s="48"/>
      <c r="AB20" s="30" t="n">
        <v>0</v>
      </c>
      <c r="AC20" s="30" t="n">
        <v>0</v>
      </c>
      <c r="AD20" s="30" t="n">
        <v>1500</v>
      </c>
      <c r="AF20" s="46" t="n">
        <f aca="false">+W20</f>
        <v>36879</v>
      </c>
      <c r="AG20" s="19"/>
      <c r="AH20" s="19"/>
      <c r="AJ20" s="49" t="n">
        <f aca="false">+AF20</f>
        <v>36879</v>
      </c>
      <c r="AK20" s="19"/>
      <c r="AL20" s="19"/>
      <c r="AM20" s="19"/>
    </row>
    <row r="21" customFormat="false" ht="12.75" hidden="false" customHeight="false" outlineLevel="0" collapsed="false">
      <c r="A21" s="20" t="s">
        <v>38</v>
      </c>
      <c r="B21" s="21" t="n">
        <v>0</v>
      </c>
      <c r="C21" s="30"/>
      <c r="D21" s="20" t="s">
        <v>39</v>
      </c>
      <c r="E21" s="21" t="n">
        <v>8000</v>
      </c>
      <c r="G21" s="19"/>
      <c r="H21" s="19"/>
      <c r="R21" s="48"/>
      <c r="W21" s="46" t="n">
        <v>36880</v>
      </c>
      <c r="X21" s="30" t="n">
        <v>0</v>
      </c>
      <c r="Y21" s="30" t="n">
        <v>0</v>
      </c>
      <c r="Z21" s="48" t="n">
        <f aca="false">Z20-X21+Y21</f>
        <v>399218.4192</v>
      </c>
      <c r="AA21" s="48"/>
      <c r="AB21" s="30" t="n">
        <v>0</v>
      </c>
      <c r="AC21" s="30" t="n">
        <v>0</v>
      </c>
      <c r="AD21" s="30" t="n">
        <v>1500</v>
      </c>
      <c r="AF21" s="46" t="n">
        <f aca="false">+W21</f>
        <v>36880</v>
      </c>
      <c r="AG21" s="19"/>
      <c r="AH21" s="19"/>
      <c r="AJ21" s="49" t="n">
        <f aca="false">+AF21</f>
        <v>36880</v>
      </c>
      <c r="AK21" s="19"/>
      <c r="AL21" s="19"/>
      <c r="AM21" s="19"/>
    </row>
    <row r="22" customFormat="false" ht="12.75" hidden="false" customHeight="false" outlineLevel="0" collapsed="false">
      <c r="A22" s="20" t="s">
        <v>40</v>
      </c>
      <c r="B22" s="21" t="n">
        <v>0</v>
      </c>
      <c r="D22" s="20" t="s">
        <v>41</v>
      </c>
      <c r="E22" s="21" t="n">
        <v>7000</v>
      </c>
      <c r="G22" s="19"/>
      <c r="H22" s="19"/>
      <c r="R22" s="48"/>
      <c r="W22" s="46" t="n">
        <v>36881</v>
      </c>
      <c r="X22" s="30" t="n">
        <v>0</v>
      </c>
      <c r="Y22" s="30" t="n">
        <v>0</v>
      </c>
      <c r="Z22" s="48" t="n">
        <f aca="false">Z21-X22+Y22</f>
        <v>399218.4192</v>
      </c>
      <c r="AA22" s="48"/>
      <c r="AB22" s="30" t="n">
        <v>0</v>
      </c>
      <c r="AC22" s="30" t="n">
        <v>0</v>
      </c>
      <c r="AD22" s="30" t="n">
        <v>1500</v>
      </c>
      <c r="AF22" s="46" t="n">
        <f aca="false">+W22</f>
        <v>36881</v>
      </c>
      <c r="AG22" s="19"/>
      <c r="AH22" s="19"/>
      <c r="AJ22" s="49" t="n">
        <f aca="false">+AF22</f>
        <v>36881</v>
      </c>
      <c r="AK22" s="19"/>
      <c r="AL22" s="19"/>
      <c r="AM22" s="19"/>
    </row>
    <row r="23" customFormat="false" ht="12.75" hidden="false" customHeight="false" outlineLevel="0" collapsed="false">
      <c r="A23" s="20" t="s">
        <v>19</v>
      </c>
      <c r="B23" s="21" t="n">
        <v>0</v>
      </c>
      <c r="C23" s="30" t="s">
        <v>28</v>
      </c>
      <c r="D23" s="20" t="s">
        <v>42</v>
      </c>
      <c r="E23" s="21" t="n">
        <f aca="false">45000+10000+5244</f>
        <v>60244</v>
      </c>
      <c r="G23" s="19"/>
      <c r="H23" s="19"/>
      <c r="L23" s="2" t="n">
        <v>0.32</v>
      </c>
      <c r="R23" s="48"/>
      <c r="W23" s="46" t="n">
        <v>36882</v>
      </c>
      <c r="X23" s="30" t="n">
        <v>0</v>
      </c>
      <c r="Y23" s="30" t="n">
        <v>0</v>
      </c>
      <c r="Z23" s="48" t="n">
        <f aca="false">Z22-X23+Y23</f>
        <v>399218.4192</v>
      </c>
      <c r="AA23" s="48"/>
      <c r="AB23" s="30" t="n">
        <v>0</v>
      </c>
      <c r="AC23" s="30" t="n">
        <v>0</v>
      </c>
      <c r="AD23" s="30" t="n">
        <v>1500</v>
      </c>
      <c r="AF23" s="46" t="n">
        <f aca="false">+W23</f>
        <v>36882</v>
      </c>
      <c r="AG23" s="19"/>
      <c r="AH23" s="19"/>
      <c r="AJ23" s="49" t="n">
        <f aca="false">+AF23</f>
        <v>36882</v>
      </c>
      <c r="AK23" s="19"/>
      <c r="AL23" s="19"/>
      <c r="AM23" s="19"/>
    </row>
    <row r="24" customFormat="false" ht="12.75" hidden="false" customHeight="false" outlineLevel="0" collapsed="false">
      <c r="A24" s="20" t="s">
        <v>43</v>
      </c>
      <c r="B24" s="21" t="n">
        <v>0</v>
      </c>
      <c r="D24" s="20" t="s">
        <v>26</v>
      </c>
      <c r="E24" s="21" t="n">
        <v>0</v>
      </c>
      <c r="G24" s="19"/>
      <c r="H24" s="19"/>
      <c r="R24" s="48"/>
      <c r="W24" s="46" t="n">
        <v>36883</v>
      </c>
      <c r="X24" s="30" t="n">
        <v>0</v>
      </c>
      <c r="Y24" s="30" t="n">
        <v>0</v>
      </c>
      <c r="Z24" s="48" t="n">
        <f aca="false">Z23-X24+Y24</f>
        <v>399218.4192</v>
      </c>
      <c r="AA24" s="48"/>
      <c r="AB24" s="30" t="n">
        <v>0</v>
      </c>
      <c r="AC24" s="30" t="n">
        <v>0</v>
      </c>
      <c r="AD24" s="30" t="n">
        <v>1500</v>
      </c>
      <c r="AF24" s="46" t="n">
        <f aca="false">+W24</f>
        <v>36883</v>
      </c>
      <c r="AG24" s="19"/>
      <c r="AH24" s="19"/>
      <c r="AJ24" s="49" t="n">
        <f aca="false">+AF24</f>
        <v>36883</v>
      </c>
      <c r="AK24" s="19"/>
      <c r="AL24" s="19"/>
      <c r="AM24" s="19"/>
    </row>
    <row r="25" customFormat="false" ht="12.75" hidden="false" customHeight="false" outlineLevel="0" collapsed="false">
      <c r="A25" s="20" t="s">
        <v>44</v>
      </c>
      <c r="B25" s="21" t="n">
        <v>0</v>
      </c>
      <c r="D25" s="20" t="s">
        <v>19</v>
      </c>
      <c r="E25" s="21" t="n">
        <v>9000</v>
      </c>
      <c r="G25" s="19"/>
      <c r="H25" s="19"/>
      <c r="R25" s="48"/>
      <c r="W25" s="46" t="n">
        <v>36884</v>
      </c>
      <c r="X25" s="30" t="n">
        <v>0</v>
      </c>
      <c r="Y25" s="30" t="n">
        <v>0</v>
      </c>
      <c r="Z25" s="48" t="n">
        <f aca="false">Z24-X25+Y25</f>
        <v>399218.4192</v>
      </c>
      <c r="AA25" s="48"/>
      <c r="AB25" s="30" t="n">
        <v>0</v>
      </c>
      <c r="AC25" s="30" t="n">
        <v>0</v>
      </c>
      <c r="AD25" s="30" t="n">
        <v>1500</v>
      </c>
      <c r="AF25" s="46" t="n">
        <f aca="false">+W25</f>
        <v>36884</v>
      </c>
      <c r="AG25" s="19"/>
      <c r="AH25" s="19"/>
      <c r="AJ25" s="49" t="n">
        <f aca="false">+AF25</f>
        <v>36884</v>
      </c>
      <c r="AK25" s="19"/>
      <c r="AL25" s="19"/>
      <c r="AM25" s="19"/>
    </row>
    <row r="26" customFormat="false" ht="13.5" hidden="false" customHeight="false" outlineLevel="0" collapsed="false">
      <c r="A26" s="20" t="s">
        <v>45</v>
      </c>
      <c r="B26" s="21" t="n">
        <v>0</v>
      </c>
      <c r="D26" s="20" t="s">
        <v>25</v>
      </c>
      <c r="E26" s="21" t="n">
        <v>0</v>
      </c>
      <c r="G26" s="19"/>
      <c r="H26" s="19"/>
      <c r="R26" s="48"/>
      <c r="W26" s="46" t="n">
        <v>36885</v>
      </c>
      <c r="X26" s="30" t="n">
        <v>0</v>
      </c>
      <c r="Y26" s="30" t="n">
        <v>0</v>
      </c>
      <c r="Z26" s="48" t="n">
        <f aca="false">Z25-X26+Y26</f>
        <v>399218.4192</v>
      </c>
      <c r="AA26" s="48"/>
      <c r="AB26" s="30" t="n">
        <v>0</v>
      </c>
      <c r="AC26" s="30" t="n">
        <v>0</v>
      </c>
      <c r="AD26" s="30" t="n">
        <v>1500</v>
      </c>
      <c r="AF26" s="46" t="n">
        <f aca="false">+W26</f>
        <v>36885</v>
      </c>
      <c r="AG26" s="19"/>
      <c r="AH26" s="19"/>
      <c r="AJ26" s="49" t="n">
        <f aca="false">+AF26</f>
        <v>36885</v>
      </c>
      <c r="AK26" s="19"/>
      <c r="AL26" s="19"/>
      <c r="AM26" s="19"/>
    </row>
    <row r="27" customFormat="false" ht="13.5" hidden="false" customHeight="false" outlineLevel="0" collapsed="false">
      <c r="A27" s="31" t="s">
        <v>29</v>
      </c>
      <c r="B27" s="32" t="n">
        <f aca="false">SUM(B6:B26)</f>
        <v>-1330196</v>
      </c>
      <c r="C27" s="30" t="n">
        <f aca="false">+B27+B54</f>
        <v>0</v>
      </c>
      <c r="D27" s="20" t="s">
        <v>46</v>
      </c>
      <c r="E27" s="21" t="n">
        <v>0</v>
      </c>
      <c r="G27" s="19"/>
      <c r="H27" s="19"/>
      <c r="R27" s="48"/>
      <c r="W27" s="46" t="n">
        <v>36886</v>
      </c>
      <c r="X27" s="30" t="n">
        <v>0</v>
      </c>
      <c r="Y27" s="30" t="n">
        <v>0</v>
      </c>
      <c r="Z27" s="48" t="n">
        <f aca="false">Z26-X27+Y27</f>
        <v>399218.4192</v>
      </c>
      <c r="AA27" s="48"/>
      <c r="AB27" s="30" t="n">
        <v>0</v>
      </c>
      <c r="AC27" s="30" t="n">
        <v>0</v>
      </c>
      <c r="AD27" s="30" t="n">
        <v>1500</v>
      </c>
      <c r="AF27" s="46" t="n">
        <f aca="false">+W27</f>
        <v>36886</v>
      </c>
      <c r="AG27" s="19"/>
      <c r="AH27" s="19"/>
      <c r="AJ27" s="49" t="n">
        <f aca="false">+AF27</f>
        <v>36886</v>
      </c>
      <c r="AK27" s="19"/>
      <c r="AL27" s="19"/>
      <c r="AM27" s="19"/>
    </row>
    <row r="28" customFormat="false" ht="13.5" hidden="false" customHeight="false" outlineLevel="0" collapsed="false">
      <c r="A28" s="20"/>
      <c r="B28" s="21"/>
      <c r="D28" s="20" t="s">
        <v>47</v>
      </c>
      <c r="E28" s="21" t="n">
        <v>0</v>
      </c>
      <c r="G28" s="19"/>
      <c r="H28" s="19"/>
      <c r="R28" s="48"/>
      <c r="W28" s="46" t="n">
        <v>36887</v>
      </c>
      <c r="X28" s="30" t="n">
        <v>0</v>
      </c>
      <c r="Y28" s="30" t="n">
        <v>0</v>
      </c>
      <c r="Z28" s="48" t="n">
        <f aca="false">Z27-X28+Y28</f>
        <v>399218.4192</v>
      </c>
      <c r="AA28" s="48"/>
      <c r="AB28" s="30" t="n">
        <v>0</v>
      </c>
      <c r="AC28" s="30" t="n">
        <v>0</v>
      </c>
      <c r="AD28" s="30" t="n">
        <v>1500</v>
      </c>
      <c r="AF28" s="46" t="n">
        <f aca="false">+W28</f>
        <v>36887</v>
      </c>
      <c r="AG28" s="19"/>
      <c r="AH28" s="19"/>
      <c r="AJ28" s="49" t="n">
        <f aca="false">+AF28</f>
        <v>36887</v>
      </c>
      <c r="AK28" s="19"/>
      <c r="AL28" s="19"/>
      <c r="AM28" s="19"/>
    </row>
    <row r="29" customFormat="false" ht="13.5" hidden="false" customHeight="false" outlineLevel="0" collapsed="false">
      <c r="A29" s="20" t="s">
        <v>30</v>
      </c>
      <c r="B29" s="21" t="n">
        <v>355784</v>
      </c>
      <c r="C29" s="30"/>
      <c r="D29" s="31" t="s">
        <v>48</v>
      </c>
      <c r="E29" s="32" t="n">
        <f aca="false">SUM(E16:E28)</f>
        <v>181000</v>
      </c>
      <c r="G29" s="19"/>
      <c r="H29" s="19"/>
      <c r="R29" s="48"/>
      <c r="W29" s="46" t="n">
        <v>36888</v>
      </c>
      <c r="X29" s="30" t="n">
        <v>0</v>
      </c>
      <c r="Y29" s="30" t="n">
        <v>0</v>
      </c>
      <c r="Z29" s="48" t="n">
        <f aca="false">Z28-X29+Y29</f>
        <v>399218.4192</v>
      </c>
      <c r="AA29" s="48"/>
      <c r="AB29" s="30" t="n">
        <v>0</v>
      </c>
      <c r="AC29" s="30" t="n">
        <v>0</v>
      </c>
      <c r="AD29" s="30" t="n">
        <v>1500</v>
      </c>
      <c r="AF29" s="46" t="n">
        <f aca="false">+W29</f>
        <v>36888</v>
      </c>
      <c r="AG29" s="19"/>
      <c r="AH29" s="19"/>
      <c r="AJ29" s="49" t="n">
        <f aca="false">+AF29</f>
        <v>36888</v>
      </c>
      <c r="AK29" s="19"/>
      <c r="AL29" s="19"/>
      <c r="AM29" s="19"/>
    </row>
    <row r="30" customFormat="false" ht="13.5" hidden="false" customHeight="false" outlineLevel="0" collapsed="false">
      <c r="A30" s="20" t="s">
        <v>31</v>
      </c>
      <c r="B30" s="21" t="n">
        <v>0</v>
      </c>
      <c r="D30" s="26"/>
      <c r="E30" s="34"/>
      <c r="F30" s="30"/>
      <c r="G30" s="19"/>
      <c r="H30" s="19"/>
      <c r="W30" s="46" t="n">
        <v>36889</v>
      </c>
      <c r="X30" s="30" t="n">
        <v>0</v>
      </c>
      <c r="Y30" s="30" t="n">
        <v>0</v>
      </c>
      <c r="Z30" s="48" t="n">
        <f aca="false">Z29-X30+Y30</f>
        <v>399218.4192</v>
      </c>
      <c r="AA30" s="48"/>
      <c r="AB30" s="30" t="n">
        <v>0</v>
      </c>
      <c r="AC30" s="30" t="n">
        <v>0</v>
      </c>
      <c r="AD30" s="30" t="n">
        <v>1500</v>
      </c>
      <c r="AF30" s="46" t="n">
        <f aca="false">+W30</f>
        <v>36889</v>
      </c>
      <c r="AG30" s="19"/>
      <c r="AH30" s="19"/>
      <c r="AJ30" s="49" t="n">
        <f aca="false">+AF30</f>
        <v>36889</v>
      </c>
      <c r="AK30" s="19"/>
      <c r="AL30" s="19"/>
      <c r="AM30" s="19"/>
    </row>
    <row r="31" customFormat="false" ht="12.75" hidden="false" customHeight="false" outlineLevel="0" collapsed="false">
      <c r="A31" s="20" t="s">
        <v>33</v>
      </c>
      <c r="B31" s="21" t="n">
        <v>0</v>
      </c>
      <c r="C31" s="30"/>
      <c r="E31" s="19"/>
      <c r="G31" s="19"/>
      <c r="H31" s="19"/>
      <c r="W31" s="46" t="n">
        <v>36890</v>
      </c>
      <c r="X31" s="30" t="n">
        <v>0</v>
      </c>
      <c r="Y31" s="30" t="n">
        <v>0</v>
      </c>
      <c r="Z31" s="48" t="n">
        <f aca="false">Z30-X31+Y31</f>
        <v>399218.4192</v>
      </c>
      <c r="AA31" s="48"/>
      <c r="AB31" s="30" t="n">
        <v>0</v>
      </c>
      <c r="AC31" s="30" t="n">
        <v>0</v>
      </c>
      <c r="AD31" s="30" t="n">
        <v>1500</v>
      </c>
      <c r="AF31" s="46" t="n">
        <f aca="false">+W31</f>
        <v>36890</v>
      </c>
      <c r="AG31" s="19"/>
      <c r="AH31" s="19"/>
      <c r="AJ31" s="49" t="n">
        <f aca="false">+AF31</f>
        <v>36890</v>
      </c>
      <c r="AK31" s="19"/>
      <c r="AL31" s="19"/>
      <c r="AM31" s="19"/>
    </row>
    <row r="32" customFormat="false" ht="12.75" hidden="false" customHeight="false" outlineLevel="0" collapsed="false">
      <c r="A32" s="20" t="s">
        <v>35</v>
      </c>
      <c r="B32" s="21" t="n">
        <v>424539</v>
      </c>
      <c r="E32" s="19"/>
      <c r="G32" s="19"/>
      <c r="H32" s="19"/>
      <c r="W32" s="46" t="n">
        <v>36891</v>
      </c>
      <c r="X32" s="30" t="n">
        <v>0</v>
      </c>
      <c r="Y32" s="30" t="n">
        <v>0</v>
      </c>
      <c r="Z32" s="48" t="n">
        <f aca="false">Z31-X32+Y32</f>
        <v>399218.4192</v>
      </c>
      <c r="AA32" s="48"/>
      <c r="AB32" s="30" t="n">
        <v>0</v>
      </c>
      <c r="AC32" s="30" t="n">
        <v>0</v>
      </c>
      <c r="AD32" s="30" t="n">
        <v>1500</v>
      </c>
      <c r="AF32" s="46" t="n">
        <f aca="false">+W32</f>
        <v>36891</v>
      </c>
      <c r="AG32" s="19"/>
      <c r="AH32" s="19"/>
      <c r="AJ32" s="49" t="n">
        <f aca="false">+AF32</f>
        <v>36891</v>
      </c>
      <c r="AK32" s="19"/>
      <c r="AL32" s="19"/>
      <c r="AM32" s="19"/>
    </row>
    <row r="33" customFormat="false" ht="12.75" hidden="false" customHeight="false" outlineLevel="0" collapsed="false">
      <c r="A33" s="20" t="s">
        <v>49</v>
      </c>
      <c r="B33" s="21" t="n">
        <v>0</v>
      </c>
      <c r="G33" s="19"/>
      <c r="H33" s="19"/>
      <c r="AF33" s="46"/>
      <c r="AG33" s="19"/>
      <c r="AJ33" s="49"/>
      <c r="AK33" s="19"/>
      <c r="AL33" s="19"/>
      <c r="AM33" s="19"/>
    </row>
    <row r="34" customFormat="false" ht="12.75" hidden="false" customHeight="false" outlineLevel="0" collapsed="false">
      <c r="A34" s="20" t="s">
        <v>50</v>
      </c>
      <c r="B34" s="21" t="n">
        <v>0</v>
      </c>
      <c r="C34" s="30"/>
      <c r="G34" s="19"/>
      <c r="H34" s="19"/>
      <c r="W34" s="46"/>
      <c r="AF34" s="46"/>
      <c r="AG34" s="19"/>
      <c r="AJ34" s="49"/>
      <c r="AK34" s="19"/>
      <c r="AL34" s="19"/>
      <c r="AM34" s="19"/>
    </row>
    <row r="35" customFormat="false" ht="12.75" hidden="false" customHeight="false" outlineLevel="0" collapsed="false">
      <c r="A35" s="20" t="s">
        <v>51</v>
      </c>
      <c r="B35" s="21" t="n">
        <v>47813</v>
      </c>
      <c r="G35" s="19"/>
      <c r="H35" s="19"/>
      <c r="W35" s="46"/>
      <c r="AF35" s="46"/>
      <c r="AJ35" s="49"/>
      <c r="AK35" s="19"/>
      <c r="AL35" s="19"/>
      <c r="AM35" s="19"/>
    </row>
    <row r="36" customFormat="false" ht="12.75" hidden="false" customHeight="false" outlineLevel="0" collapsed="false">
      <c r="A36" s="20" t="s">
        <v>52</v>
      </c>
      <c r="B36" s="21" t="n">
        <v>0</v>
      </c>
      <c r="G36" s="19"/>
      <c r="H36" s="19"/>
      <c r="W36" s="46"/>
      <c r="AF36" s="46"/>
      <c r="AJ36" s="49"/>
      <c r="AK36" s="19"/>
      <c r="AL36" s="19"/>
      <c r="AM36" s="19"/>
    </row>
    <row r="37" customFormat="false" ht="12.75" hidden="false" customHeight="false" outlineLevel="0" collapsed="false">
      <c r="A37" s="20" t="s">
        <v>46</v>
      </c>
      <c r="B37" s="21" t="n">
        <f aca="false">5050+10000</f>
        <v>15050</v>
      </c>
      <c r="C37" s="2" t="s">
        <v>28</v>
      </c>
      <c r="G37" s="19"/>
      <c r="H37" s="19"/>
      <c r="W37" s="46"/>
      <c r="AL37" s="19"/>
      <c r="AM37" s="19"/>
    </row>
    <row r="38" customFormat="false" ht="12.75" hidden="false" customHeight="false" outlineLevel="0" collapsed="false">
      <c r="A38" s="20" t="s">
        <v>7</v>
      </c>
      <c r="B38" s="21" t="n">
        <v>0</v>
      </c>
      <c r="D38" s="19"/>
      <c r="E38" s="30"/>
      <c r="G38" s="19"/>
      <c r="H38" s="19"/>
      <c r="AL38" s="19"/>
      <c r="AM38" s="19"/>
    </row>
    <row r="39" customFormat="false" ht="12.75" hidden="false" customHeight="false" outlineLevel="0" collapsed="false">
      <c r="A39" s="20" t="s">
        <v>24</v>
      </c>
      <c r="B39" s="36"/>
      <c r="G39" s="19"/>
      <c r="H39" s="19"/>
      <c r="AJ39" s="19"/>
      <c r="AK39" s="19"/>
      <c r="AL39" s="19"/>
      <c r="AM39" s="19"/>
    </row>
    <row r="40" customFormat="false" ht="12.75" hidden="false" customHeight="false" outlineLevel="0" collapsed="false">
      <c r="A40" s="20" t="s">
        <v>53</v>
      </c>
      <c r="B40" s="21" t="n">
        <v>0</v>
      </c>
      <c r="G40" s="19"/>
      <c r="H40" s="19"/>
      <c r="AJ40" s="19"/>
      <c r="AK40" s="19"/>
      <c r="AL40" s="19"/>
      <c r="AM40" s="19"/>
    </row>
    <row r="41" customFormat="false" ht="12.75" hidden="false" customHeight="false" outlineLevel="0" collapsed="false">
      <c r="A41" s="20" t="s">
        <v>19</v>
      </c>
      <c r="B41" s="21" t="n">
        <v>0</v>
      </c>
      <c r="G41" s="19"/>
      <c r="H41" s="19"/>
      <c r="AJ41" s="19"/>
      <c r="AK41" s="19"/>
      <c r="AL41" s="19"/>
      <c r="AM41" s="19"/>
    </row>
    <row r="42" customFormat="false" ht="12.75" hidden="false" customHeight="false" outlineLevel="0" collapsed="false">
      <c r="A42" s="20" t="s">
        <v>54</v>
      </c>
      <c r="B42" s="21" t="n">
        <v>10</v>
      </c>
      <c r="AJ42" s="19"/>
      <c r="AK42" s="19"/>
      <c r="AL42" s="19"/>
      <c r="AM42" s="19"/>
    </row>
    <row r="43" customFormat="false" ht="12.75" hidden="false" customHeight="false" outlineLevel="0" collapsed="false">
      <c r="A43" s="20" t="s">
        <v>55</v>
      </c>
      <c r="B43" s="21" t="n">
        <v>1000</v>
      </c>
      <c r="E43" s="19"/>
      <c r="AJ43" s="19"/>
      <c r="AK43" s="19"/>
      <c r="AL43" s="19"/>
      <c r="AM43" s="19"/>
    </row>
    <row r="44" customFormat="false" ht="12.75" hidden="false" customHeight="false" outlineLevel="0" collapsed="false">
      <c r="A44" s="20" t="s">
        <v>37</v>
      </c>
      <c r="B44" s="21"/>
      <c r="C44" s="30"/>
      <c r="E44" s="19"/>
    </row>
    <row r="45" customFormat="false" ht="12.75" hidden="false" customHeight="false" outlineLevel="0" collapsed="false">
      <c r="A45" s="20" t="s">
        <v>42</v>
      </c>
      <c r="B45" s="21" t="n">
        <v>35000</v>
      </c>
      <c r="E45" s="19"/>
    </row>
    <row r="46" customFormat="false" ht="12.75" hidden="false" customHeight="false" outlineLevel="0" collapsed="false">
      <c r="A46" s="20" t="s">
        <v>26</v>
      </c>
      <c r="B46" s="21" t="n">
        <v>0</v>
      </c>
      <c r="C46" s="30"/>
      <c r="E46" s="19"/>
    </row>
    <row r="47" customFormat="false" ht="12.75" hidden="false" customHeight="false" outlineLevel="0" collapsed="false">
      <c r="A47" s="20" t="s">
        <v>32</v>
      </c>
      <c r="B47" s="21" t="n">
        <v>0</v>
      </c>
    </row>
    <row r="48" customFormat="false" ht="12.75" hidden="false" customHeight="false" outlineLevel="0" collapsed="false">
      <c r="A48" s="20" t="s">
        <v>56</v>
      </c>
      <c r="B48" s="21" t="n">
        <v>0</v>
      </c>
      <c r="C48" s="2" t="s">
        <v>28</v>
      </c>
      <c r="E48" s="19"/>
    </row>
    <row r="49" customFormat="false" ht="12.75" hidden="false" customHeight="false" outlineLevel="0" collapsed="false">
      <c r="A49" s="20" t="s">
        <v>57</v>
      </c>
      <c r="B49" s="21" t="n">
        <v>0</v>
      </c>
      <c r="C49" s="30" t="s">
        <v>28</v>
      </c>
      <c r="E49" s="19"/>
    </row>
    <row r="50" customFormat="false" ht="12.75" hidden="false" customHeight="false" outlineLevel="0" collapsed="false">
      <c r="A50" s="20" t="s">
        <v>58</v>
      </c>
      <c r="B50" s="21" t="n">
        <v>60000</v>
      </c>
      <c r="E50" s="19"/>
    </row>
    <row r="51" customFormat="false" ht="12.75" hidden="false" customHeight="false" outlineLevel="0" collapsed="false">
      <c r="A51" s="20" t="s">
        <v>40</v>
      </c>
      <c r="B51" s="21" t="n">
        <v>0</v>
      </c>
      <c r="E51" s="19"/>
    </row>
    <row r="52" customFormat="false" ht="12.75" hidden="false" customHeight="false" outlineLevel="0" collapsed="false">
      <c r="A52" s="20" t="s">
        <v>19</v>
      </c>
      <c r="B52" s="21" t="n">
        <f aca="false">240254+150746</f>
        <v>391000</v>
      </c>
      <c r="C52" s="30"/>
      <c r="E52" s="19"/>
    </row>
    <row r="53" customFormat="false" ht="13.5" hidden="false" customHeight="false" outlineLevel="0" collapsed="false">
      <c r="A53" s="20" t="s">
        <v>47</v>
      </c>
      <c r="B53" s="21" t="n">
        <v>0</v>
      </c>
      <c r="E53" s="19"/>
    </row>
    <row r="54" customFormat="false" ht="13.5" hidden="false" customHeight="false" outlineLevel="0" collapsed="false">
      <c r="A54" s="31" t="s">
        <v>48</v>
      </c>
      <c r="B54" s="32" t="n">
        <f aca="false">SUM(B29:B53)</f>
        <v>1330196</v>
      </c>
      <c r="C54" s="30"/>
      <c r="E54" s="19"/>
    </row>
    <row r="55" customFormat="false" ht="13.5" hidden="false" customHeight="false" outlineLevel="0" collapsed="false">
      <c r="A55" s="26"/>
      <c r="B55" s="39"/>
      <c r="E55" s="19"/>
    </row>
    <row r="56" customFormat="false" ht="12.75" hidden="false" customHeight="false" outlineLevel="0" collapsed="false">
      <c r="A56" s="56"/>
      <c r="B56" s="56"/>
      <c r="E56" s="19"/>
    </row>
    <row r="57" customFormat="false" ht="12.75" hidden="false" customHeight="false" outlineLevel="0" collapsed="false">
      <c r="E57" s="19"/>
    </row>
  </sheetData>
  <printOptions headings="false" gridLines="false" gridLinesSet="true" horizontalCentered="false" verticalCentered="false"/>
  <pageMargins left="0.55" right="0.3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2000-09-26T10:56:15Z</dcterms:created>
  <dc:creator>bdillar</dc:creator>
  <dc:description/>
  <dc:language>en-US</dc:language>
  <cp:lastModifiedBy>mmixon</cp:lastModifiedBy>
  <cp:lastPrinted>2000-11-30T21:29:26Z</cp:lastPrinted>
  <dcterms:modified xsi:type="dcterms:W3CDTF">2000-12-08T12:03:30Z</dcterms:modified>
  <cp:revision>0</cp:revision>
  <dc:subject/>
  <dc:title/>
</cp:coreProperties>
</file>