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WEEKEND" sheetId="2" state="visible" r:id="rId4"/>
  </sheets>
  <externalReferences>
    <externalReference r:id="rId5"/>
  </externalReferences>
  <definedNames>
    <definedName function="false" hidden="false" localSheetId="0" name="_xlnm.Print_Area" vbProcedure="false">DAILY!$A$1:$J$79</definedName>
    <definedName function="false" hidden="false" localSheetId="1" name="_xlnm.Print_Area" vbProcedure="false">WEEKEND!$A$1:$L$64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78</xdr:colOff>
                <xdr:row>10</xdr:row>
                <xdr:rowOff>5</xdr:rowOff>
              </xdr:from>
              <xdr:to>
                <xdr:col>5</xdr:col>
                <xdr:colOff>26</xdr:colOff>
                <xdr:row>15</xdr:row>
                <xdr:rowOff>15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17</xdr:row>
                <xdr:rowOff>8</xdr:rowOff>
              </xdr:from>
              <xdr:to>
                <xdr:col>2</xdr:col>
                <xdr:colOff>40</xdr:colOff>
                <xdr:row>21</xdr:row>
                <xdr:rowOff>13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25</xdr:row>
                <xdr:rowOff>8</xdr:rowOff>
              </xdr:from>
              <xdr:to>
                <xdr:col>3</xdr:col>
                <xdr:colOff>119</xdr:colOff>
                <xdr:row>31</xdr:row>
                <xdr:rowOff>14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9</xdr:rowOff>
              </xdr:from>
              <xdr:to>
                <xdr:col>3</xdr:col>
                <xdr:colOff>143</xdr:colOff>
                <xdr:row>45</xdr:row>
                <xdr:rowOff>17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8</xdr:rowOff>
              </xdr:from>
              <xdr:to>
                <xdr:col>3</xdr:col>
                <xdr:colOff>186</xdr:colOff>
                <xdr:row>50</xdr:row>
                <xdr:rowOff>16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10</xdr:row>
                <xdr:rowOff>7</xdr:rowOff>
              </xdr:from>
              <xdr:to>
                <xdr:col>3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17</xdr:row>
                <xdr:rowOff>7</xdr:rowOff>
              </xdr:from>
              <xdr:to>
                <xdr:col>2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25</xdr:row>
                <xdr:rowOff>7</xdr:rowOff>
              </xdr:from>
              <xdr:to>
                <xdr:col>3</xdr:col>
                <xdr:colOff>156</xdr:colOff>
                <xdr:row>31</xdr:row>
                <xdr:rowOff>13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7</xdr:rowOff>
              </xdr:from>
              <xdr:to>
                <xdr:col>3</xdr:col>
                <xdr:colOff>152</xdr:colOff>
                <xdr:row>45</xdr:row>
                <xdr:rowOff>15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7</xdr:rowOff>
              </xdr:from>
              <xdr:to>
                <xdr:col>3</xdr:col>
                <xdr:colOff>196</xdr:colOff>
                <xdr:row>50</xdr:row>
                <xdr:rowOff>15</xdr:rowOff>
              </xdr:to>
            </anchor>
          </commentPr>
        </mc:Choice>
        <mc:Fallback/>
      </mc:AlternateContent>
    </comment>
    <comment ref="G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10</xdr:row>
                <xdr:rowOff>7</xdr:rowOff>
              </xdr:from>
              <xdr:to>
                <xdr:col>9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G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17</xdr:row>
                <xdr:rowOff>7</xdr:rowOff>
              </xdr:from>
              <xdr:to>
                <xdr:col>8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G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25</xdr:row>
                <xdr:rowOff>7</xdr:rowOff>
              </xdr:from>
              <xdr:to>
                <xdr:col>9</xdr:col>
                <xdr:colOff>156</xdr:colOff>
                <xdr:row>31</xdr:row>
                <xdr:rowOff>13</xdr:rowOff>
              </xdr:to>
            </anchor>
          </commentPr>
        </mc:Choice>
        <mc:Fallback/>
      </mc:AlternateContent>
    </comment>
    <comment ref="G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39</xdr:row>
                <xdr:rowOff>7</xdr:rowOff>
              </xdr:from>
              <xdr:to>
                <xdr:col>9</xdr:col>
                <xdr:colOff>152</xdr:colOff>
                <xdr:row>45</xdr:row>
                <xdr:rowOff>15</xdr:rowOff>
              </xdr:to>
            </anchor>
          </commentPr>
        </mc:Choice>
        <mc:Fallback/>
      </mc:AlternateContent>
    </comment>
    <comment ref="G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44</xdr:row>
                <xdr:rowOff>7</xdr:rowOff>
              </xdr:from>
              <xdr:to>
                <xdr:col>9</xdr:col>
                <xdr:colOff>196</xdr:colOff>
                <xdr:row>50</xdr:row>
                <xdr:rowOff>15</xdr:rowOff>
              </xdr:to>
            </anchor>
          </commentPr>
        </mc:Choice>
        <mc:Fallback/>
      </mc:AlternateContent>
    </comment>
    <comment ref="M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10</xdr:row>
                <xdr:rowOff>7</xdr:rowOff>
              </xdr:from>
              <xdr:to>
                <xdr:col>14</xdr:col>
                <xdr:colOff>10</xdr:colOff>
                <xdr:row>15</xdr:row>
                <xdr:rowOff>17</xdr:rowOff>
              </xdr:to>
            </anchor>
          </commentPr>
        </mc:Choice>
        <mc:Fallback/>
      </mc:AlternateContent>
    </comment>
    <comment ref="M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17</xdr:row>
                <xdr:rowOff>7</xdr:rowOff>
              </xdr:from>
              <xdr:to>
                <xdr:col>13</xdr:col>
                <xdr:colOff>-85</xdr:colOff>
                <xdr:row>21</xdr:row>
                <xdr:rowOff>12</xdr:rowOff>
              </xdr:to>
            </anchor>
          </commentPr>
        </mc:Choice>
        <mc:Fallback/>
      </mc:AlternateContent>
    </comment>
    <comment ref="M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25</xdr:row>
                <xdr:rowOff>7</xdr:rowOff>
              </xdr:from>
              <xdr:to>
                <xdr:col>13</xdr:col>
                <xdr:colOff>84</xdr:colOff>
                <xdr:row>31</xdr:row>
                <xdr:rowOff>13</xdr:rowOff>
              </xdr:to>
            </anchor>
          </commentPr>
        </mc:Choice>
        <mc:Fallback/>
      </mc:AlternateContent>
    </comment>
    <comment ref="M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39</xdr:row>
                <xdr:rowOff>7</xdr:rowOff>
              </xdr:from>
              <xdr:to>
                <xdr:col>13</xdr:col>
                <xdr:colOff>80</xdr:colOff>
                <xdr:row>45</xdr:row>
                <xdr:rowOff>15</xdr:rowOff>
              </xdr:to>
            </anchor>
          </commentPr>
        </mc:Choice>
        <mc:Fallback/>
      </mc:AlternateContent>
    </comment>
    <comment ref="M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44</xdr:row>
                <xdr:rowOff>7</xdr:rowOff>
              </xdr:from>
              <xdr:to>
                <xdr:col>14</xdr:col>
                <xdr:colOff>39</xdr:colOff>
                <xdr:row>50</xdr:row>
                <xdr:rowOff>15</xdr:rowOff>
              </xdr:to>
            </anchor>
          </commentPr>
        </mc:Choice>
        <mc:Fallback/>
      </mc:AlternateContent>
    </comment>
    <comment ref="S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10</xdr:row>
                <xdr:rowOff>7</xdr:rowOff>
              </xdr:from>
              <xdr:to>
                <xdr:col>20</xdr:col>
                <xdr:colOff>13</xdr:colOff>
                <xdr:row>15</xdr:row>
                <xdr:rowOff>17</xdr:rowOff>
              </xdr:to>
            </anchor>
          </commentPr>
        </mc:Choice>
        <mc:Fallback/>
      </mc:AlternateContent>
    </comment>
    <comment ref="S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17</xdr:row>
                <xdr:rowOff>7</xdr:rowOff>
              </xdr:from>
              <xdr:to>
                <xdr:col>19</xdr:col>
                <xdr:colOff>-84</xdr:colOff>
                <xdr:row>21</xdr:row>
                <xdr:rowOff>12</xdr:rowOff>
              </xdr:to>
            </anchor>
          </commentPr>
        </mc:Choice>
        <mc:Fallback/>
      </mc:AlternateContent>
    </comment>
    <comment ref="S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25</xdr:row>
                <xdr:rowOff>7</xdr:rowOff>
              </xdr:from>
              <xdr:to>
                <xdr:col>20</xdr:col>
                <xdr:colOff>0</xdr:colOff>
                <xdr:row>31</xdr:row>
                <xdr:rowOff>13</xdr:rowOff>
              </xdr:to>
            </anchor>
          </commentPr>
        </mc:Choice>
        <mc:Fallback/>
      </mc:AlternateContent>
    </comment>
    <comment ref="S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39</xdr:row>
                <xdr:rowOff>7</xdr:rowOff>
              </xdr:from>
              <xdr:to>
                <xdr:col>19</xdr:col>
                <xdr:colOff>81</xdr:colOff>
                <xdr:row>45</xdr:row>
                <xdr:rowOff>15</xdr:rowOff>
              </xdr:to>
            </anchor>
          </commentPr>
        </mc:Choice>
        <mc:Fallback/>
      </mc:AlternateContent>
    </comment>
    <comment ref="S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44</xdr:row>
                <xdr:rowOff>7</xdr:rowOff>
              </xdr:from>
              <xdr:to>
                <xdr:col>20</xdr:col>
                <xdr:colOff>42</xdr:colOff>
                <xdr:row>50</xdr:row>
                <xdr:rowOff>15</xdr:rowOff>
              </xdr:to>
            </anchor>
          </commentPr>
        </mc:Choice>
        <mc:Fallback/>
      </mc:AlternateContent>
    </comment>
    <comment ref="Y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10</xdr:row>
                <xdr:rowOff>7</xdr:rowOff>
              </xdr:from>
              <xdr:to>
                <xdr:col>36</xdr:col>
                <xdr:colOff>63</xdr:colOff>
                <xdr:row>15</xdr:row>
                <xdr:rowOff>17</xdr:rowOff>
              </xdr:to>
            </anchor>
          </commentPr>
        </mc:Choice>
        <mc:Fallback/>
      </mc:AlternateContent>
    </comment>
    <comment ref="Y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17</xdr:row>
                <xdr:rowOff>7</xdr:rowOff>
              </xdr:from>
              <xdr:to>
                <xdr:col>34</xdr:col>
                <xdr:colOff>17</xdr:colOff>
                <xdr:row>21</xdr:row>
                <xdr:rowOff>12</xdr:rowOff>
              </xdr:to>
            </anchor>
          </commentPr>
        </mc:Choice>
        <mc:Fallback/>
      </mc:AlternateContent>
    </comment>
    <comment ref="Y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25</xdr:row>
                <xdr:rowOff>7</xdr:rowOff>
              </xdr:from>
              <xdr:to>
                <xdr:col>36</xdr:col>
                <xdr:colOff>51</xdr:colOff>
                <xdr:row>31</xdr:row>
                <xdr:rowOff>13</xdr:rowOff>
              </xdr:to>
            </anchor>
          </commentPr>
        </mc:Choice>
        <mc:Fallback/>
      </mc:AlternateContent>
    </comment>
    <comment ref="Y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39</xdr:row>
                <xdr:rowOff>7</xdr:rowOff>
              </xdr:from>
              <xdr:to>
                <xdr:col>36</xdr:col>
                <xdr:colOff>48</xdr:colOff>
                <xdr:row>45</xdr:row>
                <xdr:rowOff>15</xdr:rowOff>
              </xdr:to>
            </anchor>
          </commentPr>
        </mc:Choice>
        <mc:Fallback/>
      </mc:AlternateContent>
    </comment>
    <comment ref="Y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44</xdr:row>
                <xdr:rowOff>7</xdr:rowOff>
              </xdr:from>
              <xdr:to>
                <xdr:col>37</xdr:col>
                <xdr:colOff>25</xdr:colOff>
                <xdr:row>50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<sst xmlns="http://schemas.openxmlformats.org/spreadsheetml/2006/main" count="565" uniqueCount="95">
  <si>
    <t xml:space="preserve">TODAY'S DATE: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</si>
  <si>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</si>
  <si>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</si>
  <si>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</si>
  <si>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</si>
  <si>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</si>
  <si>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</si>
  <si>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</si>
  <si>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</si>
  <si>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</si>
  <si>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</si>
  <si>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</si>
  <si>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</si>
  <si>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</si>
  <si>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SENDOUT FOR:</t>
  </si>
  <si>
    <t xml:space="preserve">HI</t>
  </si>
  <si>
    <t xml:space="preserve">LOW</t>
  </si>
  <si>
    <t xml:space="preserve">MEAN</t>
  </si>
  <si>
    <t xml:space="preserve">ELWOOD</t>
  </si>
  <si>
    <t xml:space="preserve">Change</t>
  </si>
  <si>
    <t xml:space="preserve">WEATHER</t>
  </si>
  <si>
    <t xml:space="preserve">Total Burn:</t>
  </si>
  <si>
    <t xml:space="preserve"> </t>
  </si>
  <si>
    <t xml:space="preserve">Lorinda</t>
  </si>
  <si>
    <t xml:space="preserve">Cinergy Nomination:</t>
  </si>
  <si>
    <t xml:space="preserve">Elwood MAX Bank</t>
  </si>
  <si>
    <t xml:space="preserve">Lincoln Center MAX Bank</t>
  </si>
  <si>
    <t xml:space="preserve">PGL SENDOUT</t>
  </si>
  <si>
    <t xml:space="preserve">NS SENDOUT</t>
  </si>
  <si>
    <t xml:space="preserve">PGL Balancing:</t>
  </si>
  <si>
    <t xml:space="preserve">Percent Full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</si>
  <si>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</si>
  <si>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</si>
  <si>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</si>
  <si>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</si>
  <si>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</si>
  <si>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</si>
  <si>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 </t>
  </si>
  <si>
    <t xml:space="preserve">     NGPL (DSS)</t>
  </si>
  <si>
    <t xml:space="preserve">     ANR </t>
  </si>
  <si>
    <t xml:space="preserve">     EMW</t>
  </si>
  <si>
    <t xml:space="preserve">     NICOR BALANCING</t>
  </si>
  <si>
    <t xml:space="preserve">     ANR (NO-NOTICE)</t>
  </si>
  <si>
    <t xml:space="preserve">LINCOLN CENTER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</si>
  <si>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</si>
  <si>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</si>
  <si>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</si>
  <si>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</si>
  <si>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 TOLERANCE</t>
  </si>
  <si>
    <t xml:space="preserve">ENA DIQ</t>
  </si>
  <si>
    <t xml:space="preserve">     NGPL (NO-NOTICE)-NSS</t>
  </si>
  <si>
    <t xml:space="preserve">RIDER GAS</t>
  </si>
  <si>
    <t xml:space="preserve">     NGPL- DSS</t>
  </si>
  <si>
    <t xml:space="preserve">WITHDRAWALS:</t>
  </si>
  <si>
    <t xml:space="preserve">     -  ADDITIONAL NGPL DSS INJECTIONS</t>
  </si>
  <si>
    <t xml:space="preserve">     COENERGY</t>
  </si>
  <si>
    <t xml:space="preserve">     ENGAGE</t>
  </si>
  <si>
    <t xml:space="preserve">     NGPL AM-DSS</t>
  </si>
  <si>
    <t xml:space="preserve">     PANHANDLE</t>
  </si>
  <si>
    <t xml:space="preserve">     NGPL AM</t>
  </si>
  <si>
    <t xml:space="preserve">    TRUNKLINE IMBALANCE (UNDER DEL' D)</t>
  </si>
  <si>
    <t xml:space="preserve">     PGL TTP-MANLOVE</t>
  </si>
  <si>
    <t xml:space="preserve">     FUEL</t>
  </si>
  <si>
    <t xml:space="preserve">     NGPL SUPPLY (NS TTP)</t>
  </si>
  <si>
    <t xml:space="preserve">    LNG LIQUIFICATION</t>
  </si>
  <si>
    <t xml:space="preserve">     -  ADDITIONAL CITYGATE PURCHASES</t>
  </si>
  <si>
    <t xml:space="preserve">LINE PACK / IMBALANCE</t>
  </si>
  <si>
    <t xml:space="preserve">IMBALANCES</t>
  </si>
  <si>
    <t xml:space="preserve">TOTAL SOURCES</t>
  </si>
  <si>
    <t xml:space="preserve">TRUNKLINE SOUTH TX (REFILL)</t>
  </si>
  <si>
    <t xml:space="preserve">TRUNKLINE QNT SPOT</t>
  </si>
  <si>
    <t xml:space="preserve">EMW</t>
  </si>
  <si>
    <t xml:space="preserve">ANR IMBALANCE</t>
  </si>
  <si>
    <t xml:space="preserve">TRUNKLINE IMBALANCE (OVER DEL' D)</t>
  </si>
  <si>
    <t xml:space="preserve">ALLIANCE IMBALANCE (OVER DEL' D)</t>
  </si>
  <si>
    <t xml:space="preserve">HUB ACTIVITY   (PURCHASES MAHO CG )</t>
  </si>
  <si>
    <t xml:space="preserve">HUB:</t>
  </si>
  <si>
    <t xml:space="preserve">     MISC</t>
  </si>
  <si>
    <t xml:space="preserve">MANLOVE (MAHO / HUB)</t>
  </si>
  <si>
    <t xml:space="preserve">RFG</t>
  </si>
  <si>
    <t xml:space="preserve">LNG VAPORIZE A + B</t>
  </si>
  <si>
    <t xml:space="preserve">     NGPL:  DSS</t>
  </si>
  <si>
    <t xml:space="preserve">     NGPL:  NSS1</t>
  </si>
  <si>
    <t xml:space="preserve">     NGPL:  NSS2</t>
  </si>
  <si>
    <t xml:space="preserve">     PGL TTP  (PGLC purch delivrd @the city gate)</t>
  </si>
  <si>
    <t xml:space="preserve">     - SPOT / ADD'L CITY GATE PURCHASES</t>
  </si>
  <si>
    <t xml:space="preserve">     TGC</t>
  </si>
  <si>
    <t xml:space="preserve">     NS MANLOVE TTP</t>
  </si>
  <si>
    <t xml:space="preserve">     LINEPACK</t>
  </si>
  <si>
    <t xml:space="preserve">     MOBIL</t>
  </si>
  <si>
    <t xml:space="preserve">Friday</t>
  </si>
  <si>
    <t xml:space="preserve">Saturday</t>
  </si>
  <si>
    <t xml:space="preserve">Sunday</t>
  </si>
  <si>
    <t xml:space="preserve">Monday</t>
  </si>
  <si>
    <t xml:space="preserve">Tuesday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</si>
</sst>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  <numFmt numFmtId="168" formatCode="0"/>
    <numFmt numFmtId="169" formatCode="0%"/>
    <numFmt numFmtId="170" formatCode="_(* #,##0_);_(* \(#,##0\);_(* \-_);_(@_)"/>
    <numFmt numFmtId="171" formatCode="_(\$* #,##0.00_);_(\$* \(#,##0.00\);_(\$* \-??_);_(@_)"/>
    <numFmt numFmtId="172" formatCode="_(\$* #,##0_);_(\$* \(#,##0\);_(\$* \-??_);_(@_)"/>
    <numFmt numFmtId="173" formatCode="_(* #,##0.000_);_(* \(#,##0.000\);_(* \-??_);_(@_)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Tahoma"/>
      <family val="2"/>
    </font>
    <font>
      <sz val="10"/>
      <color rgb="FF000000"/>
      <name val="Tahoma"/>
      <family val="2"/>
    </font>
    <font>
      <b val="true"/>
      <sz val="12"/>
      <color rgb="FF000000"/>
      <name val="Tahoma"/>
      <family val="2"/>
    </font>
    <font>
      <sz val="12"/>
      <color rgb="FF000000"/>
      <name val="Tahoma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  <font>
      <b val="true"/>
      <sz val="16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876743139901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525038"/>
        <c:axId val="6933976"/>
      </c:lineChart>
      <c:catAx>
        <c:axId val="9852503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33976"/>
        <c:crossesAt val="0"/>
        <c:auto val="1"/>
        <c:lblAlgn val="ctr"/>
        <c:lblOffset val="100"/>
        <c:noMultiLvlLbl val="0"/>
      </c:catAx>
      <c:valAx>
        <c:axId val="693397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52503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1943319838057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919270"/>
        <c:axId val="69659234"/>
      </c:lineChart>
      <c:catAx>
        <c:axId val="389192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659234"/>
        <c:crossesAt val="0"/>
        <c:auto val="1"/>
        <c:lblAlgn val="ctr"/>
        <c:lblOffset val="100"/>
        <c:noMultiLvlLbl val="0"/>
      </c:catAx>
      <c:valAx>
        <c:axId val="6965923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91927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197674418605"/>
          <c:w val="1"/>
          <c:h val="0.8854651162790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758315"/>
        <c:axId val="76830471"/>
      </c:lineChart>
      <c:catAx>
        <c:axId val="797583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30471"/>
        <c:crossesAt val="0"/>
        <c:auto val="1"/>
        <c:lblAlgn val="ctr"/>
        <c:lblOffset val="100"/>
        <c:noMultiLvlLbl val="0"/>
      </c:catAx>
      <c:valAx>
        <c:axId val="7683047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75831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011627906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689329"/>
        <c:axId val="34544521"/>
      </c:lineChart>
      <c:catAx>
        <c:axId val="116893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544521"/>
        <c:crossesAt val="-40000"/>
        <c:auto val="1"/>
        <c:lblAlgn val="ctr"/>
        <c:lblOffset val="100"/>
        <c:noMultiLvlLbl val="0"/>
      </c:catAx>
      <c:valAx>
        <c:axId val="3454452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6893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4269005847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769049"/>
        <c:axId val="99158417"/>
      </c:lineChart>
      <c:catAx>
        <c:axId val="7576904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158417"/>
        <c:crossesAt val="0"/>
        <c:auto val="1"/>
        <c:lblAlgn val="ctr"/>
        <c:lblOffset val="100"/>
        <c:noMultiLvlLbl val="0"/>
      </c:catAx>
      <c:valAx>
        <c:axId val="9915841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76904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304993252362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61485"/>
        <c:axId val="75992558"/>
      </c:lineChart>
      <c:catAx>
        <c:axId val="28614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992558"/>
        <c:crossesAt val="0"/>
        <c:auto val="1"/>
        <c:lblAlgn val="ctr"/>
        <c:lblOffset val="100"/>
        <c:noMultiLvlLbl val="0"/>
      </c:catAx>
      <c:valAx>
        <c:axId val="7599255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6148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148061"/>
        <c:axId val="84261513"/>
      </c:lineChart>
      <c:catAx>
        <c:axId val="9014806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261513"/>
        <c:crossesAt val="0"/>
        <c:auto val="1"/>
        <c:lblAlgn val="ctr"/>
        <c:lblOffset val="100"/>
        <c:noMultiLvlLbl val="0"/>
      </c:catAx>
      <c:valAx>
        <c:axId val="8426151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14806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536657"/>
        <c:axId val="40004568"/>
      </c:lineChart>
      <c:catAx>
        <c:axId val="145366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004568"/>
        <c:crossesAt val="0"/>
        <c:auto val="1"/>
        <c:lblAlgn val="ctr"/>
        <c:lblOffset val="100"/>
        <c:noMultiLvlLbl val="0"/>
      </c:catAx>
      <c:valAx>
        <c:axId val="4000456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53665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8953488372093"/>
          <c:w val="1"/>
          <c:h val="0.8895348837209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757396"/>
        <c:axId val="9310159"/>
      </c:lineChart>
      <c:catAx>
        <c:axId val="477573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10159"/>
        <c:crossesAt val="0"/>
        <c:auto val="1"/>
        <c:lblAlgn val="ctr"/>
        <c:lblOffset val="100"/>
        <c:noMultiLvlLbl val="0"/>
      </c:catAx>
      <c:valAx>
        <c:axId val="931015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75739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5406976744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2808920"/>
        <c:axId val="35585435"/>
      </c:lineChart>
      <c:catAx>
        <c:axId val="12808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585435"/>
        <c:crossesAt val="-40000"/>
        <c:auto val="1"/>
        <c:lblAlgn val="ctr"/>
        <c:lblOffset val="100"/>
        <c:noMultiLvlLbl val="0"/>
      </c:catAx>
      <c:valAx>
        <c:axId val="3558543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80892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9023841655420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716387"/>
        <c:axId val="82979947"/>
      </c:lineChart>
      <c:catAx>
        <c:axId val="8671638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979947"/>
        <c:crossesAt val="0"/>
        <c:auto val="1"/>
        <c:lblAlgn val="ctr"/>
        <c:lblOffset val="100"/>
        <c:noMultiLvlLbl val="0"/>
      </c:catAx>
      <c:valAx>
        <c:axId val="8297994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71638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16824111561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034162"/>
        <c:axId val="28012266"/>
      </c:lineChart>
      <c:catAx>
        <c:axId val="360341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012266"/>
        <c:crossesAt val="0"/>
        <c:auto val="1"/>
        <c:lblAlgn val="ctr"/>
        <c:lblOffset val="100"/>
        <c:noMultiLvlLbl val="0"/>
      </c:catAx>
      <c:valAx>
        <c:axId val="2801226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0341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177475"/>
        <c:axId val="653162"/>
      </c:lineChart>
      <c:catAx>
        <c:axId val="931774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162"/>
        <c:crossesAt val="0"/>
        <c:auto val="1"/>
        <c:lblAlgn val="ctr"/>
        <c:lblOffset val="100"/>
        <c:noMultiLvlLbl val="0"/>
      </c:catAx>
      <c:valAx>
        <c:axId val="65316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17747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575786725298887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6493506493506"/>
          <c:w val="1"/>
          <c:h val="0.84077922077922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7353044"/>
        <c:axId val="18295043"/>
      </c:lineChart>
      <c:catAx>
        <c:axId val="373530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295043"/>
        <c:crossesAt val="0"/>
        <c:auto val="1"/>
        <c:lblAlgn val="ctr"/>
        <c:lblOffset val="100"/>
        <c:noMultiLvlLbl val="0"/>
      </c:catAx>
      <c:valAx>
        <c:axId val="1829504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35304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8561990"/>
        <c:axId val="81106013"/>
      </c:lineChart>
      <c:catAx>
        <c:axId val="685619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106013"/>
        <c:crossesAt val="0"/>
        <c:auto val="1"/>
        <c:lblAlgn val="ctr"/>
        <c:lblOffset val="100"/>
        <c:noMultiLvlLbl val="0"/>
      </c:catAx>
      <c:valAx>
        <c:axId val="8110601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56199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73189501168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8953488372093"/>
          <c:w val="1"/>
          <c:h val="0.8895348837209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219448"/>
        <c:axId val="18992381"/>
      </c:lineChart>
      <c:catAx>
        <c:axId val="23219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992381"/>
        <c:crossesAt val="0"/>
        <c:auto val="1"/>
        <c:lblAlgn val="ctr"/>
        <c:lblOffset val="100"/>
        <c:noMultiLvlLbl val="0"/>
      </c:catAx>
      <c:valAx>
        <c:axId val="1899238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21944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4315406976744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222341"/>
        <c:axId val="45669562"/>
      </c:lineChart>
      <c:catAx>
        <c:axId val="242223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669562"/>
        <c:crossesAt val="-40000"/>
        <c:auto val="1"/>
        <c:lblAlgn val="ctr"/>
        <c:lblOffset val="100"/>
        <c:noMultiLvlLbl val="0"/>
      </c:catAx>
      <c:valAx>
        <c:axId val="4566956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22234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36422004961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832189854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019682825329"/>
          <c:w val="1"/>
          <c:h val="0.889101338432122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813476"/>
        <c:axId val="52227877"/>
      </c:lineChart>
      <c:catAx>
        <c:axId val="138134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227877"/>
        <c:crossesAt val="0"/>
        <c:auto val="1"/>
        <c:lblAlgn val="ctr"/>
        <c:lblOffset val="100"/>
        <c:noMultiLvlLbl val="0"/>
      </c:catAx>
      <c:valAx>
        <c:axId val="5222787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81347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945675402092"/>
          <c:w val="258.666666666667"/>
          <c:h val="0.134855471825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0501883582452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4320087495443"/>
          <c:w val="1"/>
          <c:h val="0.94008992587191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3833823"/>
        <c:axId val="37491100"/>
      </c:lineChart>
      <c:catAx>
        <c:axId val="838338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491100"/>
        <c:crossesAt val="0"/>
        <c:auto val="1"/>
        <c:lblAlgn val="ctr"/>
        <c:lblOffset val="100"/>
        <c:noMultiLvlLbl val="0"/>
      </c:catAx>
      <c:valAx>
        <c:axId val="374911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83382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41633248268319"/>
          <c:w val="297.888888888889"/>
          <c:h val="0.1800947867298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4675324675325"/>
          <c:w val="1"/>
          <c:h val="0.84246753246753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090846"/>
        <c:axId val="2137512"/>
      </c:lineChart>
      <c:catAx>
        <c:axId val="2809084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37512"/>
        <c:crossesAt val="0"/>
        <c:auto val="1"/>
        <c:lblAlgn val="ctr"/>
        <c:lblOffset val="100"/>
        <c:noMultiLvlLbl val="0"/>
      </c:catAx>
      <c:valAx>
        <c:axId val="213751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09084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7012987012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5813586097946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6625349374165"/>
          <c:w val="1"/>
          <c:h val="0.86656944950783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0160989"/>
        <c:axId val="35359892"/>
      </c:lineChart>
      <c:catAx>
        <c:axId val="301609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359892"/>
        <c:crossesAt val="0"/>
        <c:auto val="1"/>
        <c:lblAlgn val="ctr"/>
        <c:lblOffset val="100"/>
        <c:noMultiLvlLbl val="0"/>
      </c:catAx>
      <c:valAx>
        <c:axId val="3535989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16098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351926114959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62629505326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8489712534656"/>
          <c:w val="1"/>
          <c:h val="0.888370056909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1344762"/>
        <c:axId val="9230761"/>
      </c:lineChart>
      <c:catAx>
        <c:axId val="413447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30761"/>
        <c:crossesAt val="0"/>
        <c:auto val="1"/>
        <c:lblAlgn val="ctr"/>
        <c:lblOffset val="100"/>
        <c:noMultiLvlLbl val="0"/>
      </c:catAx>
      <c:valAx>
        <c:axId val="923076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3447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6357799503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27789"/>
        <c:axId val="32823443"/>
      </c:lineChart>
      <c:catAx>
        <c:axId val="342778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823443"/>
        <c:crossesAt val="0"/>
        <c:auto val="1"/>
        <c:lblAlgn val="ctr"/>
        <c:lblOffset val="100"/>
        <c:noMultiLvlLbl val="0"/>
      </c:catAx>
      <c:valAx>
        <c:axId val="3282344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2778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6193056979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9244177530394"/>
          <c:w val="1"/>
          <c:h val="0.92075582246960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0063328"/>
        <c:axId val="80309120"/>
      </c:lineChart>
      <c:catAx>
        <c:axId val="9006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309120"/>
        <c:crossesAt val="-40000"/>
        <c:auto val="1"/>
        <c:lblAlgn val="ctr"/>
        <c:lblOffset val="100"/>
        <c:noMultiLvlLbl val="0"/>
      </c:catAx>
      <c:valAx>
        <c:axId val="8030912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06332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1851472096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6446404662519"/>
          <c:y val="0.01585288522511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2242261951642"/>
          <c:y val="0.0383639822447686"/>
          <c:w val="0.980960069307711"/>
          <c:h val="0.961636017755231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563000</c:v>
                </c:pt>
                <c:pt idx="4">
                  <c:v>602000</c:v>
                </c:pt>
                <c:pt idx="5">
                  <c:v>467000</c:v>
                </c:pt>
                <c:pt idx="6">
                  <c:v>403000</c:v>
                </c:pt>
                <c:pt idx="7">
                  <c:v>744000</c:v>
                </c:pt>
                <c:pt idx="8">
                  <c:v>658000</c:v>
                </c:pt>
                <c:pt idx="9">
                  <c:v>622000</c:v>
                </c:pt>
                <c:pt idx="10">
                  <c:v>637000</c:v>
                </c:pt>
                <c:pt idx="11">
                  <c:v>647000</c:v>
                </c:pt>
                <c:pt idx="12">
                  <c:v>508000</c:v>
                </c:pt>
                <c:pt idx="13">
                  <c:v>431700</c:v>
                </c:pt>
                <c:pt idx="14">
                  <c:v>350700</c:v>
                </c:pt>
                <c:pt idx="15">
                  <c:v>374000</c:v>
                </c:pt>
                <c:pt idx="16">
                  <c:v>294000</c:v>
                </c:pt>
                <c:pt idx="17">
                  <c:v>469000</c:v>
                </c:pt>
                <c:pt idx="18">
                  <c:v>815000</c:v>
                </c:pt>
                <c:pt idx="19">
                  <c:v>900000</c:v>
                </c:pt>
                <c:pt idx="20">
                  <c:v>669000</c:v>
                </c:pt>
                <c:pt idx="21">
                  <c:v>599000</c:v>
                </c:pt>
                <c:pt idx="22">
                  <c:v>702000</c:v>
                </c:pt>
                <c:pt idx="23">
                  <c:v>700000</c:v>
                </c:pt>
                <c:pt idx="24">
                  <c:v>718000</c:v>
                </c:pt>
                <c:pt idx="25">
                  <c:v>815000</c:v>
                </c:pt>
                <c:pt idx="26">
                  <c:v>877000</c:v>
                </c:pt>
                <c:pt idx="27">
                  <c:v>936000</c:v>
                </c:pt>
                <c:pt idx="28">
                  <c:v>1007000</c:v>
                </c:pt>
                <c:pt idx="29">
                  <c:v>974000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544711</c:v>
                </c:pt>
                <c:pt idx="4">
                  <c:v>616642</c:v>
                </c:pt>
                <c:pt idx="5">
                  <c:v>509446</c:v>
                </c:pt>
                <c:pt idx="6">
                  <c:v>388546</c:v>
                </c:pt>
                <c:pt idx="7">
                  <c:v>744000</c:v>
                </c:pt>
                <c:pt idx="8">
                  <c:v>704605</c:v>
                </c:pt>
                <c:pt idx="9">
                  <c:v>583519</c:v>
                </c:pt>
                <c:pt idx="10">
                  <c:v>683517</c:v>
                </c:pt>
                <c:pt idx="11">
                  <c:v>649321</c:v>
                </c:pt>
                <c:pt idx="12">
                  <c:v>503300</c:v>
                </c:pt>
                <c:pt idx="13">
                  <c:v>430834</c:v>
                </c:pt>
                <c:pt idx="14">
                  <c:v>359764</c:v>
                </c:pt>
                <c:pt idx="15">
                  <c:v>478081</c:v>
                </c:pt>
                <c:pt idx="16">
                  <c:v>421684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038974"/>
        <c:axId val="54078762"/>
      </c:lineChart>
      <c:catAx>
        <c:axId val="13038974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078762"/>
        <c:crossesAt val="0"/>
        <c:auto val="1"/>
        <c:lblAlgn val="ctr"/>
        <c:lblOffset val="100"/>
        <c:noMultiLvlLbl val="0"/>
      </c:catAx>
      <c:valAx>
        <c:axId val="54078762"/>
        <c:scaling>
          <c:orientation val="minMax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038974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4573521304245"/>
          <c:y val="0.94711477488903"/>
          <c:w val="0.0465464282901473"/>
          <c:h val="0.076030437539632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8964278165293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18606330485016"/>
          <c:w val="0.95149017121116"/>
          <c:h val="0.90407991334697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DAILY!$X$2:$X$42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52966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325661"/>
        <c:axId val="83681655"/>
      </c:lineChart>
      <c:catAx>
        <c:axId val="6532566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681655"/>
        <c:crossesAt val="0"/>
        <c:auto val="1"/>
        <c:lblAlgn val="ctr"/>
        <c:lblOffset val="100"/>
        <c:noMultiLvlLbl val="0"/>
      </c:catAx>
      <c:valAx>
        <c:axId val="83681655"/>
        <c:scaling>
          <c:orientation val="minMax"/>
          <c:max val="25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25661"/>
        <c:crossesAt val="1"/>
        <c:crossBetween val="midCat"/>
        <c:majorUnit val="40000"/>
        <c:minorUnit val="4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791111815683788"/>
          <c:y val="0.915392947406427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386618201932"/>
          <c:y val="0.0775496904529163"/>
          <c:w val="0.986902668852848"/>
          <c:h val="0.88964917997176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326942</c:v>
                </c:pt>
                <c:pt idx="1">
                  <c:v>373798</c:v>
                </c:pt>
                <c:pt idx="2">
                  <c:v>363653</c:v>
                </c:pt>
                <c:pt idx="3">
                  <c:v>364574</c:v>
                </c:pt>
                <c:pt idx="4">
                  <c:v>364495</c:v>
                </c:pt>
                <c:pt idx="5">
                  <c:v>343577</c:v>
                </c:pt>
                <c:pt idx="6">
                  <c:v>312978</c:v>
                </c:pt>
                <c:pt idx="7">
                  <c:v>318937</c:v>
                </c:pt>
                <c:pt idx="8">
                  <c:v>318685</c:v>
                </c:pt>
                <c:pt idx="9">
                  <c:v>311207</c:v>
                </c:pt>
                <c:pt idx="10">
                  <c:v>316207</c:v>
                </c:pt>
                <c:pt idx="11">
                  <c:v>316207</c:v>
                </c:pt>
                <c:pt idx="12">
                  <c:v>314203</c:v>
                </c:pt>
                <c:pt idx="13">
                  <c:v>306117</c:v>
                </c:pt>
                <c:pt idx="14">
                  <c:v>284889</c:v>
                </c:pt>
                <c:pt idx="15">
                  <c:v>300786</c:v>
                </c:pt>
                <c:pt idx="16">
                  <c:v>282317</c:v>
                </c:pt>
                <c:pt idx="17">
                  <c:v>284327</c:v>
                </c:pt>
                <c:pt idx="18">
                  <c:v>285362</c:v>
                </c:pt>
                <c:pt idx="19">
                  <c:v>273492</c:v>
                </c:pt>
                <c:pt idx="20">
                  <c:v>296128</c:v>
                </c:pt>
                <c:pt idx="21">
                  <c:v>275272</c:v>
                </c:pt>
                <c:pt idx="22">
                  <c:v>275272</c:v>
                </c:pt>
                <c:pt idx="23">
                  <c:v>275272</c:v>
                </c:pt>
                <c:pt idx="24">
                  <c:v>275272</c:v>
                </c:pt>
                <c:pt idx="25">
                  <c:v>275272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051531"/>
        <c:axId val="81227684"/>
      </c:lineChart>
      <c:catAx>
        <c:axId val="70051531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227684"/>
        <c:crossesAt val="0"/>
        <c:auto val="1"/>
        <c:lblAlgn val="ctr"/>
        <c:lblOffset val="100"/>
        <c:noMultiLvlLbl val="0"/>
      </c:catAx>
      <c:valAx>
        <c:axId val="81227684"/>
        <c:scaling>
          <c:orientation val="minMax"/>
          <c:max val="460000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051531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996207107722"/>
          <c:y val="0.9312479635060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41721031376204"/>
          <c:y val="0.046405711472181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7946567256912"/>
          <c:y val="0.0918266863613983"/>
          <c:w val="0.949052500776639"/>
          <c:h val="0.86767602166420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DAILY!$Z$2:$Z$42</c:f>
              <c:numCache>
                <c:formatCode>0</c:formatCode>
                <c:ptCount val="41"/>
                <c:pt idx="0">
                  <c:v>455527</c:v>
                </c:pt>
                <c:pt idx="1">
                  <c:v>460527</c:v>
                </c:pt>
                <c:pt idx="2">
                  <c:v>460527</c:v>
                </c:pt>
                <c:pt idx="3">
                  <c:v>460527</c:v>
                </c:pt>
                <c:pt idx="4">
                  <c:v>460527</c:v>
                </c:pt>
                <c:pt idx="5">
                  <c:v>465527</c:v>
                </c:pt>
                <c:pt idx="6">
                  <c:v>465527</c:v>
                </c:pt>
                <c:pt idx="7">
                  <c:v>470527</c:v>
                </c:pt>
                <c:pt idx="8">
                  <c:v>470527</c:v>
                </c:pt>
                <c:pt idx="9">
                  <c:v>470527</c:v>
                </c:pt>
                <c:pt idx="10">
                  <c:v>480527</c:v>
                </c:pt>
                <c:pt idx="11">
                  <c:v>484925</c:v>
                </c:pt>
                <c:pt idx="12">
                  <c:v>489925</c:v>
                </c:pt>
                <c:pt idx="13">
                  <c:v>489925</c:v>
                </c:pt>
                <c:pt idx="14">
                  <c:v>489925</c:v>
                </c:pt>
                <c:pt idx="15">
                  <c:v>489925</c:v>
                </c:pt>
                <c:pt idx="16">
                  <c:v>436959</c:v>
                </c:pt>
                <c:pt idx="17">
                  <c:v>436959</c:v>
                </c:pt>
                <c:pt idx="18">
                  <c:v>436959</c:v>
                </c:pt>
                <c:pt idx="19">
                  <c:v>436959</c:v>
                </c:pt>
                <c:pt idx="20">
                  <c:v>436959</c:v>
                </c:pt>
                <c:pt idx="21">
                  <c:v>436959</c:v>
                </c:pt>
                <c:pt idx="22">
                  <c:v>436959</c:v>
                </c:pt>
                <c:pt idx="23">
                  <c:v>436959</c:v>
                </c:pt>
                <c:pt idx="24">
                  <c:v>436959</c:v>
                </c:pt>
                <c:pt idx="25">
                  <c:v>436959</c:v>
                </c:pt>
                <c:pt idx="26">
                  <c:v>436959</c:v>
                </c:pt>
                <c:pt idx="27">
                  <c:v>436959</c:v>
                </c:pt>
                <c:pt idx="28">
                  <c:v>436959</c:v>
                </c:pt>
                <c:pt idx="29">
                  <c:v>436959</c:v>
                </c:pt>
                <c:pt idx="30">
                  <c:v>436959</c:v>
                </c:pt>
                <c:pt idx="31">
                  <c:v>436959</c:v>
                </c:pt>
                <c:pt idx="32">
                  <c:v>436959</c:v>
                </c:pt>
                <c:pt idx="33">
                  <c:v>436959</c:v>
                </c:pt>
                <c:pt idx="34">
                  <c:v>436959</c:v>
                </c:pt>
                <c:pt idx="35">
                  <c:v>436959</c:v>
                </c:pt>
                <c:pt idx="36">
                  <c:v>436959</c:v>
                </c:pt>
                <c:pt idx="37">
                  <c:v>436959</c:v>
                </c:pt>
                <c:pt idx="38">
                  <c:v>436959</c:v>
                </c:pt>
                <c:pt idx="39">
                  <c:v>436959</c:v>
                </c:pt>
                <c:pt idx="40">
                  <c:v>436959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1998614"/>
        <c:axId val="62302979"/>
      </c:lineChart>
      <c:catAx>
        <c:axId val="2199861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302979"/>
        <c:crossesAt val="0"/>
        <c:auto val="1"/>
        <c:lblAlgn val="ctr"/>
        <c:lblOffset val="100"/>
        <c:noMultiLvlLbl val="0"/>
      </c:catAx>
      <c:valAx>
        <c:axId val="62302979"/>
        <c:scaling>
          <c:orientation val="minMax"/>
          <c:max val="650000"/>
          <c:min val="-20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998614"/>
        <c:crossesAt val="1"/>
        <c:crossBetween val="midCat"/>
        <c:majorUnit val="150000"/>
        <c:minorUnit val="1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658278968623796"/>
          <c:y val="0.907557853274249"/>
          <c:w val="0.116910013461738"/>
          <c:h val="0.05649926144756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52265542676502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811168612348056"/>
          <c:w val="0.955426765015806"/>
          <c:h val="0.8841015766036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DAILY!$AB$2:$AB$42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3010248"/>
        <c:axId val="499089"/>
      </c:lineChart>
      <c:catAx>
        <c:axId val="6301024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9089"/>
        <c:crossesAt val="0"/>
        <c:auto val="1"/>
        <c:lblAlgn val="ctr"/>
        <c:lblOffset val="100"/>
        <c:noMultiLvlLbl val="0"/>
      </c:catAx>
      <c:valAx>
        <c:axId val="499089"/>
        <c:scaling>
          <c:orientation val="minMax"/>
          <c:max val="2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01024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038988408851"/>
          <c:y val="0.907690456131905"/>
          <c:w val="0.0929399367755532"/>
          <c:h val="0.055241304609459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28804770547057"/>
          <c:y val="0.030016742406122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634430904848"/>
          <c:y val="0.0788088973929682"/>
          <c:w val="0.956598392533057"/>
          <c:h val="0.92119110260703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DAILY!$AD$2:$AD$42</c:f>
              <c:numCache>
                <c:formatCode>_(* #,##0_);_(* \(#,##0\);_(* \-??_);_(@_)</c:formatCode>
                <c:ptCount val="41"/>
                <c:pt idx="0">
                  <c:v>-2710</c:v>
                </c:pt>
                <c:pt idx="1">
                  <c:v>-2710</c:v>
                </c:pt>
                <c:pt idx="2">
                  <c:v>-2710</c:v>
                </c:pt>
                <c:pt idx="3">
                  <c:v>-2710</c:v>
                </c:pt>
                <c:pt idx="4">
                  <c:v>-2710</c:v>
                </c:pt>
                <c:pt idx="5">
                  <c:v>-2710</c:v>
                </c:pt>
                <c:pt idx="6">
                  <c:v>-2710</c:v>
                </c:pt>
                <c:pt idx="7">
                  <c:v>-2710</c:v>
                </c:pt>
                <c:pt idx="8">
                  <c:v>-2710</c:v>
                </c:pt>
                <c:pt idx="9">
                  <c:v>-2710</c:v>
                </c:pt>
                <c:pt idx="10">
                  <c:v>-2710</c:v>
                </c:pt>
                <c:pt idx="11">
                  <c:v>-2710</c:v>
                </c:pt>
                <c:pt idx="12">
                  <c:v>-2710</c:v>
                </c:pt>
                <c:pt idx="13">
                  <c:v>-2710</c:v>
                </c:pt>
                <c:pt idx="14">
                  <c:v>-2710</c:v>
                </c:pt>
                <c:pt idx="15">
                  <c:v>-2710</c:v>
                </c:pt>
                <c:pt idx="16">
                  <c:v>-2710</c:v>
                </c:pt>
                <c:pt idx="17">
                  <c:v>-2710</c:v>
                </c:pt>
                <c:pt idx="18">
                  <c:v>-2710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6389308"/>
        <c:axId val="41908759"/>
      </c:lineChart>
      <c:catAx>
        <c:axId val="6638930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908759"/>
        <c:crossesAt val="0"/>
        <c:auto val="1"/>
        <c:lblAlgn val="ctr"/>
        <c:lblOffset val="100"/>
        <c:noMultiLvlLbl val="0"/>
      </c:catAx>
      <c:valAx>
        <c:axId val="41908759"/>
        <c:scaling>
          <c:orientation val="minMax"/>
          <c:max val="150000"/>
          <c:min val="-3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38930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49935182784548"/>
          <c:y val="0.929442717053337"/>
          <c:w val="0.128026963961628"/>
          <c:h val="0.046400382683568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2676142"/>
        <c:axId val="8579011"/>
      </c:lineChart>
      <c:catAx>
        <c:axId val="3267614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79011"/>
        <c:crossesAt val="0"/>
        <c:auto val="1"/>
        <c:lblAlgn val="ctr"/>
        <c:lblOffset val="100"/>
        <c:noMultiLvlLbl val="0"/>
      </c:catAx>
      <c:valAx>
        <c:axId val="857901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67614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2222222222222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197674418605"/>
          <c:w val="1"/>
          <c:h val="0.8854651162790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335173"/>
        <c:axId val="1022764"/>
      </c:lineChart>
      <c:catAx>
        <c:axId val="433517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2764"/>
        <c:crossesAt val="0"/>
        <c:auto val="1"/>
        <c:lblAlgn val="ctr"/>
        <c:lblOffset val="100"/>
        <c:noMultiLvlLbl val="0"/>
      </c:catAx>
      <c:valAx>
        <c:axId val="102276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3517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011627906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8172671"/>
        <c:axId val="85557354"/>
      </c:lineChart>
      <c:catAx>
        <c:axId val="181726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557354"/>
        <c:crossesAt val="-40000"/>
        <c:auto val="1"/>
        <c:lblAlgn val="ctr"/>
        <c:lblOffset val="100"/>
        <c:noMultiLvlLbl val="0"/>
      </c:catAx>
      <c:valAx>
        <c:axId val="8555735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7267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4269005847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982855"/>
        <c:axId val="28507018"/>
      </c:lineChart>
      <c:catAx>
        <c:axId val="2698285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507018"/>
        <c:crossesAt val="0"/>
        <c:auto val="1"/>
        <c:lblAlgn val="ctr"/>
        <c:lblOffset val="100"/>
        <c:noMultiLvlLbl val="0"/>
      </c:catAx>
      <c:valAx>
        <c:axId val="2850701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98285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304993252362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337481"/>
        <c:axId val="95018710"/>
      </c:lineChart>
      <c:catAx>
        <c:axId val="5833748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018710"/>
        <c:crossesAt val="0"/>
        <c:auto val="1"/>
        <c:lblAlgn val="ctr"/>
        <c:lblOffset val="100"/>
        <c:noMultiLvlLbl val="0"/>
      </c:catAx>
      <c:valAx>
        <c:axId val="9501871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33748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981188"/>
        <c:axId val="86022142"/>
      </c:lineChart>
      <c:catAx>
        <c:axId val="149811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022142"/>
        <c:crossesAt val="0"/>
        <c:auto val="1"/>
        <c:lblAlgn val="ctr"/>
        <c:lblOffset val="100"/>
        <c:noMultiLvlLbl val="0"/>
      </c:catAx>
      <c:valAx>
        <c:axId val="8602214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98118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0" name="Chart 1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" name="Chart 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2" name="Chart 3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3" name="Chart 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4" name="Chart 5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5" name="Chart 6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6" name="Chart 7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7" name="Chart 8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8" name="Chart 9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9" name="Chart 1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10" name="Chart 11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1" name="Chart 12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12" name="Chart 13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3" name="Chart 1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14" name="Chart 15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5" name="Chart 16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16" name="Chart 17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7" name="Chart 18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18" name="Chart 19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9" name="Chart 2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20" name="Chart 21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21" name="Chart 2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22" name="Chart 23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23" name="Chart 24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2880</xdr:colOff>
      <xdr:row>66</xdr:row>
      <xdr:rowOff>95400</xdr:rowOff>
    </xdr:to>
    <xdr:graphicFrame>
      <xdr:nvGraphicFramePr>
        <xdr:cNvPr id="24" name="Chart 25"/>
        <xdr:cNvGraphicFramePr/>
      </xdr:nvGraphicFramePr>
      <xdr:xfrm>
        <a:off x="0" y="8344080"/>
        <a:ext cx="2880" cy="32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5" name="Chart 26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67</xdr:row>
      <xdr:rowOff>28440</xdr:rowOff>
    </xdr:from>
    <xdr:to>
      <xdr:col>0</xdr:col>
      <xdr:colOff>2880</xdr:colOff>
      <xdr:row>84</xdr:row>
      <xdr:rowOff>47520</xdr:rowOff>
    </xdr:to>
    <xdr:graphicFrame>
      <xdr:nvGraphicFramePr>
        <xdr:cNvPr id="26" name="Chart 27"/>
        <xdr:cNvGraphicFramePr/>
      </xdr:nvGraphicFramePr>
      <xdr:xfrm>
        <a:off x="0" y="11639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7" name="Chart 28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37800</xdr:rowOff>
    </xdr:to>
    <xdr:graphicFrame>
      <xdr:nvGraphicFramePr>
        <xdr:cNvPr id="28" name="Chart 29"/>
        <xdr:cNvGraphicFramePr/>
      </xdr:nvGraphicFramePr>
      <xdr:xfrm>
        <a:off x="0" y="575316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28440</xdr:rowOff>
    </xdr:to>
    <xdr:graphicFrame>
      <xdr:nvGraphicFramePr>
        <xdr:cNvPr id="29" name="Chart 30"/>
        <xdr:cNvGraphicFramePr/>
      </xdr:nvGraphicFramePr>
      <xdr:xfrm>
        <a:off x="0" y="575316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46</xdr:row>
      <xdr:rowOff>9360</xdr:rowOff>
    </xdr:from>
    <xdr:to>
      <xdr:col>21</xdr:col>
      <xdr:colOff>10440</xdr:colOff>
      <xdr:row>80</xdr:row>
      <xdr:rowOff>152280</xdr:rowOff>
    </xdr:to>
    <xdr:graphicFrame>
      <xdr:nvGraphicFramePr>
        <xdr:cNvPr id="30" name="Chart 31"/>
        <xdr:cNvGraphicFramePr/>
      </xdr:nvGraphicFramePr>
      <xdr:xfrm>
        <a:off x="4579560" y="8191440"/>
        <a:ext cx="18283320" cy="5676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8957880" y="1838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3</xdr:col>
      <xdr:colOff>10440</xdr:colOff>
      <xdr:row>82</xdr:row>
      <xdr:rowOff>86040</xdr:rowOff>
    </xdr:from>
    <xdr:to>
      <xdr:col>20</xdr:col>
      <xdr:colOff>704880</xdr:colOff>
      <xdr:row>102</xdr:row>
      <xdr:rowOff>162000</xdr:rowOff>
    </xdr:to>
    <xdr:graphicFrame>
      <xdr:nvGraphicFramePr>
        <xdr:cNvPr id="32" name="Chart 33"/>
        <xdr:cNvGraphicFramePr/>
      </xdr:nvGraphicFramePr>
      <xdr:xfrm>
        <a:off x="4590000" y="14126040"/>
        <a:ext cx="1822320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9360</xdr:rowOff>
    </xdr:to>
    <xdr:graphicFrame>
      <xdr:nvGraphicFramePr>
        <xdr:cNvPr id="33" name="Chart 34"/>
        <xdr:cNvGraphicFramePr/>
      </xdr:nvGraphicFramePr>
      <xdr:xfrm>
        <a:off x="15910200" y="1838160"/>
        <a:ext cx="6952680" cy="29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104760</xdr:rowOff>
    </xdr:from>
    <xdr:to>
      <xdr:col>13</xdr:col>
      <xdr:colOff>151560</xdr:colOff>
      <xdr:row>43</xdr:row>
      <xdr:rowOff>152640</xdr:rowOff>
    </xdr:to>
    <xdr:graphicFrame>
      <xdr:nvGraphicFramePr>
        <xdr:cNvPr id="34" name="Chart 35"/>
        <xdr:cNvGraphicFramePr/>
      </xdr:nvGraphicFramePr>
      <xdr:xfrm>
        <a:off x="8937720" y="4857840"/>
        <a:ext cx="683244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5940440" y="4829040"/>
        <a:ext cx="6942240" cy="3009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412560</xdr:colOff>
      <xdr:row>30</xdr:row>
      <xdr:rowOff>37800</xdr:rowOff>
    </xdr:from>
    <xdr:to>
      <xdr:col>2</xdr:col>
      <xdr:colOff>513720</xdr:colOff>
      <xdr:row>31</xdr:row>
      <xdr:rowOff>95400</xdr:rowOff>
    </xdr:to>
    <xdr:sp>
      <xdr:nvSpPr>
        <xdr:cNvPr id="36" name="Text 37"/>
        <xdr:cNvSpPr/>
      </xdr:nvSpPr>
      <xdr:spPr>
        <a:xfrm>
          <a:off x="4126680" y="5628960"/>
          <a:ext cx="101160" cy="219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7" name="Text 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8" name="Text 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9" name="Text 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0" name="Text 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1" name="Text 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2" name="Text 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3" name="Text 1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4" name="Text 1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5" name="Text 1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6" name="Text 1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7" name="Text 1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8" name="Text 1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9" name="Text 1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0" name="Text 1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1" name="Text 1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2" name="Text 1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3" name="Text 2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4" name="Text 2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5" name="Text 2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6" name="Text 2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7" name="Text 24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8" name="Text 25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9" name="Text 26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0" name="Text 27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1" name="Text 28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2" name="Text 29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3" name="Text 30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4" name="Text 31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5" name="Text 32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6" name="Text 33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7" name="Text 34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8" name="Text 3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9" name="Text 36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0" name="Text 3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1" name="Text 38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2" name="Text 3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3" name="Text 4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4" name="Text 4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5" name="Text 42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6" name="Text 4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7" name="Text 4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8" name="Text 4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9" name="Text 4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0" name="Text 5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1" name="Text 5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2" name="Text 5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3" name="Text 6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4" name="Text 6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5" name="Text 74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6" name="Text 80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87" name="Text 86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8" name="Text 92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9" name="Text 98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90" name="Text 104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91" name="Text 110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412200</xdr:colOff>
      <xdr:row>30</xdr:row>
      <xdr:rowOff>37800</xdr:rowOff>
    </xdr:from>
    <xdr:to>
      <xdr:col>14</xdr:col>
      <xdr:colOff>524160</xdr:colOff>
      <xdr:row>31</xdr:row>
      <xdr:rowOff>75960</xdr:rowOff>
    </xdr:to>
    <xdr:sp>
      <xdr:nvSpPr>
        <xdr:cNvPr id="92" name="Text 116"/>
        <xdr:cNvSpPr/>
      </xdr:nvSpPr>
      <xdr:spPr>
        <a:xfrm>
          <a:off x="212371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3" name="Text 122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4" name="Text 123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5" name="Text 124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6" name="Text 125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7" name="Text 126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8" name="Text 127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9" name="Text 128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0" name="Text 129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1" name="Text 130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2" name="Text 131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3" name="Text 132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412200</xdr:colOff>
      <xdr:row>30</xdr:row>
      <xdr:rowOff>37800</xdr:rowOff>
    </xdr:from>
    <xdr:to>
      <xdr:col>20</xdr:col>
      <xdr:colOff>524160</xdr:colOff>
      <xdr:row>31</xdr:row>
      <xdr:rowOff>75960</xdr:rowOff>
    </xdr:to>
    <xdr:sp>
      <xdr:nvSpPr>
        <xdr:cNvPr id="104" name="Text 133"/>
        <xdr:cNvSpPr/>
      </xdr:nvSpPr>
      <xdr:spPr>
        <a:xfrm>
          <a:off x="297619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5" name="Text 139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6" name="Text 140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7" name="Text 141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8" name="Text 142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9" name="Text 143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0" name="Text 144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1" name="Text 145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2" name="Text 146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3" name="Text 147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4" name="Text 148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5" name="Text 149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6" name="Text 150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1.28"/>
    <col collapsed="false" customWidth="true" hidden="false" outlineLevel="0" max="2" min="2" style="1" width="11.42"/>
    <col collapsed="false" customWidth="true" hidden="false" outlineLevel="0" max="3" min="3" style="1" width="12.28"/>
    <col collapsed="false" customWidth="true" hidden="false" outlineLevel="0" max="4" min="4" style="1" width="37.28"/>
    <col collapsed="false" customWidth="true" hidden="false" outlineLevel="0" max="5" min="5" style="1" width="12.42"/>
    <col collapsed="false" customWidth="true" hidden="false" outlineLevel="0" max="6" min="6" style="1" width="12.14"/>
    <col collapsed="false" customWidth="true" hidden="false" outlineLevel="0" max="7" min="7" style="1" width="12.28"/>
    <col collapsed="false" customWidth="true" hidden="false" outlineLevel="0" max="8" min="8" style="1" width="11.56"/>
    <col collapsed="false" customWidth="true" hidden="false" outlineLevel="0" max="9" min="9" style="1" width="11.85"/>
    <col collapsed="false" customWidth="true" hidden="false" outlineLevel="0" max="10" min="10" style="1" width="18.14"/>
    <col collapsed="false" customWidth="true" hidden="false" outlineLevel="0" max="12" min="11" style="1" width="13.7"/>
    <col collapsed="false" customWidth="true" hidden="false" outlineLevel="0" max="13" min="13" style="1" width="13.56"/>
    <col collapsed="false" customWidth="false" hidden="false" outlineLevel="0" max="14" min="14" style="1" width="9.14"/>
    <col collapsed="false" customWidth="true" hidden="false" outlineLevel="0" max="15" min="15" style="1" width="18.99"/>
    <col collapsed="false" customWidth="true" hidden="false" outlineLevel="0" max="16" min="16" style="1" width="10.71"/>
    <col collapsed="false" customWidth="true" hidden="false" outlineLevel="0" max="17" min="17" style="1" width="11.85"/>
    <col collapsed="false" customWidth="true" hidden="false" outlineLevel="0" max="18" min="18" style="1" width="9.99"/>
    <col collapsed="false" customWidth="true" hidden="false" outlineLevel="0" max="19" min="19" style="1" width="20.7"/>
    <col collapsed="false" customWidth="true" hidden="false" outlineLevel="0" max="20" min="20" style="1" width="10.71"/>
    <col collapsed="false" customWidth="true" hidden="false" outlineLevel="0" max="21" min="21" style="1" width="10.56"/>
    <col collapsed="false" customWidth="true" hidden="false" outlineLevel="0" max="22" min="22" style="1" width="3.14"/>
    <col collapsed="false" customWidth="true" hidden="false" outlineLevel="0" max="23" min="23" style="1" width="11.85"/>
    <col collapsed="false" customWidth="true" hidden="false" outlineLevel="0" max="24" min="24" style="1" width="10.28"/>
    <col collapsed="false" customWidth="true" hidden="false" outlineLevel="0" max="25" min="25" style="1" width="12.28"/>
    <col collapsed="false" customWidth="true" hidden="false" outlineLevel="0" max="26" min="26" style="1" width="9.85"/>
    <col collapsed="false" customWidth="true" hidden="false" outlineLevel="0" max="27" min="27" style="1" width="1.99"/>
    <col collapsed="false" customWidth="true" hidden="false" outlineLevel="0" max="30" min="28" style="1" width="9.28"/>
    <col collapsed="false" customWidth="true" hidden="false" outlineLevel="0" max="31" min="31" style="1" width="10.41"/>
    <col collapsed="false" customWidth="true" hidden="false" outlineLevel="0" max="32" min="32" style="1" width="13.7"/>
    <col collapsed="false" customWidth="true" hidden="false" outlineLevel="0" max="33" min="33" style="1" width="16.99"/>
    <col collapsed="false" customWidth="true" hidden="false" outlineLevel="0" max="34" min="34" style="1" width="20.13"/>
    <col collapsed="false" customWidth="false" hidden="false" outlineLevel="0" max="35" min="35" style="1" width="9.14"/>
    <col collapsed="false" customWidth="true" hidden="false" outlineLevel="0" max="36" min="36" style="1" width="15.41"/>
    <col collapsed="false" customWidth="true" hidden="false" outlineLevel="0" max="37" min="37" style="1" width="14.7"/>
    <col collapsed="false" customWidth="true" hidden="false" outlineLevel="0" max="38" min="38" style="1" width="16.56"/>
    <col collapsed="false" customWidth="false" hidden="false" outlineLevel="0" max="257" min="39" style="1" width="9.14"/>
  </cols>
  <sheetData>
    <row r="1" customFormat="false" ht="51" hidden="false" customHeight="true" outlineLevel="0" collapsed="false">
      <c r="A1" s="1" t="s">
        <v>0</v>
      </c>
      <c r="B1" s="2" t="n">
        <f aca="true">TODAY()</f>
        <v>45926</v>
      </c>
      <c r="F1" s="3" t="s">
        <v>1</v>
      </c>
      <c r="G1" s="4" t="n">
        <v>700000</v>
      </c>
      <c r="H1" s="5"/>
      <c r="I1" s="6" t="s">
        <v>2</v>
      </c>
      <c r="J1" s="7" t="n">
        <v>115000</v>
      </c>
      <c r="O1" s="8" t="s">
        <v>3</v>
      </c>
      <c r="P1" s="9" t="n">
        <f aca="true">TODAY()+2</f>
        <v>45928</v>
      </c>
      <c r="Q1" s="10" t="n">
        <v>800000</v>
      </c>
      <c r="S1" s="8" t="s">
        <v>4</v>
      </c>
      <c r="T1" s="9" t="n">
        <f aca="true">TODAY()+2</f>
        <v>45928</v>
      </c>
      <c r="U1" s="10" t="n">
        <v>136000</v>
      </c>
      <c r="X1" s="11" t="s">
        <v>5</v>
      </c>
      <c r="Y1" s="11" t="s">
        <v>6</v>
      </c>
      <c r="Z1" s="11" t="s">
        <v>7</v>
      </c>
      <c r="AA1" s="11"/>
      <c r="AB1" s="11" t="s">
        <v>8</v>
      </c>
      <c r="AC1" s="11" t="s">
        <v>9</v>
      </c>
      <c r="AD1" s="11" t="s">
        <v>10</v>
      </c>
      <c r="AG1" s="11" t="s">
        <v>11</v>
      </c>
      <c r="AH1" s="11" t="s">
        <v>12</v>
      </c>
      <c r="AK1" s="12" t="s">
        <v>13</v>
      </c>
    </row>
    <row r="2" customFormat="false" ht="13.5" hidden="false" customHeight="false" outlineLevel="0" collapsed="false">
      <c r="A2" s="1" t="s">
        <v>14</v>
      </c>
      <c r="B2" s="2" t="n">
        <f aca="true">TODAY()+1</f>
        <v>45927</v>
      </c>
      <c r="D2" s="13"/>
      <c r="P2" s="9" t="n">
        <f aca="true">TODAY()+3</f>
        <v>45929</v>
      </c>
      <c r="Q2" s="10" t="n">
        <v>850000</v>
      </c>
      <c r="T2" s="9" t="n">
        <f aca="true">TODAY()+3</f>
        <v>45929</v>
      </c>
      <c r="U2" s="10" t="n">
        <v>157000</v>
      </c>
      <c r="W2" s="9" t="n">
        <v>37196</v>
      </c>
      <c r="X2" s="13" t="n">
        <v>0</v>
      </c>
      <c r="Y2" s="13" t="n">
        <v>0</v>
      </c>
      <c r="Z2" s="14" t="n">
        <f aca="false">455527-X2+Y2</f>
        <v>455527</v>
      </c>
      <c r="AA2" s="14"/>
      <c r="AB2" s="13" t="n">
        <v>0</v>
      </c>
      <c r="AC2" s="13" t="n">
        <v>0</v>
      </c>
      <c r="AD2" s="13" t="n">
        <f aca="false">-2710-AB2+AC2</f>
        <v>-2710</v>
      </c>
      <c r="AE2" s="13"/>
      <c r="AF2" s="15" t="n">
        <v>37196</v>
      </c>
      <c r="AG2" s="10" t="n">
        <f aca="false">313453+51000</f>
        <v>364453</v>
      </c>
      <c r="AH2" s="10" t="n">
        <f aca="false">313453+51000</f>
        <v>364453</v>
      </c>
      <c r="AI2" s="13"/>
      <c r="AJ2" s="16" t="n">
        <f aca="false">+AF2</f>
        <v>37196</v>
      </c>
      <c r="AK2" s="10" t="n">
        <f aca="false">290369+36573</f>
        <v>326942</v>
      </c>
      <c r="AL2" s="10"/>
      <c r="AM2" s="10"/>
    </row>
    <row r="3" customFormat="false" ht="25.5" hidden="false" customHeight="true" outlineLevel="0" collapsed="false">
      <c r="B3" s="12" t="s">
        <v>15</v>
      </c>
      <c r="C3" s="12" t="s">
        <v>16</v>
      </c>
      <c r="D3" s="12" t="s">
        <v>17</v>
      </c>
      <c r="J3" s="17" t="s">
        <v>18</v>
      </c>
      <c r="K3" s="18" t="n">
        <f aca="true">TODAY()-1</f>
        <v>45925</v>
      </c>
      <c r="L3" s="19" t="n">
        <f aca="true">TODAY()</f>
        <v>45926</v>
      </c>
      <c r="M3" s="20" t="s">
        <v>19</v>
      </c>
      <c r="P3" s="9" t="n">
        <f aca="true">TODAY()+4</f>
        <v>45930</v>
      </c>
      <c r="Q3" s="10" t="n">
        <v>820000</v>
      </c>
      <c r="T3" s="9" t="n">
        <f aca="true">TODAY()+4</f>
        <v>45930</v>
      </c>
      <c r="U3" s="10" t="n">
        <v>154000</v>
      </c>
      <c r="W3" s="9" t="n">
        <f aca="false">W2+1</f>
        <v>37197</v>
      </c>
      <c r="X3" s="13" t="n">
        <v>0</v>
      </c>
      <c r="Y3" s="13" t="n">
        <v>5000</v>
      </c>
      <c r="Z3" s="14" t="n">
        <f aca="false">Z2-X3+Y3</f>
        <v>460527</v>
      </c>
      <c r="AA3" s="14"/>
      <c r="AB3" s="13" t="n">
        <v>0</v>
      </c>
      <c r="AC3" s="13" t="n">
        <v>0</v>
      </c>
      <c r="AD3" s="13" t="n">
        <f aca="false">AD2-AB3+AC3</f>
        <v>-2710</v>
      </c>
      <c r="AF3" s="15" t="n">
        <f aca="false">AF2+1</f>
        <v>37197</v>
      </c>
      <c r="AG3" s="10" t="n">
        <f aca="false">351091+68828</f>
        <v>419919</v>
      </c>
      <c r="AH3" s="10" t="n">
        <f aca="false">351091+68828</f>
        <v>419919</v>
      </c>
      <c r="AI3" s="13"/>
      <c r="AJ3" s="16" t="n">
        <f aca="false">+AF3</f>
        <v>37197</v>
      </c>
      <c r="AK3" s="10" t="n">
        <f aca="false">328425+45373</f>
        <v>373798</v>
      </c>
      <c r="AL3" s="10"/>
      <c r="AM3" s="10"/>
    </row>
    <row r="4" customFormat="false" ht="13.5" hidden="false" customHeight="false" outlineLevel="0" collapsed="false">
      <c r="A4" s="1" t="s">
        <v>20</v>
      </c>
      <c r="B4" s="21" t="n">
        <v>51</v>
      </c>
      <c r="C4" s="22" t="n">
        <v>32</v>
      </c>
      <c r="D4" s="23" t="n">
        <f aca="false">AVERAGE(B4,C4)</f>
        <v>41.5</v>
      </c>
      <c r="J4" s="24" t="s">
        <v>21</v>
      </c>
      <c r="K4" s="25" t="n">
        <v>0</v>
      </c>
      <c r="L4" s="10" t="n">
        <v>0</v>
      </c>
      <c r="M4" s="26" t="n">
        <f aca="false">+L4-K4</f>
        <v>0</v>
      </c>
      <c r="Q4" s="10"/>
      <c r="R4" s="9" t="s">
        <v>22</v>
      </c>
      <c r="W4" s="9" t="n">
        <f aca="false">W3+1</f>
        <v>37198</v>
      </c>
      <c r="X4" s="13" t="n">
        <v>0</v>
      </c>
      <c r="Y4" s="13" t="n">
        <v>0</v>
      </c>
      <c r="Z4" s="14" t="n">
        <f aca="false">Z3-X4+Y4</f>
        <v>460527</v>
      </c>
      <c r="AA4" s="14"/>
      <c r="AB4" s="13" t="n">
        <v>0</v>
      </c>
      <c r="AC4" s="13" t="n">
        <v>0</v>
      </c>
      <c r="AD4" s="13" t="n">
        <f aca="false">AD3-AB4+AC4</f>
        <v>-2710</v>
      </c>
      <c r="AF4" s="15" t="n">
        <f aca="false">AF3+1</f>
        <v>37198</v>
      </c>
      <c r="AG4" s="10" t="n">
        <f aca="false">335635+60694</f>
        <v>396329</v>
      </c>
      <c r="AH4" s="10" t="n">
        <f aca="false">335635+60694</f>
        <v>396329</v>
      </c>
      <c r="AI4" s="13"/>
      <c r="AJ4" s="16" t="n">
        <f aca="false">+AF4</f>
        <v>37198</v>
      </c>
      <c r="AK4" s="10" t="n">
        <f aca="false">326625+37028</f>
        <v>363653</v>
      </c>
      <c r="AL4" s="10"/>
      <c r="AM4" s="10"/>
    </row>
    <row r="5" customFormat="false" ht="13.5" hidden="false" customHeight="false" outlineLevel="0" collapsed="false">
      <c r="A5" s="27"/>
      <c r="B5" s="28"/>
      <c r="C5" s="12" t="s">
        <v>23</v>
      </c>
      <c r="D5" s="27"/>
      <c r="E5" s="28"/>
      <c r="F5" s="12" t="s">
        <v>23</v>
      </c>
      <c r="H5" s="12"/>
      <c r="J5" s="24" t="s">
        <v>24</v>
      </c>
      <c r="K5" s="29" t="n">
        <v>0</v>
      </c>
      <c r="L5" s="10" t="n">
        <v>0</v>
      </c>
      <c r="M5" s="30" t="n">
        <f aca="false">+L5-K5</f>
        <v>0</v>
      </c>
      <c r="O5" s="31" t="s">
        <v>25</v>
      </c>
      <c r="P5" s="5"/>
      <c r="Q5" s="7" t="n">
        <v>725000</v>
      </c>
      <c r="S5" s="17" t="s">
        <v>26</v>
      </c>
      <c r="T5" s="5"/>
      <c r="U5" s="7" t="n">
        <v>270756</v>
      </c>
      <c r="W5" s="9" t="n">
        <f aca="false">W4+1</f>
        <v>37199</v>
      </c>
      <c r="X5" s="13" t="n">
        <v>0</v>
      </c>
      <c r="Y5" s="13" t="n">
        <v>0</v>
      </c>
      <c r="Z5" s="14" t="n">
        <f aca="false">Z4-X5+Y5</f>
        <v>460527</v>
      </c>
      <c r="AA5" s="14"/>
      <c r="AB5" s="13" t="n">
        <v>0</v>
      </c>
      <c r="AC5" s="13" t="n">
        <v>0</v>
      </c>
      <c r="AD5" s="13" t="n">
        <f aca="false">AD4-AB5+AC5</f>
        <v>-2710</v>
      </c>
      <c r="AF5" s="15" t="n">
        <f aca="false">AF4+1</f>
        <v>37199</v>
      </c>
      <c r="AG5" s="10" t="n">
        <f aca="false">474000+89000</f>
        <v>563000</v>
      </c>
      <c r="AH5" s="10" t="n">
        <f aca="false">455956+88755</f>
        <v>544711</v>
      </c>
      <c r="AI5" s="13"/>
      <c r="AJ5" s="16" t="n">
        <f aca="false">+AF5</f>
        <v>37199</v>
      </c>
      <c r="AK5" s="10" t="n">
        <f aca="false">327546+37028</f>
        <v>364574</v>
      </c>
      <c r="AL5" s="10"/>
      <c r="AM5" s="10"/>
    </row>
    <row r="6" customFormat="false" ht="13.5" hidden="false" customHeight="false" outlineLevel="0" collapsed="false">
      <c r="A6" s="24" t="s">
        <v>27</v>
      </c>
      <c r="B6" s="32" t="n">
        <v>-750000</v>
      </c>
      <c r="C6" s="10" t="n">
        <v>-703000</v>
      </c>
      <c r="D6" s="24" t="s">
        <v>28</v>
      </c>
      <c r="E6" s="32" t="n">
        <v>-127000</v>
      </c>
      <c r="F6" s="10" t="n">
        <v>-119000</v>
      </c>
      <c r="G6" s="10"/>
      <c r="H6" s="10"/>
      <c r="J6" s="33" t="s">
        <v>29</v>
      </c>
      <c r="K6" s="34" t="n">
        <f aca="false">(+K4-K5)/2</f>
        <v>0</v>
      </c>
      <c r="L6" s="35" t="n">
        <f aca="false">(+L4-L5)/2</f>
        <v>0</v>
      </c>
      <c r="M6" s="36" t="n">
        <f aca="false">+L6-K6</f>
        <v>0</v>
      </c>
      <c r="O6" s="17" t="s">
        <v>30</v>
      </c>
      <c r="P6" s="5"/>
      <c r="Q6" s="37" t="n">
        <f aca="false">Z31/Q5</f>
        <v>0.602702068965517</v>
      </c>
      <c r="S6" s="17" t="s">
        <v>30</v>
      </c>
      <c r="T6" s="5"/>
      <c r="U6" s="37" t="n">
        <f aca="false">AD31/U5</f>
        <v>0</v>
      </c>
      <c r="W6" s="9" t="n">
        <f aca="false">W5+1</f>
        <v>37200</v>
      </c>
      <c r="X6" s="13" t="n">
        <v>0</v>
      </c>
      <c r="Y6" s="13" t="n">
        <v>0</v>
      </c>
      <c r="Z6" s="14" t="n">
        <f aca="false">Z5-X6+Y6</f>
        <v>460527</v>
      </c>
      <c r="AA6" s="14"/>
      <c r="AB6" s="13" t="n">
        <v>0</v>
      </c>
      <c r="AC6" s="13" t="n">
        <v>0</v>
      </c>
      <c r="AD6" s="13" t="n">
        <f aca="false">AD5-AB6+AC6</f>
        <v>-2710</v>
      </c>
      <c r="AF6" s="15" t="n">
        <f aca="false">AF5+1</f>
        <v>37200</v>
      </c>
      <c r="AG6" s="10" t="n">
        <f aca="false">509000+93000</f>
        <v>602000</v>
      </c>
      <c r="AH6" s="10" t="n">
        <f aca="false">520795+95847</f>
        <v>616642</v>
      </c>
      <c r="AJ6" s="16" t="n">
        <f aca="false">+AF6</f>
        <v>37200</v>
      </c>
      <c r="AK6" s="10" t="n">
        <f aca="false">327467+37028</f>
        <v>364495</v>
      </c>
      <c r="AL6" s="10"/>
      <c r="AM6" s="10"/>
    </row>
    <row r="7" customFormat="false" ht="12.75" hidden="false" customHeight="false" outlineLevel="0" collapsed="false">
      <c r="A7" s="24" t="s">
        <v>31</v>
      </c>
      <c r="B7" s="32"/>
      <c r="D7" s="24" t="s">
        <v>32</v>
      </c>
      <c r="E7" s="32" t="n">
        <v>0</v>
      </c>
      <c r="G7" s="10"/>
      <c r="H7" s="10"/>
      <c r="W7" s="9" t="n">
        <f aca="false">W6+1</f>
        <v>37201</v>
      </c>
      <c r="X7" s="13" t="n">
        <v>0</v>
      </c>
      <c r="Y7" s="13" t="n">
        <v>5000</v>
      </c>
      <c r="Z7" s="14" t="n">
        <f aca="false">Z6-X7+Y7</f>
        <v>465527</v>
      </c>
      <c r="AA7" s="14"/>
      <c r="AB7" s="13" t="n">
        <v>0</v>
      </c>
      <c r="AC7" s="13" t="n">
        <v>0</v>
      </c>
      <c r="AD7" s="13" t="n">
        <f aca="false">AD6-AB7+AC7</f>
        <v>-2710</v>
      </c>
      <c r="AF7" s="15" t="n">
        <f aca="false">AF6+1</f>
        <v>37201</v>
      </c>
      <c r="AG7" s="10" t="n">
        <f aca="false">400000+67000</f>
        <v>467000</v>
      </c>
      <c r="AH7" s="38" t="n">
        <f aca="false">441080+68366</f>
        <v>509446</v>
      </c>
      <c r="AJ7" s="16" t="n">
        <f aca="false">+AF7</f>
        <v>37201</v>
      </c>
      <c r="AK7" s="10" t="n">
        <f aca="false">306649+36928</f>
        <v>343577</v>
      </c>
      <c r="AL7" s="10"/>
      <c r="AM7" s="10"/>
    </row>
    <row r="8" customFormat="false" ht="12.75" hidden="false" customHeight="false" outlineLevel="0" collapsed="false">
      <c r="A8" s="24" t="s">
        <v>33</v>
      </c>
      <c r="B8" s="32"/>
      <c r="D8" s="24" t="s">
        <v>34</v>
      </c>
      <c r="E8" s="32"/>
      <c r="G8" s="10"/>
      <c r="H8" s="10"/>
      <c r="W8" s="9" t="n">
        <f aca="false">W7+1</f>
        <v>37202</v>
      </c>
      <c r="X8" s="13" t="n">
        <v>0</v>
      </c>
      <c r="Y8" s="13" t="n">
        <v>0</v>
      </c>
      <c r="Z8" s="14" t="n">
        <f aca="false">Z7-X8+Y8</f>
        <v>465527</v>
      </c>
      <c r="AA8" s="14"/>
      <c r="AB8" s="13" t="n">
        <v>0</v>
      </c>
      <c r="AC8" s="13" t="n">
        <v>0</v>
      </c>
      <c r="AD8" s="13" t="n">
        <f aca="false">AD7-AB8+AC8</f>
        <v>-2710</v>
      </c>
      <c r="AF8" s="15" t="n">
        <f aca="false">AF7+1</f>
        <v>37202</v>
      </c>
      <c r="AG8" s="10" t="n">
        <f aca="false">350000+53000</f>
        <v>403000</v>
      </c>
      <c r="AH8" s="10" t="n">
        <f aca="false">328795+59751</f>
        <v>388546</v>
      </c>
      <c r="AJ8" s="16" t="n">
        <f aca="false">+AF8</f>
        <v>37202</v>
      </c>
      <c r="AK8" s="10" t="n">
        <f aca="false">276605+36373</f>
        <v>312978</v>
      </c>
      <c r="AL8" s="10"/>
      <c r="AM8" s="10"/>
    </row>
    <row r="9" customFormat="false" ht="12.75" hidden="false" customHeight="false" outlineLevel="0" collapsed="false">
      <c r="A9" s="24" t="s">
        <v>35</v>
      </c>
      <c r="B9" s="32" t="n">
        <v>0</v>
      </c>
      <c r="C9" s="39"/>
      <c r="D9" s="24" t="s">
        <v>36</v>
      </c>
      <c r="E9" s="32" t="n">
        <v>-20000</v>
      </c>
      <c r="G9" s="10"/>
      <c r="H9" s="10"/>
      <c r="L9" s="10"/>
      <c r="W9" s="9" t="n">
        <f aca="false">W8+1</f>
        <v>37203</v>
      </c>
      <c r="X9" s="13" t="n">
        <v>0</v>
      </c>
      <c r="Y9" s="13" t="n">
        <v>5000</v>
      </c>
      <c r="Z9" s="14" t="n">
        <f aca="false">Z8-X9+Y9</f>
        <v>470527</v>
      </c>
      <c r="AA9" s="14"/>
      <c r="AB9" s="13" t="n">
        <v>0</v>
      </c>
      <c r="AC9" s="13" t="n">
        <v>0</v>
      </c>
      <c r="AD9" s="13" t="n">
        <f aca="false">AD8-AB9+AC9</f>
        <v>-2710</v>
      </c>
      <c r="AF9" s="15" t="n">
        <f aca="false">AF8+1</f>
        <v>37203</v>
      </c>
      <c r="AG9" s="10" t="n">
        <f aca="false">620000+124000</f>
        <v>744000</v>
      </c>
      <c r="AH9" s="10" t="n">
        <f aca="false">620000+124000</f>
        <v>744000</v>
      </c>
      <c r="AJ9" s="16" t="n">
        <f aca="false">+AF9</f>
        <v>37203</v>
      </c>
      <c r="AK9" s="10" t="n">
        <f aca="false">278783+40154</f>
        <v>318937</v>
      </c>
      <c r="AL9" s="10"/>
      <c r="AM9" s="10"/>
    </row>
    <row r="10" customFormat="false" ht="12.75" hidden="false" customHeight="false" outlineLevel="0" collapsed="false">
      <c r="A10" s="40" t="s">
        <v>37</v>
      </c>
      <c r="B10" s="32" t="n">
        <v>0</v>
      </c>
      <c r="C10" s="13" t="s">
        <v>22</v>
      </c>
      <c r="D10" s="24" t="s">
        <v>38</v>
      </c>
      <c r="E10" s="32"/>
      <c r="G10" s="10"/>
      <c r="H10" s="10"/>
      <c r="W10" s="9" t="n">
        <f aca="false">W9+1</f>
        <v>37204</v>
      </c>
      <c r="X10" s="13" t="n">
        <v>0</v>
      </c>
      <c r="Y10" s="13" t="n">
        <v>0</v>
      </c>
      <c r="Z10" s="14" t="n">
        <f aca="false">Z9-X10+Y10</f>
        <v>470527</v>
      </c>
      <c r="AA10" s="14"/>
      <c r="AB10" s="13" t="n">
        <v>0</v>
      </c>
      <c r="AC10" s="13" t="n">
        <v>0</v>
      </c>
      <c r="AD10" s="13" t="n">
        <f aca="false">AD9-AB10+AC10</f>
        <v>-2710</v>
      </c>
      <c r="AF10" s="15" t="n">
        <f aca="false">AF9+1</f>
        <v>37204</v>
      </c>
      <c r="AG10" s="10" t="n">
        <f aca="false">550000+108000</f>
        <v>658000</v>
      </c>
      <c r="AH10" s="10" t="n">
        <f aca="false">603027+101578</f>
        <v>704605</v>
      </c>
      <c r="AJ10" s="16" t="n">
        <f aca="false">+AF10</f>
        <v>37204</v>
      </c>
      <c r="AK10" s="10" t="n">
        <f aca="false">281531+37154</f>
        <v>318685</v>
      </c>
      <c r="AL10" s="10"/>
      <c r="AM10" s="10"/>
    </row>
    <row r="11" customFormat="false" ht="12.75" hidden="false" customHeight="false" outlineLevel="0" collapsed="false">
      <c r="A11" s="24" t="s">
        <v>36</v>
      </c>
      <c r="B11" s="32" t="n">
        <f aca="false">-93283-0-0-20000-7383+20666</f>
        <v>-100000</v>
      </c>
      <c r="C11" s="32"/>
      <c r="D11" s="24" t="s">
        <v>39</v>
      </c>
      <c r="E11" s="32" t="n">
        <v>0</v>
      </c>
      <c r="G11" s="10"/>
      <c r="H11" s="10"/>
      <c r="R11" s="14"/>
      <c r="W11" s="9" t="n">
        <f aca="false">W10+1</f>
        <v>37205</v>
      </c>
      <c r="X11" s="13" t="n">
        <v>0</v>
      </c>
      <c r="Y11" s="13" t="n">
        <v>0</v>
      </c>
      <c r="Z11" s="14" t="n">
        <f aca="false">Z10-X11+Y11</f>
        <v>470527</v>
      </c>
      <c r="AA11" s="14"/>
      <c r="AB11" s="13" t="n">
        <v>0</v>
      </c>
      <c r="AC11" s="13" t="n">
        <v>0</v>
      </c>
      <c r="AD11" s="13" t="n">
        <f aca="false">AD10-AB11+AC11</f>
        <v>-2710</v>
      </c>
      <c r="AF11" s="15" t="n">
        <f aca="false">AF10+1</f>
        <v>37205</v>
      </c>
      <c r="AG11" s="10" t="n">
        <f aca="false">520000+102000</f>
        <v>622000</v>
      </c>
      <c r="AH11" s="10" t="n">
        <f aca="false">525927+57592</f>
        <v>583519</v>
      </c>
      <c r="AJ11" s="16" t="n">
        <f aca="false">+AF11</f>
        <v>37205</v>
      </c>
      <c r="AK11" s="10" t="n">
        <f aca="false">277388+33819</f>
        <v>311207</v>
      </c>
      <c r="AL11" s="10"/>
      <c r="AM11" s="10"/>
    </row>
    <row r="12" customFormat="false" ht="12.75" hidden="false" customHeight="false" outlineLevel="0" collapsed="false">
      <c r="A12" s="24" t="s">
        <v>40</v>
      </c>
      <c r="B12" s="32" t="n">
        <v>-20666</v>
      </c>
      <c r="C12" s="13"/>
      <c r="D12" s="40" t="s">
        <v>41</v>
      </c>
      <c r="E12" s="32" t="n">
        <v>0</v>
      </c>
      <c r="G12" s="10" t="s">
        <v>22</v>
      </c>
      <c r="H12" s="10"/>
      <c r="R12" s="14"/>
      <c r="W12" s="9" t="n">
        <f aca="false">W11+1</f>
        <v>37206</v>
      </c>
      <c r="X12" s="13" t="n">
        <v>0</v>
      </c>
      <c r="Y12" s="13" t="n">
        <v>10000</v>
      </c>
      <c r="Z12" s="14" t="n">
        <f aca="false">Z11-X12+Y12</f>
        <v>480527</v>
      </c>
      <c r="AA12" s="14"/>
      <c r="AB12" s="13" t="n">
        <v>0</v>
      </c>
      <c r="AC12" s="13" t="n">
        <v>0</v>
      </c>
      <c r="AD12" s="13" t="n">
        <f aca="false">AD11-AB12+AC12</f>
        <v>-2710</v>
      </c>
      <c r="AF12" s="15" t="n">
        <f aca="false">AF11+1</f>
        <v>37206</v>
      </c>
      <c r="AG12" s="10" t="n">
        <f aca="false">535000+102000</f>
        <v>637000</v>
      </c>
      <c r="AH12" s="10" t="n">
        <f aca="false">581285+102232</f>
        <v>683517</v>
      </c>
      <c r="AJ12" s="16" t="n">
        <f aca="false">+AF12</f>
        <v>37206</v>
      </c>
      <c r="AK12" s="10" t="n">
        <f aca="false">282388+33819</f>
        <v>316207</v>
      </c>
      <c r="AL12" s="10"/>
      <c r="AM12" s="10"/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24" t="s">
        <v>42</v>
      </c>
      <c r="E13" s="32"/>
      <c r="G13" s="10"/>
      <c r="H13" s="10"/>
      <c r="R13" s="14"/>
      <c r="W13" s="9" t="n">
        <f aca="false">W12+1</f>
        <v>37207</v>
      </c>
      <c r="X13" s="13" t="n">
        <v>0</v>
      </c>
      <c r="Y13" s="13" t="n">
        <v>4398</v>
      </c>
      <c r="Z13" s="14" t="n">
        <f aca="false">Z12-X13+Y13</f>
        <v>484925</v>
      </c>
      <c r="AA13" s="14"/>
      <c r="AB13" s="13" t="n">
        <v>0</v>
      </c>
      <c r="AC13" s="13" t="n">
        <v>0</v>
      </c>
      <c r="AD13" s="13" t="n">
        <f aca="false">AD12-AB13+AC13</f>
        <v>-2710</v>
      </c>
      <c r="AF13" s="15" t="n">
        <f aca="false">AF12+1</f>
        <v>37207</v>
      </c>
      <c r="AG13" s="10" t="n">
        <f aca="false">550000+97000</f>
        <v>647000</v>
      </c>
      <c r="AH13" s="10" t="n">
        <f aca="false">558160+91161</f>
        <v>649321</v>
      </c>
      <c r="AJ13" s="16" t="n">
        <f aca="false">+AF13</f>
        <v>37207</v>
      </c>
      <c r="AK13" s="10" t="n">
        <f aca="false">282388+33819</f>
        <v>316207</v>
      </c>
      <c r="AL13" s="10"/>
      <c r="AM13" s="10"/>
    </row>
    <row r="14" customFormat="false" ht="13.5" hidden="false" customHeight="false" outlineLevel="0" collapsed="false">
      <c r="A14" s="24" t="s">
        <v>43</v>
      </c>
      <c r="B14" s="32" t="n">
        <v>0</v>
      </c>
      <c r="C14" s="13"/>
      <c r="D14" s="41" t="s">
        <v>44</v>
      </c>
      <c r="E14" s="42" t="n">
        <f aca="false">SUM(E6:E13)</f>
        <v>-147000</v>
      </c>
      <c r="G14" s="10"/>
      <c r="H14" s="10"/>
      <c r="L14" s="10"/>
      <c r="R14" s="14"/>
      <c r="W14" s="9" t="n">
        <f aca="false">W13+1</f>
        <v>37208</v>
      </c>
      <c r="X14" s="13" t="n">
        <v>0</v>
      </c>
      <c r="Y14" s="13" t="n">
        <v>5000</v>
      </c>
      <c r="Z14" s="14" t="n">
        <f aca="false">Z13-X14+Y14</f>
        <v>489925</v>
      </c>
      <c r="AA14" s="14"/>
      <c r="AB14" s="13" t="n">
        <v>0</v>
      </c>
      <c r="AC14" s="13" t="n">
        <v>0</v>
      </c>
      <c r="AD14" s="13" t="n">
        <f aca="false">AD13-AB14+AC14</f>
        <v>-2710</v>
      </c>
      <c r="AF14" s="15" t="n">
        <f aca="false">AF13+1</f>
        <v>37208</v>
      </c>
      <c r="AG14" s="10" t="n">
        <f aca="false">435000+73000</f>
        <v>508000</v>
      </c>
      <c r="AH14" s="10" t="n">
        <f aca="false">433251+70049</f>
        <v>503300</v>
      </c>
      <c r="AJ14" s="16" t="n">
        <f aca="false">+AF14</f>
        <v>37208</v>
      </c>
      <c r="AK14" s="10" t="n">
        <f aca="false">280384+33819</f>
        <v>314203</v>
      </c>
      <c r="AL14" s="10"/>
      <c r="AM14" s="10"/>
    </row>
    <row r="15" customFormat="false" ht="12.75" hidden="false" customHeight="false" outlineLevel="0" collapsed="false">
      <c r="A15" s="24" t="s">
        <v>34</v>
      </c>
      <c r="B15" s="32"/>
      <c r="C15" s="13"/>
      <c r="D15" s="24"/>
      <c r="E15" s="32"/>
      <c r="F15" s="13" t="n">
        <f aca="false">+E14+E29</f>
        <v>0</v>
      </c>
      <c r="G15" s="10"/>
      <c r="H15" s="10"/>
      <c r="L15" s="10"/>
      <c r="R15" s="14"/>
      <c r="W15" s="9" t="n">
        <f aca="false">W14+1</f>
        <v>37209</v>
      </c>
      <c r="X15" s="13" t="n">
        <v>0</v>
      </c>
      <c r="Y15" s="13" t="n">
        <v>0</v>
      </c>
      <c r="Z15" s="14" t="n">
        <f aca="false">Z14-X15+Y15</f>
        <v>489925</v>
      </c>
      <c r="AA15" s="14"/>
      <c r="AB15" s="13" t="n">
        <v>0</v>
      </c>
      <c r="AC15" s="13" t="n">
        <v>0</v>
      </c>
      <c r="AD15" s="13" t="n">
        <f aca="false">AD14-AB15+AC15</f>
        <v>-2710</v>
      </c>
      <c r="AF15" s="15" t="n">
        <f aca="false">AF14+1</f>
        <v>37209</v>
      </c>
      <c r="AG15" s="10" t="n">
        <f aca="false">375000+56700</f>
        <v>431700</v>
      </c>
      <c r="AH15" s="10" t="n">
        <f aca="false">375334+55500</f>
        <v>430834</v>
      </c>
      <c r="AJ15" s="16" t="n">
        <f aca="false">+AF15</f>
        <v>37209</v>
      </c>
      <c r="AK15" s="10" t="n">
        <f aca="false">273169+32948</f>
        <v>306117</v>
      </c>
      <c r="AL15" s="10"/>
      <c r="AM15" s="10"/>
    </row>
    <row r="16" customFormat="false" ht="12.75" hidden="false" customHeight="false" outlineLevel="0" collapsed="false">
      <c r="A16" s="24" t="s">
        <v>45</v>
      </c>
      <c r="B16" s="32" t="n">
        <v>0</v>
      </c>
      <c r="C16" s="13"/>
      <c r="D16" s="24" t="s">
        <v>46</v>
      </c>
      <c r="E16" s="32" t="n">
        <v>39111</v>
      </c>
      <c r="G16" s="10"/>
      <c r="H16" s="10"/>
      <c r="L16" s="10"/>
      <c r="R16" s="14"/>
      <c r="W16" s="9" t="n">
        <f aca="false">W15+1</f>
        <v>37210</v>
      </c>
      <c r="X16" s="13" t="n">
        <v>0</v>
      </c>
      <c r="Y16" s="13" t="n">
        <v>0</v>
      </c>
      <c r="Z16" s="14" t="n">
        <f aca="false">Z15-X16+Y16</f>
        <v>489925</v>
      </c>
      <c r="AA16" s="14"/>
      <c r="AB16" s="13" t="n">
        <v>0</v>
      </c>
      <c r="AC16" s="13" t="n">
        <v>0</v>
      </c>
      <c r="AD16" s="13" t="n">
        <f aca="false">AD15-AB16+AC16</f>
        <v>-2710</v>
      </c>
      <c r="AF16" s="15" t="n">
        <f aca="false">AF15+1</f>
        <v>37210</v>
      </c>
      <c r="AG16" s="10" t="n">
        <f aca="false">302000+48700</f>
        <v>350700</v>
      </c>
      <c r="AH16" s="10" t="n">
        <f aca="false">308776+50988</f>
        <v>359764</v>
      </c>
      <c r="AJ16" s="16" t="n">
        <f aca="false">+AF16</f>
        <v>37210</v>
      </c>
      <c r="AK16" s="10" t="n">
        <f aca="false">250124+34765</f>
        <v>284889</v>
      </c>
      <c r="AL16" s="10"/>
      <c r="AM16" s="10"/>
    </row>
    <row r="17" customFormat="false" ht="12.75" hidden="false" customHeight="false" outlineLevel="0" collapsed="false">
      <c r="A17" s="24" t="s">
        <v>42</v>
      </c>
      <c r="B17" s="32" t="n">
        <v>0</v>
      </c>
      <c r="C17" s="13"/>
      <c r="D17" s="24" t="s">
        <v>47</v>
      </c>
      <c r="E17" s="32" t="n">
        <v>10000</v>
      </c>
      <c r="G17" s="10"/>
      <c r="H17" s="10"/>
      <c r="L17" s="10"/>
      <c r="R17" s="14"/>
      <c r="W17" s="9" t="n">
        <f aca="false">W16+1</f>
        <v>37211</v>
      </c>
      <c r="X17" s="13" t="n">
        <v>0</v>
      </c>
      <c r="Y17" s="13" t="n">
        <v>0</v>
      </c>
      <c r="Z17" s="14" t="n">
        <f aca="false">Z16-X17+Y17</f>
        <v>489925</v>
      </c>
      <c r="AA17" s="14"/>
      <c r="AB17" s="13" t="n">
        <v>0</v>
      </c>
      <c r="AC17" s="13" t="n">
        <v>0</v>
      </c>
      <c r="AD17" s="13" t="n">
        <f aca="false">AD16-AB17+AC17</f>
        <v>-2710</v>
      </c>
      <c r="AF17" s="15" t="n">
        <f aca="false">AF16+1</f>
        <v>37211</v>
      </c>
      <c r="AG17" s="10" t="n">
        <f aca="false">320000+54000</f>
        <v>374000</v>
      </c>
      <c r="AH17" s="10" t="n">
        <f aca="false">397344+80737</f>
        <v>478081</v>
      </c>
      <c r="AJ17" s="16" t="n">
        <f aca="false">+AF17</f>
        <v>37211</v>
      </c>
      <c r="AK17" s="10" t="n">
        <f aca="false">265372+35414</f>
        <v>300786</v>
      </c>
      <c r="AL17" s="10"/>
      <c r="AM17" s="10"/>
    </row>
    <row r="18" customFormat="false" ht="12.75" hidden="false" customHeight="false" outlineLevel="0" collapsed="false">
      <c r="A18" s="24" t="s">
        <v>48</v>
      </c>
      <c r="B18" s="32" t="n">
        <v>0</v>
      </c>
      <c r="D18" s="24" t="s">
        <v>49</v>
      </c>
      <c r="E18" s="32" t="n">
        <v>0</v>
      </c>
      <c r="F18" s="13" t="s">
        <v>22</v>
      </c>
      <c r="G18" s="10"/>
      <c r="H18" s="10"/>
      <c r="L18" s="10"/>
      <c r="R18" s="14"/>
      <c r="W18" s="9" t="n">
        <f aca="false">W17+1</f>
        <v>37212</v>
      </c>
      <c r="X18" s="13" t="n">
        <v>52966</v>
      </c>
      <c r="Y18" s="13" t="n">
        <v>0</v>
      </c>
      <c r="Z18" s="14" t="n">
        <f aca="false">Z17-X18+Y18</f>
        <v>436959</v>
      </c>
      <c r="AA18" s="14"/>
      <c r="AB18" s="13" t="n">
        <v>0</v>
      </c>
      <c r="AC18" s="13" t="n">
        <v>0</v>
      </c>
      <c r="AD18" s="13" t="n">
        <f aca="false">AD17-AB18+AC18</f>
        <v>-2710</v>
      </c>
      <c r="AF18" s="15" t="n">
        <f aca="false">AF17+1</f>
        <v>37212</v>
      </c>
      <c r="AG18" s="10" t="n">
        <f aca="false">250000+44000</f>
        <v>294000</v>
      </c>
      <c r="AH18" s="10" t="n">
        <f aca="false">355497+66187</f>
        <v>421684</v>
      </c>
      <c r="AJ18" s="16" t="n">
        <f aca="false">+AF18</f>
        <v>37212</v>
      </c>
      <c r="AK18" s="10" t="n">
        <f aca="false">247687+34630</f>
        <v>282317</v>
      </c>
      <c r="AL18" s="10"/>
      <c r="AM18" s="10"/>
    </row>
    <row r="19" customFormat="false" ht="12.75" hidden="false" customHeight="false" outlineLevel="0" collapsed="false">
      <c r="A19" s="24" t="s">
        <v>50</v>
      </c>
      <c r="B19" s="32" t="n">
        <v>0</v>
      </c>
      <c r="C19" s="13"/>
      <c r="D19" s="24" t="s">
        <v>51</v>
      </c>
      <c r="E19" s="32" t="n">
        <v>30092</v>
      </c>
      <c r="G19" s="10"/>
      <c r="H19" s="10"/>
      <c r="L19" s="10"/>
      <c r="R19" s="14"/>
      <c r="W19" s="9" t="n">
        <f aca="false">W18+1</f>
        <v>37213</v>
      </c>
      <c r="X19" s="13" t="n">
        <v>0</v>
      </c>
      <c r="Y19" s="13" t="n">
        <v>0</v>
      </c>
      <c r="Z19" s="14" t="n">
        <f aca="false">Z18-X19+Y19</f>
        <v>436959</v>
      </c>
      <c r="AA19" s="14"/>
      <c r="AB19" s="13" t="n">
        <v>0</v>
      </c>
      <c r="AC19" s="13" t="n">
        <v>0</v>
      </c>
      <c r="AD19" s="13" t="n">
        <f aca="false">AD18-AB19+AC19</f>
        <v>-2710</v>
      </c>
      <c r="AF19" s="15" t="n">
        <f aca="false">AF18+1</f>
        <v>37213</v>
      </c>
      <c r="AG19" s="10" t="n">
        <f aca="false">400000+69000</f>
        <v>469000</v>
      </c>
      <c r="AH19" s="10"/>
      <c r="AJ19" s="16" t="n">
        <f aca="false">+AF19</f>
        <v>37213</v>
      </c>
      <c r="AK19" s="10" t="n">
        <f aca="false">249697+34630</f>
        <v>284327</v>
      </c>
      <c r="AL19" s="10"/>
      <c r="AM19" s="10"/>
    </row>
    <row r="20" customFormat="false" ht="12.75" hidden="false" customHeight="false" outlineLevel="0" collapsed="false">
      <c r="A20" s="24" t="s">
        <v>52</v>
      </c>
      <c r="B20" s="43" t="n">
        <v>0</v>
      </c>
      <c r="C20" s="13"/>
      <c r="D20" s="24" t="s">
        <v>53</v>
      </c>
      <c r="E20" s="32" t="n">
        <v>0</v>
      </c>
      <c r="G20" s="10"/>
      <c r="H20" s="10"/>
      <c r="R20" s="14"/>
      <c r="W20" s="9" t="n">
        <f aca="false">W19+1</f>
        <v>37214</v>
      </c>
      <c r="X20" s="13" t="n">
        <v>0</v>
      </c>
      <c r="Y20" s="13" t="n">
        <v>0</v>
      </c>
      <c r="Z20" s="14" t="n">
        <f aca="false">Z19-X20+Y20</f>
        <v>436959</v>
      </c>
      <c r="AA20" s="14"/>
      <c r="AB20" s="13" t="n">
        <v>0</v>
      </c>
      <c r="AC20" s="13" t="n">
        <v>0</v>
      </c>
      <c r="AD20" s="13" t="n">
        <f aca="false">AD19-AB20+AC20</f>
        <v>-2710</v>
      </c>
      <c r="AF20" s="15" t="n">
        <f aca="false">AF19+1</f>
        <v>37214</v>
      </c>
      <c r="AG20" s="10" t="n">
        <f aca="false">670000+145000</f>
        <v>815000</v>
      </c>
      <c r="AH20" s="10"/>
      <c r="AJ20" s="16" t="n">
        <f aca="false">+AF20</f>
        <v>37214</v>
      </c>
      <c r="AK20" s="10" t="n">
        <f aca="false">252232+33130</f>
        <v>285362</v>
      </c>
      <c r="AL20" s="10"/>
      <c r="AM20" s="10"/>
    </row>
    <row r="21" customFormat="false" ht="12.75" hidden="false" customHeight="false" outlineLevel="0" collapsed="false">
      <c r="A21" s="24" t="s">
        <v>54</v>
      </c>
      <c r="B21" s="43" t="n">
        <v>0</v>
      </c>
      <c r="C21" s="13"/>
      <c r="D21" s="24" t="s">
        <v>45</v>
      </c>
      <c r="E21" s="32" t="n">
        <v>0</v>
      </c>
      <c r="F21" s="24"/>
      <c r="G21" s="10"/>
      <c r="H21" s="10"/>
      <c r="R21" s="14"/>
      <c r="W21" s="9" t="n">
        <f aca="false">W20+1</f>
        <v>37215</v>
      </c>
      <c r="X21" s="13" t="n">
        <v>0</v>
      </c>
      <c r="Y21" s="13" t="n">
        <v>0</v>
      </c>
      <c r="Z21" s="14" t="n">
        <f aca="false">Z20-X21+Y21</f>
        <v>436959</v>
      </c>
      <c r="AA21" s="14"/>
      <c r="AB21" s="13" t="n">
        <v>0</v>
      </c>
      <c r="AC21" s="13" t="n">
        <v>2710</v>
      </c>
      <c r="AD21" s="13" t="n">
        <f aca="false">AD20-AB21+AC21</f>
        <v>0</v>
      </c>
      <c r="AF21" s="15" t="n">
        <f aca="false">AF20+1</f>
        <v>37215</v>
      </c>
      <c r="AG21" s="10" t="n">
        <f aca="false">760000+140000</f>
        <v>900000</v>
      </c>
      <c r="AH21" s="10"/>
      <c r="AJ21" s="16" t="n">
        <f aca="false">+AF21</f>
        <v>37215</v>
      </c>
      <c r="AK21" s="10" t="n">
        <f aca="false">238478+35014</f>
        <v>273492</v>
      </c>
      <c r="AL21" s="10"/>
      <c r="AM21" s="10"/>
    </row>
    <row r="22" customFormat="false" ht="12.75" hidden="false" customHeight="false" outlineLevel="0" collapsed="false">
      <c r="A22" s="24" t="s">
        <v>55</v>
      </c>
      <c r="B22" s="32" t="n">
        <v>0</v>
      </c>
      <c r="D22" s="44" t="s">
        <v>42</v>
      </c>
      <c r="E22" s="43" t="n">
        <v>40000</v>
      </c>
      <c r="F22" s="24"/>
      <c r="G22" s="10"/>
      <c r="H22" s="10"/>
      <c r="R22" s="14"/>
      <c r="W22" s="9" t="n">
        <f aca="false">W21+1</f>
        <v>37216</v>
      </c>
      <c r="X22" s="13" t="n">
        <v>0</v>
      </c>
      <c r="Y22" s="13" t="n">
        <v>0</v>
      </c>
      <c r="Z22" s="14" t="n">
        <f aca="false">Z21-X22+Y22</f>
        <v>436959</v>
      </c>
      <c r="AA22" s="14"/>
      <c r="AB22" s="13" t="n">
        <v>0</v>
      </c>
      <c r="AC22" s="13" t="n">
        <v>0</v>
      </c>
      <c r="AD22" s="13" t="n">
        <f aca="false">AD21-AB22+AC22</f>
        <v>0</v>
      </c>
      <c r="AF22" s="15" t="n">
        <f aca="false">AF21+1</f>
        <v>37216</v>
      </c>
      <c r="AG22" s="10" t="n">
        <f aca="false">575000+94000</f>
        <v>669000</v>
      </c>
      <c r="AH22" s="10"/>
      <c r="AJ22" s="16" t="n">
        <f aca="false">+AF22</f>
        <v>37216</v>
      </c>
      <c r="AK22" s="10" t="n">
        <f aca="false">264598+31530</f>
        <v>296128</v>
      </c>
      <c r="AL22" s="10"/>
      <c r="AM22" s="10"/>
    </row>
    <row r="23" customFormat="false" ht="12.75" hidden="false" customHeight="false" outlineLevel="0" collapsed="false">
      <c r="A23" s="24" t="s">
        <v>56</v>
      </c>
      <c r="B23" s="32" t="n">
        <v>0</v>
      </c>
      <c r="C23" s="13"/>
      <c r="D23" s="24" t="s">
        <v>57</v>
      </c>
      <c r="E23" s="32" t="n">
        <v>7000</v>
      </c>
      <c r="F23" s="13" t="n">
        <v>0</v>
      </c>
      <c r="G23" s="10"/>
      <c r="H23" s="10"/>
      <c r="L23" s="1" t="n">
        <v>0.32</v>
      </c>
      <c r="R23" s="14"/>
      <c r="W23" s="9" t="n">
        <f aca="false">W22+1</f>
        <v>37217</v>
      </c>
      <c r="X23" s="13" t="n">
        <v>0</v>
      </c>
      <c r="Y23" s="13" t="n">
        <v>0</v>
      </c>
      <c r="Z23" s="14" t="n">
        <f aca="false">Z22-X23+Y23</f>
        <v>436959</v>
      </c>
      <c r="AA23" s="14"/>
      <c r="AB23" s="13" t="n">
        <v>0</v>
      </c>
      <c r="AC23" s="13" t="n">
        <v>0</v>
      </c>
      <c r="AD23" s="13" t="n">
        <f aca="false">AD22-AB23+AC23</f>
        <v>0</v>
      </c>
      <c r="AF23" s="15" t="n">
        <f aca="false">AF22+1</f>
        <v>37217</v>
      </c>
      <c r="AG23" s="10" t="n">
        <f aca="false">515000+84000</f>
        <v>599000</v>
      </c>
      <c r="AH23" s="10"/>
      <c r="AJ23" s="16" t="n">
        <f aca="false">+AF23</f>
        <v>37217</v>
      </c>
      <c r="AK23" s="10" t="n">
        <f aca="false">245180+30092</f>
        <v>275272</v>
      </c>
      <c r="AL23" s="10"/>
      <c r="AM23" s="10"/>
    </row>
    <row r="24" customFormat="false" ht="12.75" hidden="false" customHeight="false" outlineLevel="0" collapsed="false">
      <c r="A24" s="24" t="s">
        <v>58</v>
      </c>
      <c r="B24" s="32" t="n">
        <v>0</v>
      </c>
      <c r="C24" s="13" t="n">
        <v>0</v>
      </c>
      <c r="D24" s="24" t="s">
        <v>59</v>
      </c>
      <c r="E24" s="32" t="n">
        <v>7000</v>
      </c>
      <c r="F24" s="13" t="n">
        <v>0</v>
      </c>
      <c r="G24" s="10"/>
      <c r="H24" s="10"/>
      <c r="R24" s="14"/>
      <c r="W24" s="9" t="n">
        <f aca="false">W23+1</f>
        <v>37218</v>
      </c>
      <c r="X24" s="13" t="n">
        <v>0</v>
      </c>
      <c r="Y24" s="13" t="n">
        <v>0</v>
      </c>
      <c r="Z24" s="14" t="n">
        <f aca="false">Z23-X24+Y24</f>
        <v>436959</v>
      </c>
      <c r="AA24" s="14"/>
      <c r="AB24" s="13" t="n">
        <v>0</v>
      </c>
      <c r="AC24" s="13" t="n">
        <v>0</v>
      </c>
      <c r="AD24" s="13" t="n">
        <f aca="false">AD23-AB24+AC24</f>
        <v>0</v>
      </c>
      <c r="AF24" s="15" t="n">
        <f aca="false">AF23+1</f>
        <v>37218</v>
      </c>
      <c r="AG24" s="10" t="n">
        <f aca="false">600000+102000</f>
        <v>702000</v>
      </c>
      <c r="AH24" s="10"/>
      <c r="AJ24" s="16" t="n">
        <f aca="false">+AF24</f>
        <v>37218</v>
      </c>
      <c r="AK24" s="10" t="n">
        <f aca="false">245180+30092</f>
        <v>275272</v>
      </c>
      <c r="AL24" s="10"/>
      <c r="AM24" s="10"/>
    </row>
    <row r="25" customFormat="false" ht="12.75" hidden="false" customHeight="false" outlineLevel="0" collapsed="false">
      <c r="A25" s="24" t="s">
        <v>60</v>
      </c>
      <c r="B25" s="32" t="n">
        <v>0</v>
      </c>
      <c r="C25" s="13"/>
      <c r="D25" s="24" t="s">
        <v>61</v>
      </c>
      <c r="E25" s="32" t="n">
        <v>10000</v>
      </c>
      <c r="G25" s="10"/>
      <c r="H25" s="10"/>
      <c r="R25" s="14"/>
      <c r="W25" s="9" t="n">
        <f aca="false">W24+1</f>
        <v>37219</v>
      </c>
      <c r="X25" s="13" t="n">
        <v>0</v>
      </c>
      <c r="Y25" s="13" t="n">
        <v>0</v>
      </c>
      <c r="Z25" s="14" t="n">
        <f aca="false">Z24-X25+Y25</f>
        <v>436959</v>
      </c>
      <c r="AA25" s="14"/>
      <c r="AB25" s="13" t="n">
        <v>0</v>
      </c>
      <c r="AC25" s="13" t="n">
        <v>0</v>
      </c>
      <c r="AD25" s="13" t="n">
        <f aca="false">AD24-AB25+AC25</f>
        <v>0</v>
      </c>
      <c r="AF25" s="15" t="n">
        <f aca="false">AF24+1</f>
        <v>37219</v>
      </c>
      <c r="AG25" s="10" t="n">
        <f aca="false">600000+100000</f>
        <v>700000</v>
      </c>
      <c r="AH25" s="10"/>
      <c r="AJ25" s="16" t="n">
        <f aca="false">+AF25</f>
        <v>37219</v>
      </c>
      <c r="AK25" s="10" t="n">
        <f aca="false">245180+30092</f>
        <v>275272</v>
      </c>
      <c r="AL25" s="10"/>
      <c r="AM25" s="10"/>
    </row>
    <row r="26" customFormat="false" ht="12.75" hidden="false" customHeight="false" outlineLevel="0" collapsed="false">
      <c r="A26" s="24" t="s">
        <v>62</v>
      </c>
      <c r="B26" s="32" t="n">
        <v>-2400</v>
      </c>
      <c r="D26" s="24" t="s">
        <v>63</v>
      </c>
      <c r="E26" s="32" t="n">
        <v>0</v>
      </c>
      <c r="G26" s="10"/>
      <c r="H26" s="10"/>
      <c r="R26" s="14"/>
      <c r="W26" s="9" t="n">
        <f aca="false">W25+1</f>
        <v>37220</v>
      </c>
      <c r="X26" s="13" t="n">
        <v>0</v>
      </c>
      <c r="Y26" s="13" t="n">
        <v>0</v>
      </c>
      <c r="Z26" s="14" t="n">
        <f aca="false">Z25-X26+Y26</f>
        <v>436959</v>
      </c>
      <c r="AA26" s="14"/>
      <c r="AB26" s="13" t="n">
        <v>0</v>
      </c>
      <c r="AC26" s="13" t="n">
        <v>0</v>
      </c>
      <c r="AD26" s="13" t="n">
        <f aca="false">AD25-AB26+AC26</f>
        <v>0</v>
      </c>
      <c r="AF26" s="15" t="n">
        <f aca="false">AF25+1</f>
        <v>37220</v>
      </c>
      <c r="AG26" s="10" t="n">
        <f aca="false">615000+103000</f>
        <v>718000</v>
      </c>
      <c r="AH26" s="10"/>
      <c r="AJ26" s="16" t="n">
        <f aca="false">+AF26</f>
        <v>37220</v>
      </c>
      <c r="AK26" s="10" t="n">
        <f aca="false">245180+30092</f>
        <v>275272</v>
      </c>
      <c r="AL26" s="10"/>
      <c r="AM26" s="10"/>
    </row>
    <row r="27" customFormat="false" ht="12.75" hidden="false" customHeight="false" outlineLevel="0" collapsed="false">
      <c r="A27" s="24" t="s">
        <v>64</v>
      </c>
      <c r="B27" s="32" t="n">
        <v>-10000</v>
      </c>
      <c r="C27" s="13"/>
      <c r="D27" s="24" t="s">
        <v>65</v>
      </c>
      <c r="E27" s="43" t="n">
        <v>0</v>
      </c>
      <c r="G27" s="10"/>
      <c r="H27" s="10"/>
      <c r="R27" s="14"/>
      <c r="W27" s="9" t="n">
        <f aca="false">W26+1</f>
        <v>37221</v>
      </c>
      <c r="X27" s="13" t="n">
        <v>0</v>
      </c>
      <c r="Y27" s="13" t="n">
        <v>0</v>
      </c>
      <c r="Z27" s="14" t="n">
        <f aca="false">Z26-X27+Y27</f>
        <v>436959</v>
      </c>
      <c r="AA27" s="14"/>
      <c r="AB27" s="13" t="n">
        <v>0</v>
      </c>
      <c r="AC27" s="13" t="n">
        <v>0</v>
      </c>
      <c r="AD27" s="13" t="n">
        <f aca="false">AD26-AB27+AC27</f>
        <v>0</v>
      </c>
      <c r="AF27" s="15" t="n">
        <f aca="false">AF26+1</f>
        <v>37221</v>
      </c>
      <c r="AG27" s="10" t="n">
        <f aca="false">700000+115000</f>
        <v>815000</v>
      </c>
      <c r="AH27" s="10"/>
      <c r="AJ27" s="16" t="n">
        <f aca="false">+AF27</f>
        <v>37221</v>
      </c>
      <c r="AK27" s="10" t="n">
        <f aca="false">245180+30092</f>
        <v>275272</v>
      </c>
      <c r="AL27" s="10"/>
      <c r="AM27" s="10"/>
    </row>
    <row r="28" customFormat="false" ht="13.5" hidden="false" customHeight="false" outlineLevel="0" collapsed="false">
      <c r="A28" s="24" t="s">
        <v>66</v>
      </c>
      <c r="B28" s="32" t="n">
        <v>0</v>
      </c>
      <c r="C28" s="45" t="n">
        <f aca="false">SUM(B29,B63)</f>
        <v>0</v>
      </c>
      <c r="D28" s="44" t="s">
        <v>67</v>
      </c>
      <c r="E28" s="43" t="n">
        <v>3797</v>
      </c>
      <c r="G28" s="10"/>
      <c r="H28" s="10"/>
      <c r="R28" s="14"/>
      <c r="W28" s="9" t="n">
        <f aca="false">W27+1</f>
        <v>37222</v>
      </c>
      <c r="X28" s="13" t="n">
        <v>0</v>
      </c>
      <c r="Y28" s="13" t="n">
        <v>0</v>
      </c>
      <c r="Z28" s="14" t="n">
        <f aca="false">Z27-X28+Y28</f>
        <v>436959</v>
      </c>
      <c r="AA28" s="14"/>
      <c r="AB28" s="13" t="n">
        <v>0</v>
      </c>
      <c r="AC28" s="13" t="n">
        <v>0</v>
      </c>
      <c r="AD28" s="13" t="n">
        <f aca="false">AD27-AB28+AC28</f>
        <v>0</v>
      </c>
      <c r="AF28" s="9" t="n">
        <f aca="false">AF27+1</f>
        <v>37222</v>
      </c>
      <c r="AG28" s="10" t="n">
        <f aca="false">750000+127000</f>
        <v>877000</v>
      </c>
      <c r="AH28" s="10"/>
      <c r="AJ28" s="46" t="n">
        <f aca="false">+AF28</f>
        <v>37222</v>
      </c>
      <c r="AK28" s="10"/>
      <c r="AL28" s="10"/>
      <c r="AM28" s="10"/>
    </row>
    <row r="29" customFormat="false" ht="13.5" hidden="false" customHeight="false" outlineLevel="0" collapsed="false">
      <c r="A29" s="41" t="s">
        <v>44</v>
      </c>
      <c r="B29" s="42" t="n">
        <f aca="false">SUM(B6:B28)+B12</f>
        <v>-903732</v>
      </c>
      <c r="C29" s="13"/>
      <c r="D29" s="41" t="s">
        <v>68</v>
      </c>
      <c r="E29" s="42" t="n">
        <f aca="false">SUM(E16:E28)</f>
        <v>147000</v>
      </c>
      <c r="G29" s="10"/>
      <c r="H29" s="10"/>
      <c r="R29" s="14"/>
      <c r="W29" s="9" t="n">
        <f aca="false">W28+1</f>
        <v>37223</v>
      </c>
      <c r="X29" s="13" t="n">
        <v>0</v>
      </c>
      <c r="Y29" s="13" t="n">
        <v>0</v>
      </c>
      <c r="Z29" s="14" t="n">
        <f aca="false">Z28-X29+Y29</f>
        <v>436959</v>
      </c>
      <c r="AA29" s="14"/>
      <c r="AB29" s="13" t="n">
        <v>0</v>
      </c>
      <c r="AC29" s="13" t="n">
        <v>0</v>
      </c>
      <c r="AD29" s="13" t="n">
        <f aca="false">AD28-AB29+AC29</f>
        <v>0</v>
      </c>
      <c r="AF29" s="9" t="n">
        <f aca="false">AF28+1</f>
        <v>37223</v>
      </c>
      <c r="AG29" s="10" t="n">
        <f aca="false">800000+136000</f>
        <v>936000</v>
      </c>
      <c r="AH29" s="10"/>
      <c r="AJ29" s="46" t="n">
        <f aca="false">+AF29</f>
        <v>37223</v>
      </c>
      <c r="AK29" s="10"/>
      <c r="AL29" s="10"/>
      <c r="AM29" s="10"/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10"/>
      <c r="H30" s="10"/>
      <c r="W30" s="9" t="n">
        <f aca="false">W29+1</f>
        <v>37224</v>
      </c>
      <c r="X30" s="13" t="n">
        <v>0</v>
      </c>
      <c r="Y30" s="13" t="n">
        <v>0</v>
      </c>
      <c r="Z30" s="14" t="n">
        <f aca="false">Z29-X30+Y30</f>
        <v>436959</v>
      </c>
      <c r="AA30" s="14"/>
      <c r="AB30" s="13" t="n">
        <v>0</v>
      </c>
      <c r="AC30" s="13" t="n">
        <v>0</v>
      </c>
      <c r="AD30" s="13" t="n">
        <f aca="false">AD29-AB30+AC30</f>
        <v>0</v>
      </c>
      <c r="AF30" s="9" t="n">
        <f aca="false">AF29+1</f>
        <v>37224</v>
      </c>
      <c r="AG30" s="10" t="n">
        <f aca="false">850000+157000</f>
        <v>1007000</v>
      </c>
      <c r="AH30" s="10"/>
      <c r="AJ30" s="46" t="n">
        <f aca="false">+AF30</f>
        <v>37224</v>
      </c>
      <c r="AK30" s="10"/>
      <c r="AL30" s="10"/>
      <c r="AM30" s="10"/>
    </row>
    <row r="31" customFormat="false" ht="12.75" hidden="false" customHeight="false" outlineLevel="0" collapsed="false">
      <c r="A31" s="24" t="s">
        <v>46</v>
      </c>
      <c r="B31" s="32" t="n">
        <v>187134</v>
      </c>
      <c r="C31" s="13"/>
      <c r="E31" s="10"/>
      <c r="G31" s="10"/>
      <c r="H31" s="10"/>
      <c r="W31" s="9" t="n">
        <f aca="false">W30+1</f>
        <v>37225</v>
      </c>
      <c r="X31" s="13" t="n">
        <v>0</v>
      </c>
      <c r="Y31" s="13" t="n">
        <v>0</v>
      </c>
      <c r="Z31" s="14" t="n">
        <f aca="false">Z30-X31+Y31</f>
        <v>436959</v>
      </c>
      <c r="AA31" s="14"/>
      <c r="AB31" s="13" t="n">
        <v>0</v>
      </c>
      <c r="AC31" s="13" t="n">
        <v>0</v>
      </c>
      <c r="AD31" s="13" t="n">
        <f aca="false">AD30-AB31+AC31</f>
        <v>0</v>
      </c>
      <c r="AF31" s="9" t="n">
        <f aca="false">AF30+1</f>
        <v>37225</v>
      </c>
      <c r="AG31" s="10" t="n">
        <f aca="false">820000+154000</f>
        <v>974000</v>
      </c>
      <c r="AH31" s="48"/>
      <c r="AJ31" s="46" t="n">
        <f aca="false">+AF31</f>
        <v>37225</v>
      </c>
      <c r="AK31" s="10"/>
      <c r="AL31" s="10"/>
      <c r="AM31" s="10"/>
    </row>
    <row r="32" customFormat="false" ht="12.75" hidden="false" customHeight="false" outlineLevel="0" collapsed="false">
      <c r="A32" s="24" t="s">
        <v>47</v>
      </c>
      <c r="B32" s="32" t="n">
        <v>125000</v>
      </c>
      <c r="C32" s="13"/>
      <c r="E32" s="10"/>
      <c r="G32" s="10"/>
      <c r="H32" s="10"/>
      <c r="W32" s="9" t="n">
        <f aca="false">W31+1</f>
        <v>37226</v>
      </c>
      <c r="X32" s="13" t="n">
        <v>0</v>
      </c>
      <c r="Y32" s="13" t="n">
        <v>0</v>
      </c>
      <c r="Z32" s="14" t="n">
        <f aca="false">Z31-X32+Y32</f>
        <v>436959</v>
      </c>
      <c r="AA32" s="14"/>
      <c r="AB32" s="13" t="n">
        <v>0</v>
      </c>
      <c r="AC32" s="13" t="n">
        <v>0</v>
      </c>
      <c r="AD32" s="13" t="n">
        <f aca="false">AD31-AB32+AC32</f>
        <v>0</v>
      </c>
      <c r="AF32" s="9" t="n">
        <f aca="false">AF31+1</f>
        <v>37226</v>
      </c>
      <c r="AG32" s="10"/>
      <c r="AH32" s="10"/>
      <c r="AJ32" s="46" t="n">
        <f aca="false">+AF32</f>
        <v>37226</v>
      </c>
      <c r="AK32" s="10"/>
      <c r="AL32" s="10"/>
      <c r="AM32" s="10"/>
    </row>
    <row r="33" customFormat="false" ht="12.75" hidden="false" customHeight="false" outlineLevel="0" collapsed="false">
      <c r="A33" s="24" t="s">
        <v>49</v>
      </c>
      <c r="B33" s="32" t="n">
        <v>10855</v>
      </c>
      <c r="C33" s="13"/>
      <c r="D33" s="49"/>
      <c r="G33" s="10"/>
      <c r="H33" s="10"/>
      <c r="W33" s="9" t="n">
        <f aca="false">W32+1</f>
        <v>37227</v>
      </c>
      <c r="X33" s="13" t="n">
        <v>0</v>
      </c>
      <c r="Y33" s="13" t="n">
        <v>0</v>
      </c>
      <c r="Z33" s="14" t="n">
        <f aca="false">Z32-X33+Y33</f>
        <v>436959</v>
      </c>
      <c r="AB33" s="13" t="n">
        <v>0</v>
      </c>
      <c r="AC33" s="13" t="n">
        <v>0</v>
      </c>
      <c r="AD33" s="13" t="n">
        <f aca="false">AD32-AB33+AC33</f>
        <v>0</v>
      </c>
      <c r="AF33" s="9"/>
      <c r="AG33" s="10"/>
      <c r="AJ33" s="46"/>
      <c r="AK33" s="10"/>
      <c r="AL33" s="10"/>
      <c r="AM33" s="10"/>
    </row>
    <row r="34" customFormat="false" ht="12.75" hidden="false" customHeight="false" outlineLevel="0" collapsed="false">
      <c r="A34" s="24" t="s">
        <v>51</v>
      </c>
      <c r="B34" s="32" t="n">
        <v>245180</v>
      </c>
      <c r="C34" s="13"/>
      <c r="G34" s="10"/>
      <c r="H34" s="10"/>
      <c r="W34" s="9" t="n">
        <f aca="false">W33+1</f>
        <v>37228</v>
      </c>
      <c r="X34" s="13" t="n">
        <v>0</v>
      </c>
      <c r="Y34" s="13" t="n">
        <v>0</v>
      </c>
      <c r="Z34" s="14" t="n">
        <f aca="false">Z33-X34+Y34</f>
        <v>436959</v>
      </c>
      <c r="AB34" s="13" t="n">
        <v>0</v>
      </c>
      <c r="AC34" s="13" t="n">
        <v>0</v>
      </c>
      <c r="AD34" s="13" t="n">
        <f aca="false">AD33-AB34+AC34</f>
        <v>0</v>
      </c>
      <c r="AE34" s="13"/>
      <c r="AF34" s="9"/>
      <c r="AG34" s="10"/>
      <c r="AJ34" s="46"/>
      <c r="AK34" s="10"/>
      <c r="AL34" s="10"/>
      <c r="AM34" s="10"/>
    </row>
    <row r="35" customFormat="false" ht="12.75" hidden="false" customHeight="false" outlineLevel="0" collapsed="false">
      <c r="A35" s="24" t="s">
        <v>69</v>
      </c>
      <c r="B35" s="32" t="n">
        <v>50000</v>
      </c>
      <c r="C35" s="10"/>
      <c r="G35" s="10"/>
      <c r="H35" s="10"/>
      <c r="W35" s="9" t="n">
        <f aca="false">W34+1</f>
        <v>37229</v>
      </c>
      <c r="X35" s="13" t="n">
        <v>0</v>
      </c>
      <c r="Y35" s="13" t="n">
        <v>0</v>
      </c>
      <c r="Z35" s="14" t="n">
        <f aca="false">Z34-X35+Y35</f>
        <v>436959</v>
      </c>
      <c r="AB35" s="13" t="n">
        <v>0</v>
      </c>
      <c r="AC35" s="13" t="n">
        <v>0</v>
      </c>
      <c r="AD35" s="13" t="n">
        <f aca="false">AD34-AB35+AC35</f>
        <v>0</v>
      </c>
      <c r="AF35" s="9"/>
      <c r="AJ35" s="46"/>
      <c r="AK35" s="10"/>
      <c r="AL35" s="10"/>
      <c r="AM35" s="10"/>
    </row>
    <row r="36" customFormat="false" ht="12.75" hidden="false" customHeight="false" outlineLevel="0" collapsed="false">
      <c r="A36" s="24" t="s">
        <v>70</v>
      </c>
      <c r="B36" s="32" t="n">
        <v>57377</v>
      </c>
      <c r="C36" s="10"/>
      <c r="G36" s="10"/>
      <c r="H36" s="10"/>
      <c r="W36" s="9" t="n">
        <f aca="false">W35+1</f>
        <v>37230</v>
      </c>
      <c r="X36" s="13" t="n">
        <v>0</v>
      </c>
      <c r="Y36" s="13" t="n">
        <v>0</v>
      </c>
      <c r="Z36" s="14" t="n">
        <f aca="false">Z35-X36+Y36</f>
        <v>436959</v>
      </c>
      <c r="AB36" s="13" t="n">
        <v>0</v>
      </c>
      <c r="AC36" s="13" t="n">
        <v>0</v>
      </c>
      <c r="AD36" s="13" t="n">
        <f aca="false">AD35-AB36+AC36</f>
        <v>0</v>
      </c>
      <c r="AF36" s="9"/>
      <c r="AJ36" s="46"/>
      <c r="AK36" s="10"/>
      <c r="AL36" s="10"/>
      <c r="AM36" s="10"/>
    </row>
    <row r="37" customFormat="false" ht="12.75" hidden="false" customHeight="false" outlineLevel="0" collapsed="false">
      <c r="A37" s="24" t="s">
        <v>71</v>
      </c>
      <c r="B37" s="32" t="n">
        <v>0</v>
      </c>
      <c r="C37" s="12"/>
      <c r="G37" s="10"/>
      <c r="H37" s="10"/>
      <c r="W37" s="9" t="n">
        <f aca="false">W36+1</f>
        <v>37231</v>
      </c>
      <c r="X37" s="13" t="n">
        <v>0</v>
      </c>
      <c r="Y37" s="13" t="n">
        <v>0</v>
      </c>
      <c r="Z37" s="14" t="n">
        <f aca="false">Z36-X37+Y37</f>
        <v>436959</v>
      </c>
      <c r="AB37" s="13" t="n">
        <v>0</v>
      </c>
      <c r="AC37" s="13" t="n">
        <v>0</v>
      </c>
      <c r="AD37" s="13" t="n">
        <f aca="false">AD36-AB37+AC37</f>
        <v>0</v>
      </c>
      <c r="AL37" s="10"/>
      <c r="AM37" s="10"/>
    </row>
    <row r="38" customFormat="false" ht="12.75" hidden="false" customHeight="false" outlineLevel="0" collapsed="false">
      <c r="A38" s="24" t="s">
        <v>72</v>
      </c>
      <c r="B38" s="32" t="n">
        <v>0</v>
      </c>
      <c r="C38" s="50"/>
      <c r="G38" s="10"/>
      <c r="H38" s="10"/>
      <c r="W38" s="9" t="n">
        <f aca="false">W37+1</f>
        <v>37232</v>
      </c>
      <c r="X38" s="13" t="n">
        <v>0</v>
      </c>
      <c r="Y38" s="13" t="n">
        <v>0</v>
      </c>
      <c r="Z38" s="14" t="n">
        <f aca="false">Z37-X38+Y38</f>
        <v>436959</v>
      </c>
      <c r="AB38" s="13" t="n">
        <v>0</v>
      </c>
      <c r="AC38" s="13" t="n">
        <v>0</v>
      </c>
      <c r="AD38" s="13" t="n">
        <f aca="false">AD37-AB38+AC38</f>
        <v>0</v>
      </c>
      <c r="AL38" s="10"/>
      <c r="AM38" s="10"/>
    </row>
    <row r="39" customFormat="false" ht="12.75" hidden="false" customHeight="false" outlineLevel="0" collapsed="false">
      <c r="A39" s="24" t="s">
        <v>73</v>
      </c>
      <c r="B39" s="32" t="n">
        <v>0</v>
      </c>
      <c r="C39" s="12"/>
      <c r="D39" s="51"/>
      <c r="E39" s="52"/>
      <c r="G39" s="10"/>
      <c r="H39" s="10"/>
      <c r="W39" s="9" t="n">
        <f aca="false">W38+1</f>
        <v>37233</v>
      </c>
      <c r="X39" s="13" t="n">
        <v>0</v>
      </c>
      <c r="Y39" s="13" t="n">
        <v>0</v>
      </c>
      <c r="Z39" s="14" t="n">
        <f aca="false">Z38-X39+Y39</f>
        <v>436959</v>
      </c>
      <c r="AB39" s="13" t="n">
        <v>0</v>
      </c>
      <c r="AC39" s="13" t="n">
        <v>0</v>
      </c>
      <c r="AD39" s="13" t="n">
        <f aca="false">AD38-AB39+AC39</f>
        <v>0</v>
      </c>
      <c r="AJ39" s="10"/>
      <c r="AK39" s="10"/>
      <c r="AL39" s="10"/>
      <c r="AM39" s="10"/>
    </row>
    <row r="40" customFormat="false" ht="12.75" hidden="false" customHeight="false" outlineLevel="0" collapsed="false">
      <c r="A40" s="24" t="s">
        <v>74</v>
      </c>
      <c r="B40" s="32" t="n">
        <v>0</v>
      </c>
      <c r="G40" s="10"/>
      <c r="H40" s="10"/>
      <c r="W40" s="9" t="n">
        <f aca="false">W39+1</f>
        <v>37234</v>
      </c>
      <c r="X40" s="13" t="n">
        <v>0</v>
      </c>
      <c r="Y40" s="13" t="n">
        <v>0</v>
      </c>
      <c r="Z40" s="14" t="n">
        <f aca="false">Z39-X40+Y40</f>
        <v>436959</v>
      </c>
      <c r="AB40" s="13" t="n">
        <v>0</v>
      </c>
      <c r="AC40" s="13" t="n">
        <v>0</v>
      </c>
      <c r="AD40" s="13" t="n">
        <f aca="false">AD39-AB40+AC40</f>
        <v>0</v>
      </c>
      <c r="AJ40" s="10"/>
      <c r="AK40" s="10"/>
      <c r="AL40" s="10"/>
      <c r="AM40" s="10"/>
    </row>
    <row r="41" customFormat="false" ht="12.75" hidden="false" customHeight="false" outlineLevel="0" collapsed="false">
      <c r="A41" s="24" t="s">
        <v>75</v>
      </c>
      <c r="B41" s="32" t="n">
        <v>7383</v>
      </c>
      <c r="C41" s="13"/>
      <c r="G41" s="10"/>
      <c r="H41" s="10"/>
      <c r="W41" s="9" t="n">
        <f aca="false">W40+1</f>
        <v>37235</v>
      </c>
      <c r="X41" s="13" t="n">
        <v>0</v>
      </c>
      <c r="Y41" s="13" t="n">
        <v>0</v>
      </c>
      <c r="Z41" s="14" t="n">
        <f aca="false">Z40-X41+Y41</f>
        <v>436959</v>
      </c>
      <c r="AB41" s="13" t="n">
        <v>0</v>
      </c>
      <c r="AC41" s="13" t="n">
        <v>0</v>
      </c>
      <c r="AD41" s="13" t="n">
        <f aca="false">AD40-AB41+AC41</f>
        <v>0</v>
      </c>
      <c r="AJ41" s="10"/>
      <c r="AK41" s="10"/>
      <c r="AL41" s="10"/>
      <c r="AM41" s="10"/>
    </row>
    <row r="42" customFormat="false" ht="12.75" hidden="false" customHeight="false" outlineLevel="0" collapsed="false">
      <c r="A42" s="24" t="s">
        <v>18</v>
      </c>
      <c r="B42" s="32" t="n">
        <v>0</v>
      </c>
      <c r="W42" s="9" t="n">
        <f aca="false">W41+1</f>
        <v>37236</v>
      </c>
      <c r="X42" s="13" t="n">
        <v>0</v>
      </c>
      <c r="Y42" s="13" t="n">
        <v>0</v>
      </c>
      <c r="Z42" s="14" t="n">
        <f aca="false">Z41-X42+Y42</f>
        <v>436959</v>
      </c>
      <c r="AB42" s="13" t="n">
        <v>0</v>
      </c>
      <c r="AC42" s="13" t="n">
        <v>0</v>
      </c>
      <c r="AD42" s="13" t="n">
        <f aca="false">AD41-AB42+AC42</f>
        <v>0</v>
      </c>
      <c r="AJ42" s="10"/>
      <c r="AK42" s="10"/>
      <c r="AL42" s="10"/>
      <c r="AM42" s="10"/>
    </row>
    <row r="43" customFormat="false" ht="12.75" hidden="false" customHeight="false" outlineLevel="0" collapsed="false">
      <c r="A43" s="24" t="s">
        <v>43</v>
      </c>
      <c r="B43" s="32" t="n">
        <v>0</v>
      </c>
      <c r="E43" s="10"/>
      <c r="W43" s="9" t="n">
        <f aca="false">W42+1</f>
        <v>37237</v>
      </c>
      <c r="X43" s="13" t="n">
        <v>0</v>
      </c>
      <c r="Y43" s="13" t="n">
        <v>0</v>
      </c>
      <c r="Z43" s="14" t="n">
        <f aca="false">Z42-X43+Y43</f>
        <v>436959</v>
      </c>
      <c r="AB43" s="13" t="n">
        <v>0</v>
      </c>
      <c r="AC43" s="13" t="n">
        <v>0</v>
      </c>
      <c r="AD43" s="13" t="n">
        <f aca="false">AD42-AB43+AC43</f>
        <v>0</v>
      </c>
      <c r="AJ43" s="10"/>
      <c r="AK43" s="10"/>
      <c r="AL43" s="10"/>
      <c r="AM43" s="10"/>
    </row>
    <row r="44" customFormat="false" ht="12.75" hidden="false" customHeight="false" outlineLevel="0" collapsed="false">
      <c r="A44" s="24" t="s">
        <v>76</v>
      </c>
      <c r="B44" s="53"/>
      <c r="C44" s="13"/>
      <c r="E44" s="10"/>
      <c r="W44" s="9" t="n">
        <f aca="false">W43+1</f>
        <v>37238</v>
      </c>
      <c r="X44" s="13" t="n">
        <v>0</v>
      </c>
      <c r="Y44" s="13" t="n">
        <v>0</v>
      </c>
      <c r="Z44" s="14" t="n">
        <f aca="false">Z43-X44+Y44</f>
        <v>436959</v>
      </c>
      <c r="AB44" s="13" t="n">
        <v>0</v>
      </c>
      <c r="AC44" s="13" t="n">
        <v>0</v>
      </c>
      <c r="AD44" s="13" t="n">
        <f aca="false">AD43-AB44+AC44</f>
        <v>0</v>
      </c>
    </row>
    <row r="45" customFormat="false" ht="12.75" hidden="false" customHeight="false" outlineLevel="0" collapsed="false">
      <c r="A45" s="24" t="s">
        <v>77</v>
      </c>
      <c r="B45" s="32" t="n">
        <v>0</v>
      </c>
      <c r="E45" s="10"/>
      <c r="W45" s="9" t="n">
        <f aca="false">W44+1</f>
        <v>37239</v>
      </c>
      <c r="X45" s="13" t="n">
        <v>0</v>
      </c>
      <c r="Y45" s="13" t="n">
        <v>0</v>
      </c>
      <c r="Z45" s="14" t="n">
        <f aca="false">Z44-X45+Y45</f>
        <v>436959</v>
      </c>
      <c r="AB45" s="13" t="n">
        <v>0</v>
      </c>
      <c r="AC45" s="13" t="n">
        <v>0</v>
      </c>
      <c r="AD45" s="13" t="n">
        <f aca="false">AD44-AB45+AC45</f>
        <v>0</v>
      </c>
    </row>
    <row r="46" customFormat="false" ht="12.75" hidden="false" customHeight="false" outlineLevel="0" collapsed="false">
      <c r="A46" s="24" t="s">
        <v>78</v>
      </c>
      <c r="B46" s="32" t="n">
        <v>20666</v>
      </c>
      <c r="C46" s="13"/>
      <c r="E46" s="10"/>
      <c r="W46" s="9" t="n">
        <f aca="false">W45+1</f>
        <v>37240</v>
      </c>
      <c r="X46" s="13" t="n">
        <v>0</v>
      </c>
      <c r="Y46" s="13" t="n">
        <v>0</v>
      </c>
      <c r="Z46" s="14" t="n">
        <f aca="false">Z45-X46+Y46</f>
        <v>436959</v>
      </c>
      <c r="AB46" s="13" t="n">
        <v>0</v>
      </c>
      <c r="AC46" s="13" t="n">
        <v>0</v>
      </c>
      <c r="AD46" s="13" t="n">
        <f aca="false">AD45-AB46+AC46</f>
        <v>0</v>
      </c>
    </row>
    <row r="47" customFormat="false" ht="12.75" hidden="false" customHeight="false" outlineLevel="0" collapsed="false">
      <c r="A47" s="24" t="s">
        <v>79</v>
      </c>
      <c r="B47" s="32" t="n">
        <v>18000</v>
      </c>
      <c r="W47" s="9" t="n">
        <f aca="false">W46+1</f>
        <v>37241</v>
      </c>
      <c r="X47" s="13" t="n">
        <v>0</v>
      </c>
      <c r="Y47" s="13" t="n">
        <v>0</v>
      </c>
      <c r="Z47" s="14" t="n">
        <f aca="false">Z46-X47+Y47</f>
        <v>436959</v>
      </c>
      <c r="AB47" s="13" t="n">
        <v>0</v>
      </c>
      <c r="AC47" s="13" t="n">
        <v>0</v>
      </c>
      <c r="AD47" s="13" t="n">
        <f aca="false">AD46-AB47+AC47</f>
        <v>0</v>
      </c>
    </row>
    <row r="48" customFormat="false" ht="12.75" hidden="false" customHeight="false" outlineLevel="0" collapsed="false">
      <c r="A48" s="24" t="s">
        <v>80</v>
      </c>
      <c r="B48" s="32" t="n">
        <v>0</v>
      </c>
      <c r="E48" s="10"/>
    </row>
    <row r="49" customFormat="false" ht="12.75" hidden="false" customHeight="false" outlineLevel="0" collapsed="false">
      <c r="A49" s="24" t="s">
        <v>53</v>
      </c>
      <c r="B49" s="32"/>
      <c r="C49" s="13" t="s">
        <v>22</v>
      </c>
      <c r="E49" s="10"/>
    </row>
    <row r="50" customFormat="false" ht="12.75" hidden="false" customHeight="false" outlineLevel="0" collapsed="false">
      <c r="A50" s="44" t="s">
        <v>45</v>
      </c>
      <c r="B50" s="43" t="n">
        <v>35000</v>
      </c>
      <c r="E50" s="10"/>
    </row>
    <row r="51" customFormat="false" ht="12.75" hidden="false" customHeight="false" outlineLevel="0" collapsed="false">
      <c r="A51" s="44" t="s">
        <v>42</v>
      </c>
      <c r="B51" s="43" t="n">
        <v>40000</v>
      </c>
      <c r="E51" s="10"/>
    </row>
    <row r="52" customFormat="false" ht="12.75" hidden="false" customHeight="false" outlineLevel="0" collapsed="false">
      <c r="A52" s="24" t="s">
        <v>48</v>
      </c>
      <c r="B52" s="43" t="n">
        <v>0</v>
      </c>
      <c r="C52" s="13"/>
      <c r="E52" s="10"/>
    </row>
    <row r="53" customFormat="false" ht="12.75" hidden="false" customHeight="false" outlineLevel="0" collapsed="false">
      <c r="A53" s="24" t="s">
        <v>81</v>
      </c>
      <c r="B53" s="32" t="n">
        <v>50000</v>
      </c>
      <c r="C53" s="50"/>
      <c r="E53" s="10"/>
    </row>
    <row r="54" customFormat="false" ht="12.75" hidden="false" customHeight="false" outlineLevel="0" collapsed="false">
      <c r="A54" s="24" t="s">
        <v>82</v>
      </c>
      <c r="B54" s="32" t="n">
        <v>0</v>
      </c>
      <c r="C54" s="50"/>
      <c r="E54" s="10"/>
    </row>
    <row r="55" customFormat="false" ht="12.75" hidden="false" customHeight="false" outlineLevel="0" collapsed="false">
      <c r="A55" s="24" t="s">
        <v>83</v>
      </c>
      <c r="B55" s="32" t="n">
        <v>0</v>
      </c>
      <c r="C55" s="13"/>
      <c r="E55" s="10"/>
    </row>
    <row r="56" customFormat="false" ht="12.75" hidden="false" customHeight="false" outlineLevel="0" collapsed="false">
      <c r="A56" s="24" t="s">
        <v>84</v>
      </c>
      <c r="B56" s="32" t="n">
        <v>31500</v>
      </c>
      <c r="C56" s="13"/>
      <c r="E56" s="10"/>
    </row>
    <row r="57" customFormat="false" ht="12.75" hidden="false" customHeight="false" outlineLevel="0" collapsed="false">
      <c r="A57" s="24" t="s">
        <v>85</v>
      </c>
      <c r="B57" s="43" t="n">
        <v>0</v>
      </c>
      <c r="C57" s="13"/>
      <c r="E57" s="10"/>
    </row>
    <row r="58" customFormat="false" ht="12.75" hidden="false" customHeight="false" outlineLevel="0" collapsed="false">
      <c r="A58" s="24" t="s">
        <v>86</v>
      </c>
      <c r="B58" s="32" t="n">
        <v>0</v>
      </c>
      <c r="C58" s="13"/>
      <c r="E58" s="10"/>
    </row>
    <row r="59" customFormat="false" ht="12.75" hidden="false" customHeight="false" outlineLevel="0" collapsed="false">
      <c r="A59" s="24" t="s">
        <v>87</v>
      </c>
      <c r="B59" s="32" t="n">
        <v>20000</v>
      </c>
      <c r="C59" s="13"/>
    </row>
    <row r="60" customFormat="false" ht="12.75" hidden="false" customHeight="false" outlineLevel="0" collapsed="false">
      <c r="A60" s="24" t="s">
        <v>88</v>
      </c>
      <c r="B60" s="43" t="n">
        <v>0</v>
      </c>
      <c r="C60" s="13"/>
    </row>
    <row r="61" customFormat="false" ht="12.75" hidden="false" customHeight="false" outlineLevel="0" collapsed="false">
      <c r="A61" s="24" t="s">
        <v>89</v>
      </c>
      <c r="B61" s="32" t="n">
        <v>0</v>
      </c>
      <c r="C61" s="54"/>
    </row>
    <row r="62" customFormat="false" ht="13.5" hidden="false" customHeight="false" outlineLevel="0" collapsed="false">
      <c r="A62" s="24" t="s">
        <v>67</v>
      </c>
      <c r="B62" s="32" t="n">
        <v>5637</v>
      </c>
    </row>
    <row r="63" customFormat="false" ht="13.5" hidden="false" customHeight="false" outlineLevel="0" collapsed="false">
      <c r="A63" s="41" t="s">
        <v>68</v>
      </c>
      <c r="B63" s="42" t="n">
        <f aca="false">SUM(B31:B62)</f>
        <v>903732</v>
      </c>
    </row>
    <row r="64" customFormat="false" ht="13.5" hidden="false" customHeight="false" outlineLevel="0" collapsed="false">
      <c r="A64" s="33"/>
      <c r="B64" s="55"/>
    </row>
    <row r="65" customFormat="false" ht="12.75" hidden="false" customHeight="false" outlineLevel="0" collapsed="false">
      <c r="A65" s="56"/>
      <c r="B65" s="56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7" width="41.28"/>
    <col collapsed="false" customWidth="true" hidden="false" outlineLevel="0" max="2" min="2" style="57" width="11.42"/>
    <col collapsed="false" customWidth="true" hidden="false" outlineLevel="0" max="3" min="3" style="1" width="10.99"/>
    <col collapsed="false" customWidth="true" hidden="false" outlineLevel="0" max="4" min="4" style="1" width="37.28"/>
    <col collapsed="false" customWidth="true" hidden="false" outlineLevel="0" max="5" min="5" style="1" width="10.99"/>
    <col collapsed="false" customWidth="true" hidden="false" outlineLevel="0" max="6" min="6" style="1" width="9.28"/>
    <col collapsed="false" customWidth="true" hidden="false" outlineLevel="0" max="7" min="7" style="1" width="41.28"/>
    <col collapsed="false" customWidth="true" hidden="false" outlineLevel="0" max="8" min="8" style="1" width="11.42"/>
    <col collapsed="false" customWidth="true" hidden="false" outlineLevel="0" max="9" min="9" style="1" width="10.99"/>
    <col collapsed="false" customWidth="true" hidden="false" outlineLevel="0" max="10" min="10" style="1" width="37.28"/>
    <col collapsed="false" customWidth="true" hidden="false" outlineLevel="0" max="11" min="11" style="1" width="9.28"/>
    <col collapsed="false" customWidth="true" hidden="false" outlineLevel="0" max="12" min="12" style="1" width="11.13"/>
    <col collapsed="false" customWidth="true" hidden="false" outlineLevel="0" max="13" min="13" style="1" width="41.28"/>
    <col collapsed="false" customWidth="true" hidden="false" outlineLevel="0" max="14" min="14" style="1" width="11.56"/>
    <col collapsed="false" customWidth="true" hidden="false" outlineLevel="0" max="15" min="15" style="1" width="10.99"/>
    <col collapsed="false" customWidth="true" hidden="false" outlineLevel="0" max="16" min="16" style="1" width="37.28"/>
    <col collapsed="false" customWidth="true" hidden="false" outlineLevel="0" max="17" min="17" style="1" width="10.99"/>
    <col collapsed="false" customWidth="false" hidden="false" outlineLevel="0" max="18" min="18" style="1" width="9.14"/>
    <col collapsed="false" customWidth="true" hidden="false" outlineLevel="0" max="19" min="19" style="1" width="41.14"/>
    <col collapsed="false" customWidth="true" hidden="false" outlineLevel="0" max="20" min="20" style="1" width="11.42"/>
    <col collapsed="false" customWidth="true" hidden="false" outlineLevel="0" max="21" min="21" style="1" width="10.99"/>
    <col collapsed="false" customWidth="true" hidden="false" outlineLevel="0" max="22" min="22" style="1" width="37.28"/>
    <col collapsed="false" customWidth="true" hidden="false" outlineLevel="0" max="23" min="23" style="1" width="10.99"/>
    <col collapsed="false" customWidth="false" hidden="false" outlineLevel="0" max="24" min="24" style="1" width="9.14"/>
    <col collapsed="false" customWidth="true" hidden="true" outlineLevel="0" max="25" min="25" style="1" width="41.14"/>
    <col collapsed="false" customWidth="true" hidden="true" outlineLevel="0" max="26" min="26" style="1" width="11.42"/>
    <col collapsed="false" customWidth="true" hidden="true" outlineLevel="0" max="27" min="27" style="1" width="10.99"/>
    <col collapsed="false" customWidth="true" hidden="true" outlineLevel="0" max="28" min="28" style="1" width="37.28"/>
    <col collapsed="false" customWidth="true" hidden="true" outlineLevel="0" max="29" min="29" style="1" width="10.99"/>
    <col collapsed="false" customWidth="false" hidden="true" outlineLevel="0" max="30" min="30" style="1" width="9.14"/>
    <col collapsed="false" customWidth="true" hidden="true" outlineLevel="0" max="31" min="31" style="1" width="9.06"/>
    <col collapsed="false" customWidth="false" hidden="false" outlineLevel="0" max="257" min="32" style="1" width="9.14"/>
  </cols>
  <sheetData>
    <row r="1" customFormat="false" ht="27.75" hidden="false" customHeight="true" outlineLevel="0" collapsed="false">
      <c r="A1" s="57" t="s">
        <v>0</v>
      </c>
      <c r="B1" s="58" t="n">
        <f aca="true">TODAY()</f>
        <v>45926</v>
      </c>
      <c r="D1" s="59" t="s">
        <v>90</v>
      </c>
      <c r="G1" s="1" t="s">
        <v>0</v>
      </c>
      <c r="H1" s="2" t="n">
        <f aca="true">TODAY()</f>
        <v>45926</v>
      </c>
      <c r="J1" s="59" t="s">
        <v>91</v>
      </c>
      <c r="M1" s="1" t="s">
        <v>0</v>
      </c>
      <c r="N1" s="2" t="n">
        <f aca="true">TODAY()</f>
        <v>45926</v>
      </c>
      <c r="P1" s="59" t="s">
        <v>92</v>
      </c>
      <c r="S1" s="1" t="s">
        <v>0</v>
      </c>
      <c r="T1" s="2" t="n">
        <f aca="true">TODAY()</f>
        <v>45926</v>
      </c>
      <c r="V1" s="59" t="s">
        <v>93</v>
      </c>
      <c r="Y1" s="1" t="s">
        <v>0</v>
      </c>
      <c r="Z1" s="2" t="n">
        <f aca="true">TODAY()</f>
        <v>45926</v>
      </c>
      <c r="AB1" s="59" t="s">
        <v>94</v>
      </c>
    </row>
    <row r="2" customFormat="false" ht="13.5" hidden="false" customHeight="false" outlineLevel="0" collapsed="false">
      <c r="A2" s="57" t="s">
        <v>14</v>
      </c>
      <c r="B2" s="58" t="n">
        <f aca="true">TODAY()+2</f>
        <v>45928</v>
      </c>
      <c r="G2" s="1" t="s">
        <v>14</v>
      </c>
      <c r="H2" s="2" t="n">
        <f aca="true">TODAY()+3</f>
        <v>45929</v>
      </c>
      <c r="M2" s="1" t="s">
        <v>14</v>
      </c>
      <c r="N2" s="2" t="n">
        <f aca="true">TODAY()+4</f>
        <v>45930</v>
      </c>
      <c r="S2" s="1" t="s">
        <v>14</v>
      </c>
      <c r="T2" s="2" t="n">
        <f aca="true">TODAY()+5</f>
        <v>45931</v>
      </c>
      <c r="Y2" s="1" t="s">
        <v>14</v>
      </c>
      <c r="Z2" s="2" t="n">
        <f aca="true">TODAY()+4</f>
        <v>45930</v>
      </c>
    </row>
    <row r="3" customFormat="false" ht="25.5" hidden="false" customHeight="true" outlineLevel="0" collapsed="false">
      <c r="B3" s="60" t="s">
        <v>15</v>
      </c>
      <c r="C3" s="12" t="s">
        <v>16</v>
      </c>
      <c r="D3" s="12" t="s">
        <v>17</v>
      </c>
      <c r="H3" s="12" t="s">
        <v>15</v>
      </c>
      <c r="I3" s="12" t="s">
        <v>16</v>
      </c>
      <c r="J3" s="12" t="s">
        <v>17</v>
      </c>
      <c r="N3" s="12" t="s">
        <v>15</v>
      </c>
      <c r="O3" s="12" t="s">
        <v>16</v>
      </c>
      <c r="P3" s="12" t="s">
        <v>17</v>
      </c>
      <c r="T3" s="12" t="s">
        <v>15</v>
      </c>
      <c r="U3" s="12" t="s">
        <v>16</v>
      </c>
      <c r="V3" s="12" t="s">
        <v>17</v>
      </c>
      <c r="Z3" s="12" t="s">
        <v>15</v>
      </c>
      <c r="AA3" s="12" t="s">
        <v>16</v>
      </c>
      <c r="AB3" s="12" t="s">
        <v>17</v>
      </c>
    </row>
    <row r="4" customFormat="false" ht="13.5" hidden="false" customHeight="false" outlineLevel="0" collapsed="false">
      <c r="A4" s="1" t="s">
        <v>20</v>
      </c>
      <c r="B4" s="21" t="n">
        <v>49</v>
      </c>
      <c r="C4" s="22" t="n">
        <v>38</v>
      </c>
      <c r="D4" s="23" t="n">
        <f aca="false">AVERAGE(B4,C4)</f>
        <v>43.5</v>
      </c>
      <c r="G4" s="1" t="s">
        <v>20</v>
      </c>
      <c r="H4" s="21" t="n">
        <v>48</v>
      </c>
      <c r="I4" s="22" t="n">
        <v>35</v>
      </c>
      <c r="J4" s="23" t="n">
        <f aca="false">AVERAGE(H4,I4)</f>
        <v>41.5</v>
      </c>
      <c r="M4" s="1" t="s">
        <v>20</v>
      </c>
      <c r="N4" s="21" t="n">
        <v>47</v>
      </c>
      <c r="O4" s="22" t="n">
        <v>37</v>
      </c>
      <c r="P4" s="23" t="n">
        <f aca="false">AVERAGE(N4,O4)</f>
        <v>42</v>
      </c>
      <c r="S4" s="1" t="s">
        <v>20</v>
      </c>
      <c r="T4" s="21" t="n">
        <v>0</v>
      </c>
      <c r="U4" s="22" t="n">
        <v>0</v>
      </c>
      <c r="V4" s="23" t="n">
        <f aca="false">AVERAGE(T4,U4)</f>
        <v>0</v>
      </c>
      <c r="Y4" s="1" t="s">
        <v>20</v>
      </c>
      <c r="Z4" s="21" t="n">
        <v>56</v>
      </c>
      <c r="AA4" s="22" t="n">
        <v>40</v>
      </c>
      <c r="AB4" s="23" t="n">
        <f aca="false">AVERAGE(Z4,AA4)</f>
        <v>48</v>
      </c>
    </row>
    <row r="5" customFormat="false" ht="12.75" hidden="false" customHeight="false" outlineLevel="0" collapsed="false">
      <c r="A5" s="27"/>
      <c r="B5" s="28"/>
      <c r="C5" s="12"/>
      <c r="D5" s="27"/>
      <c r="E5" s="28"/>
      <c r="F5" s="12"/>
      <c r="G5" s="27"/>
      <c r="H5" s="28"/>
      <c r="I5" s="12"/>
      <c r="J5" s="27"/>
      <c r="K5" s="28"/>
      <c r="L5" s="12"/>
      <c r="M5" s="27"/>
      <c r="N5" s="28"/>
      <c r="O5" s="12"/>
      <c r="P5" s="27"/>
      <c r="Q5" s="28"/>
      <c r="R5" s="12"/>
      <c r="S5" s="27"/>
      <c r="T5" s="28"/>
      <c r="U5" s="12"/>
      <c r="V5" s="27"/>
      <c r="W5" s="28"/>
      <c r="X5" s="12"/>
      <c r="Y5" s="27"/>
      <c r="Z5" s="28"/>
      <c r="AA5" s="12"/>
      <c r="AB5" s="27"/>
      <c r="AC5" s="28"/>
      <c r="AD5" s="12"/>
    </row>
    <row r="6" customFormat="false" ht="12.75" hidden="false" customHeight="false" outlineLevel="0" collapsed="false">
      <c r="A6" s="24" t="s">
        <v>27</v>
      </c>
      <c r="B6" s="32" t="n">
        <v>-600000</v>
      </c>
      <c r="C6" s="10" t="n">
        <v>0</v>
      </c>
      <c r="D6" s="24" t="s">
        <v>28</v>
      </c>
      <c r="E6" s="32" t="n">
        <v>-102000</v>
      </c>
      <c r="F6" s="10" t="n">
        <v>0</v>
      </c>
      <c r="G6" s="24" t="s">
        <v>27</v>
      </c>
      <c r="H6" s="32" t="n">
        <v>-600000</v>
      </c>
      <c r="I6" s="10" t="n">
        <v>0</v>
      </c>
      <c r="J6" s="24" t="s">
        <v>28</v>
      </c>
      <c r="K6" s="32" t="n">
        <v>-100000</v>
      </c>
      <c r="L6" s="10" t="n">
        <v>0</v>
      </c>
      <c r="M6" s="24" t="s">
        <v>27</v>
      </c>
      <c r="N6" s="32" t="n">
        <v>-615000</v>
      </c>
      <c r="O6" s="10" t="n">
        <v>0</v>
      </c>
      <c r="P6" s="24" t="s">
        <v>28</v>
      </c>
      <c r="Q6" s="32" t="n">
        <v>-103000</v>
      </c>
      <c r="R6" s="10" t="n">
        <v>0</v>
      </c>
      <c r="S6" s="24" t="s">
        <v>27</v>
      </c>
      <c r="T6" s="32" t="n">
        <v>-700000</v>
      </c>
      <c r="U6" s="10" t="n">
        <v>0</v>
      </c>
      <c r="V6" s="24" t="s">
        <v>28</v>
      </c>
      <c r="W6" s="32" t="n">
        <v>-120000</v>
      </c>
      <c r="X6" s="10" t="n">
        <v>0</v>
      </c>
      <c r="Y6" s="24" t="s">
        <v>27</v>
      </c>
      <c r="Z6" s="32" t="n">
        <v>-515000</v>
      </c>
      <c r="AA6" s="10" t="n">
        <v>0</v>
      </c>
      <c r="AB6" s="24" t="s">
        <v>28</v>
      </c>
      <c r="AC6" s="32" t="n">
        <v>-84000</v>
      </c>
      <c r="AD6" s="10" t="n">
        <v>0</v>
      </c>
    </row>
    <row r="7" customFormat="false" ht="12.75" hidden="false" customHeight="false" outlineLevel="0" collapsed="false">
      <c r="A7" s="24" t="s">
        <v>31</v>
      </c>
      <c r="B7" s="32"/>
      <c r="D7" s="24" t="s">
        <v>32</v>
      </c>
      <c r="E7" s="32" t="n">
        <v>0</v>
      </c>
      <c r="G7" s="24" t="s">
        <v>31</v>
      </c>
      <c r="H7" s="32"/>
      <c r="J7" s="24" t="s">
        <v>32</v>
      </c>
      <c r="K7" s="32" t="n">
        <v>0</v>
      </c>
      <c r="M7" s="24" t="s">
        <v>31</v>
      </c>
      <c r="N7" s="32"/>
      <c r="P7" s="24" t="s">
        <v>32</v>
      </c>
      <c r="Q7" s="32" t="n">
        <v>0</v>
      </c>
      <c r="S7" s="24" t="s">
        <v>31</v>
      </c>
      <c r="T7" s="32"/>
      <c r="V7" s="24" t="s">
        <v>32</v>
      </c>
      <c r="W7" s="32" t="n">
        <v>0</v>
      </c>
      <c r="Y7" s="24" t="s">
        <v>31</v>
      </c>
      <c r="Z7" s="32"/>
      <c r="AB7" s="24" t="s">
        <v>32</v>
      </c>
      <c r="AC7" s="32" t="n">
        <v>0</v>
      </c>
    </row>
    <row r="8" customFormat="false" ht="12.75" hidden="false" customHeight="false" outlineLevel="0" collapsed="false">
      <c r="A8" s="24" t="s">
        <v>33</v>
      </c>
      <c r="B8" s="32"/>
      <c r="D8" s="24" t="s">
        <v>34</v>
      </c>
      <c r="E8" s="32"/>
      <c r="G8" s="24" t="s">
        <v>33</v>
      </c>
      <c r="H8" s="32"/>
      <c r="J8" s="24" t="s">
        <v>34</v>
      </c>
      <c r="K8" s="32"/>
      <c r="M8" s="24" t="s">
        <v>33</v>
      </c>
      <c r="N8" s="32"/>
      <c r="P8" s="24" t="s">
        <v>34</v>
      </c>
      <c r="Q8" s="32"/>
      <c r="S8" s="24" t="s">
        <v>33</v>
      </c>
      <c r="T8" s="32"/>
      <c r="V8" s="24" t="s">
        <v>34</v>
      </c>
      <c r="W8" s="32"/>
      <c r="Y8" s="24" t="s">
        <v>33</v>
      </c>
      <c r="Z8" s="32"/>
      <c r="AB8" s="24" t="s">
        <v>34</v>
      </c>
      <c r="AC8" s="32"/>
    </row>
    <row r="9" customFormat="false" ht="12.75" hidden="false" customHeight="false" outlineLevel="0" collapsed="false">
      <c r="A9" s="44" t="s">
        <v>35</v>
      </c>
      <c r="B9" s="43" t="n">
        <v>-50000</v>
      </c>
      <c r="C9" s="39" t="n">
        <v>0</v>
      </c>
      <c r="D9" s="24" t="s">
        <v>36</v>
      </c>
      <c r="E9" s="32" t="n">
        <v>-20000</v>
      </c>
      <c r="G9" s="44" t="s">
        <v>35</v>
      </c>
      <c r="H9" s="43" t="n">
        <v>-50000</v>
      </c>
      <c r="I9" s="39"/>
      <c r="J9" s="24" t="s">
        <v>36</v>
      </c>
      <c r="K9" s="32" t="n">
        <v>-20000</v>
      </c>
      <c r="M9" s="44" t="s">
        <v>35</v>
      </c>
      <c r="N9" s="43" t="n">
        <v>-50000</v>
      </c>
      <c r="O9" s="39"/>
      <c r="P9" s="24" t="s">
        <v>36</v>
      </c>
      <c r="Q9" s="32" t="n">
        <v>-20000</v>
      </c>
      <c r="S9" s="44" t="s">
        <v>35</v>
      </c>
      <c r="T9" s="43" t="n">
        <v>-50000</v>
      </c>
      <c r="U9" s="39"/>
      <c r="V9" s="24" t="s">
        <v>36</v>
      </c>
      <c r="W9" s="32" t="n">
        <v>-20000</v>
      </c>
      <c r="Y9" s="44" t="s">
        <v>35</v>
      </c>
      <c r="Z9" s="43" t="n">
        <v>-50000</v>
      </c>
      <c r="AA9" s="39"/>
      <c r="AB9" s="24" t="s">
        <v>36</v>
      </c>
      <c r="AC9" s="32" t="n">
        <v>-20000</v>
      </c>
    </row>
    <row r="10" customFormat="false" ht="12.75" hidden="false" customHeight="false" outlineLevel="0" collapsed="false">
      <c r="A10" s="40" t="s">
        <v>37</v>
      </c>
      <c r="B10" s="32" t="n">
        <v>0</v>
      </c>
      <c r="C10" s="13" t="s">
        <v>22</v>
      </c>
      <c r="D10" s="24" t="s">
        <v>38</v>
      </c>
      <c r="E10" s="32"/>
      <c r="G10" s="40" t="s">
        <v>37</v>
      </c>
      <c r="H10" s="32" t="n">
        <v>0</v>
      </c>
      <c r="I10" s="13" t="s">
        <v>22</v>
      </c>
      <c r="J10" s="24" t="s">
        <v>38</v>
      </c>
      <c r="K10" s="32"/>
      <c r="M10" s="40" t="s">
        <v>37</v>
      </c>
      <c r="N10" s="32" t="n">
        <v>0</v>
      </c>
      <c r="O10" s="13" t="s">
        <v>22</v>
      </c>
      <c r="P10" s="24" t="s">
        <v>38</v>
      </c>
      <c r="Q10" s="32"/>
      <c r="S10" s="40" t="s">
        <v>37</v>
      </c>
      <c r="T10" s="32" t="n">
        <v>0</v>
      </c>
      <c r="U10" s="13" t="s">
        <v>22</v>
      </c>
      <c r="V10" s="24" t="s">
        <v>38</v>
      </c>
      <c r="W10" s="32"/>
      <c r="Y10" s="40" t="s">
        <v>37</v>
      </c>
      <c r="Z10" s="32" t="n">
        <v>0</v>
      </c>
      <c r="AA10" s="13" t="s">
        <v>22</v>
      </c>
      <c r="AB10" s="24" t="s">
        <v>38</v>
      </c>
      <c r="AC10" s="32"/>
    </row>
    <row r="11" customFormat="false" ht="12.75" hidden="false" customHeight="false" outlineLevel="0" collapsed="false">
      <c r="A11" s="24" t="s">
        <v>36</v>
      </c>
      <c r="B11" s="32" t="n">
        <f aca="false">-96283-0-0-20000-7383+20666</f>
        <v>-103000</v>
      </c>
      <c r="C11" s="32"/>
      <c r="D11" s="24" t="s">
        <v>39</v>
      </c>
      <c r="E11" s="32" t="n">
        <v>0</v>
      </c>
      <c r="G11" s="24" t="s">
        <v>36</v>
      </c>
      <c r="H11" s="32" t="n">
        <f aca="false">-96283-0-0-20000-7383+20666</f>
        <v>-103000</v>
      </c>
      <c r="I11" s="32"/>
      <c r="J11" s="24" t="s">
        <v>39</v>
      </c>
      <c r="K11" s="32" t="n">
        <v>0</v>
      </c>
      <c r="M11" s="24" t="s">
        <v>36</v>
      </c>
      <c r="N11" s="32" t="n">
        <f aca="false">-96283-0-0-20000-7383+20666</f>
        <v>-103000</v>
      </c>
      <c r="O11" s="32"/>
      <c r="P11" s="24" t="s">
        <v>39</v>
      </c>
      <c r="Q11" s="32" t="n">
        <v>0</v>
      </c>
      <c r="S11" s="24" t="s">
        <v>36</v>
      </c>
      <c r="T11" s="32" t="n">
        <f aca="false">-96283-0-0-20000-7383+20666</f>
        <v>-103000</v>
      </c>
      <c r="U11" s="32"/>
      <c r="V11" s="24" t="s">
        <v>39</v>
      </c>
      <c r="W11" s="32" t="n">
        <v>0</v>
      </c>
      <c r="Y11" s="24" t="s">
        <v>36</v>
      </c>
      <c r="Z11" s="32" t="n">
        <f aca="false">-118283-0-0-20000-7383+20666</f>
        <v>-125000</v>
      </c>
      <c r="AA11" s="32"/>
      <c r="AB11" s="24" t="s">
        <v>39</v>
      </c>
      <c r="AC11" s="32" t="n">
        <v>0</v>
      </c>
    </row>
    <row r="12" customFormat="false" ht="12.75" hidden="false" customHeight="false" outlineLevel="0" collapsed="false">
      <c r="A12" s="24" t="s">
        <v>40</v>
      </c>
      <c r="B12" s="32" t="n">
        <v>-20666</v>
      </c>
      <c r="C12" s="13"/>
      <c r="D12" s="40" t="s">
        <v>41</v>
      </c>
      <c r="E12" s="32" t="n">
        <v>0</v>
      </c>
      <c r="G12" s="24" t="s">
        <v>40</v>
      </c>
      <c r="H12" s="32" t="n">
        <v>-20666</v>
      </c>
      <c r="I12" s="13"/>
      <c r="J12" s="40" t="s">
        <v>41</v>
      </c>
      <c r="K12" s="32" t="n">
        <v>0</v>
      </c>
      <c r="M12" s="24" t="s">
        <v>40</v>
      </c>
      <c r="N12" s="32" t="n">
        <v>-20666</v>
      </c>
      <c r="O12" s="13"/>
      <c r="P12" s="40" t="s">
        <v>41</v>
      </c>
      <c r="Q12" s="32" t="n">
        <v>0</v>
      </c>
      <c r="S12" s="24" t="s">
        <v>40</v>
      </c>
      <c r="T12" s="32" t="n">
        <v>-20666</v>
      </c>
      <c r="U12" s="13"/>
      <c r="V12" s="40" t="s">
        <v>41</v>
      </c>
      <c r="W12" s="32" t="n">
        <v>0</v>
      </c>
      <c r="Y12" s="24" t="s">
        <v>40</v>
      </c>
      <c r="Z12" s="32" t="n">
        <v>-20666</v>
      </c>
      <c r="AA12" s="13"/>
      <c r="AB12" s="40" t="s">
        <v>41</v>
      </c>
      <c r="AC12" s="32" t="n">
        <v>0</v>
      </c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44" t="s">
        <v>42</v>
      </c>
      <c r="E13" s="43" t="n">
        <v>-2641</v>
      </c>
      <c r="G13" s="24" t="s">
        <v>18</v>
      </c>
      <c r="H13" s="32" t="n">
        <v>0</v>
      </c>
      <c r="I13" s="12"/>
      <c r="J13" s="44" t="s">
        <v>42</v>
      </c>
      <c r="K13" s="43" t="n">
        <v>-4641</v>
      </c>
      <c r="M13" s="24" t="s">
        <v>18</v>
      </c>
      <c r="N13" s="32" t="n">
        <v>0</v>
      </c>
      <c r="O13" s="12"/>
      <c r="P13" s="44" t="s">
        <v>42</v>
      </c>
      <c r="Q13" s="43" t="n">
        <v>-1641</v>
      </c>
      <c r="S13" s="24" t="s">
        <v>18</v>
      </c>
      <c r="T13" s="32" t="n">
        <v>0</v>
      </c>
      <c r="U13" s="12"/>
      <c r="V13" s="24" t="s">
        <v>42</v>
      </c>
      <c r="W13" s="32" t="n">
        <v>0</v>
      </c>
      <c r="Y13" s="24" t="s">
        <v>18</v>
      </c>
      <c r="Z13" s="32" t="n">
        <v>0</v>
      </c>
      <c r="AA13" s="12"/>
      <c r="AB13" s="44" t="s">
        <v>42</v>
      </c>
      <c r="AC13" s="43" t="n">
        <v>-20641</v>
      </c>
    </row>
    <row r="14" customFormat="false" ht="13.5" hidden="false" customHeight="false" outlineLevel="0" collapsed="false">
      <c r="A14" s="24" t="s">
        <v>43</v>
      </c>
      <c r="B14" s="32" t="n">
        <v>0</v>
      </c>
      <c r="C14" s="13"/>
      <c r="D14" s="41" t="s">
        <v>44</v>
      </c>
      <c r="E14" s="42" t="n">
        <f aca="false">SUM(E6:E13)</f>
        <v>-124641</v>
      </c>
      <c r="G14" s="24" t="s">
        <v>43</v>
      </c>
      <c r="H14" s="32" t="n">
        <v>0</v>
      </c>
      <c r="I14" s="13"/>
      <c r="J14" s="41" t="s">
        <v>44</v>
      </c>
      <c r="K14" s="42" t="n">
        <f aca="false">SUM(K6:K13)</f>
        <v>-124641</v>
      </c>
      <c r="M14" s="24" t="s">
        <v>43</v>
      </c>
      <c r="N14" s="32" t="n">
        <v>0</v>
      </c>
      <c r="O14" s="13"/>
      <c r="P14" s="41" t="s">
        <v>44</v>
      </c>
      <c r="Q14" s="42" t="n">
        <f aca="false">SUM(Q6:Q13)</f>
        <v>-124641</v>
      </c>
      <c r="S14" s="24" t="s">
        <v>43</v>
      </c>
      <c r="T14" s="32" t="n">
        <v>0</v>
      </c>
      <c r="U14" s="13"/>
      <c r="V14" s="41" t="s">
        <v>44</v>
      </c>
      <c r="W14" s="42" t="n">
        <f aca="false">SUM(W6:W13)</f>
        <v>-140000</v>
      </c>
      <c r="Y14" s="24" t="s">
        <v>43</v>
      </c>
      <c r="Z14" s="32" t="n">
        <v>0</v>
      </c>
      <c r="AA14" s="13"/>
      <c r="AB14" s="41" t="s">
        <v>44</v>
      </c>
      <c r="AC14" s="42" t="n">
        <f aca="false">SUM(AC6:AC13)</f>
        <v>-124641</v>
      </c>
    </row>
    <row r="15" customFormat="false" ht="12.75" hidden="false" customHeight="false" outlineLevel="0" collapsed="false">
      <c r="A15" s="24" t="s">
        <v>34</v>
      </c>
      <c r="B15" s="32"/>
      <c r="C15" s="13"/>
      <c r="D15" s="24"/>
      <c r="E15" s="32"/>
      <c r="F15" s="13" t="n">
        <f aca="false">+E14+E29</f>
        <v>0</v>
      </c>
      <c r="G15" s="24" t="s">
        <v>34</v>
      </c>
      <c r="H15" s="32"/>
      <c r="I15" s="13"/>
      <c r="J15" s="24"/>
      <c r="K15" s="32"/>
      <c r="L15" s="13" t="n">
        <f aca="false">+K14+K29</f>
        <v>0</v>
      </c>
      <c r="M15" s="24" t="s">
        <v>34</v>
      </c>
      <c r="N15" s="32"/>
      <c r="O15" s="13"/>
      <c r="P15" s="24"/>
      <c r="Q15" s="32"/>
      <c r="R15" s="13" t="n">
        <f aca="false">+Q14+Q29</f>
        <v>0</v>
      </c>
      <c r="S15" s="24" t="s">
        <v>34</v>
      </c>
      <c r="T15" s="32"/>
      <c r="U15" s="13"/>
      <c r="V15" s="24"/>
      <c r="W15" s="32"/>
      <c r="X15" s="13" t="n">
        <f aca="false">+W14+W29</f>
        <v>0</v>
      </c>
      <c r="Y15" s="24" t="s">
        <v>34</v>
      </c>
      <c r="Z15" s="32"/>
      <c r="AA15" s="13"/>
      <c r="AB15" s="24"/>
      <c r="AC15" s="32"/>
      <c r="AD15" s="13" t="n">
        <f aca="false">+AC14+AC29</f>
        <v>0</v>
      </c>
    </row>
    <row r="16" customFormat="false" ht="12.75" hidden="false" customHeight="false" outlineLevel="0" collapsed="false">
      <c r="A16" s="24" t="s">
        <v>45</v>
      </c>
      <c r="B16" s="32" t="n">
        <v>0</v>
      </c>
      <c r="C16" s="13"/>
      <c r="D16" s="24" t="s">
        <v>46</v>
      </c>
      <c r="E16" s="32" t="n">
        <v>39111</v>
      </c>
      <c r="G16" s="24" t="s">
        <v>45</v>
      </c>
      <c r="H16" s="32" t="n">
        <v>0</v>
      </c>
      <c r="I16" s="13"/>
      <c r="J16" s="24" t="s">
        <v>46</v>
      </c>
      <c r="K16" s="32" t="n">
        <v>39111</v>
      </c>
      <c r="M16" s="24" t="s">
        <v>45</v>
      </c>
      <c r="N16" s="32" t="n">
        <v>0</v>
      </c>
      <c r="O16" s="13"/>
      <c r="P16" s="24" t="s">
        <v>46</v>
      </c>
      <c r="Q16" s="32" t="n">
        <v>39111</v>
      </c>
      <c r="S16" s="24" t="s">
        <v>45</v>
      </c>
      <c r="T16" s="32" t="n">
        <v>0</v>
      </c>
      <c r="U16" s="13"/>
      <c r="V16" s="24" t="s">
        <v>46</v>
      </c>
      <c r="W16" s="32" t="n">
        <v>39111</v>
      </c>
      <c r="Y16" s="24" t="s">
        <v>45</v>
      </c>
      <c r="Z16" s="32" t="n">
        <v>0</v>
      </c>
      <c r="AA16" s="13"/>
      <c r="AB16" s="24" t="s">
        <v>46</v>
      </c>
      <c r="AC16" s="32" t="n">
        <v>39111</v>
      </c>
    </row>
    <row r="17" customFormat="false" ht="12.75" hidden="false" customHeight="false" outlineLevel="0" collapsed="false">
      <c r="A17" s="24" t="s">
        <v>42</v>
      </c>
      <c r="B17" s="32" t="n">
        <v>0</v>
      </c>
      <c r="C17" s="13"/>
      <c r="D17" s="24" t="s">
        <v>47</v>
      </c>
      <c r="E17" s="32" t="n">
        <v>10000</v>
      </c>
      <c r="G17" s="24" t="s">
        <v>42</v>
      </c>
      <c r="H17" s="32" t="n">
        <v>0</v>
      </c>
      <c r="I17" s="13"/>
      <c r="J17" s="24" t="s">
        <v>47</v>
      </c>
      <c r="K17" s="32" t="n">
        <v>10000</v>
      </c>
      <c r="M17" s="24" t="s">
        <v>42</v>
      </c>
      <c r="N17" s="32" t="n">
        <v>0</v>
      </c>
      <c r="O17" s="13"/>
      <c r="P17" s="24" t="s">
        <v>47</v>
      </c>
      <c r="Q17" s="32" t="n">
        <v>10000</v>
      </c>
      <c r="S17" s="24" t="s">
        <v>42</v>
      </c>
      <c r="T17" s="32" t="n">
        <v>0</v>
      </c>
      <c r="U17" s="13"/>
      <c r="V17" s="24" t="s">
        <v>47</v>
      </c>
      <c r="W17" s="32" t="n">
        <v>10000</v>
      </c>
      <c r="Y17" s="24" t="s">
        <v>42</v>
      </c>
      <c r="Z17" s="32" t="n">
        <v>0</v>
      </c>
      <c r="AA17" s="13"/>
      <c r="AB17" s="24" t="s">
        <v>47</v>
      </c>
      <c r="AC17" s="32" t="n">
        <v>10000</v>
      </c>
    </row>
    <row r="18" customFormat="false" ht="12.75" hidden="false" customHeight="false" outlineLevel="0" collapsed="false">
      <c r="A18" s="24" t="s">
        <v>48</v>
      </c>
      <c r="B18" s="32" t="n">
        <v>0</v>
      </c>
      <c r="D18" s="24" t="s">
        <v>49</v>
      </c>
      <c r="E18" s="32" t="n">
        <v>0</v>
      </c>
      <c r="F18" s="13" t="s">
        <v>22</v>
      </c>
      <c r="G18" s="24" t="s">
        <v>48</v>
      </c>
      <c r="H18" s="32" t="n">
        <v>0</v>
      </c>
      <c r="J18" s="24" t="s">
        <v>49</v>
      </c>
      <c r="K18" s="32" t="n">
        <v>0</v>
      </c>
      <c r="L18" s="13" t="s">
        <v>22</v>
      </c>
      <c r="M18" s="24" t="s">
        <v>48</v>
      </c>
      <c r="N18" s="32" t="n">
        <v>0</v>
      </c>
      <c r="P18" s="24" t="s">
        <v>49</v>
      </c>
      <c r="Q18" s="32" t="n">
        <v>0</v>
      </c>
      <c r="R18" s="13" t="s">
        <v>22</v>
      </c>
      <c r="S18" s="24" t="s">
        <v>48</v>
      </c>
      <c r="T18" s="32" t="n">
        <v>0</v>
      </c>
      <c r="V18" s="24" t="s">
        <v>49</v>
      </c>
      <c r="W18" s="32" t="n">
        <v>0</v>
      </c>
      <c r="X18" s="13" t="s">
        <v>22</v>
      </c>
      <c r="Y18" s="24" t="s">
        <v>48</v>
      </c>
      <c r="Z18" s="32" t="n">
        <v>0</v>
      </c>
      <c r="AB18" s="24" t="s">
        <v>49</v>
      </c>
      <c r="AC18" s="32" t="n">
        <v>0</v>
      </c>
      <c r="AD18" s="13" t="s">
        <v>22</v>
      </c>
    </row>
    <row r="19" customFormat="false" ht="12.75" hidden="false" customHeight="false" outlineLevel="0" collapsed="false">
      <c r="A19" s="24" t="s">
        <v>50</v>
      </c>
      <c r="B19" s="32" t="n">
        <v>0</v>
      </c>
      <c r="C19" s="13"/>
      <c r="D19" s="24" t="s">
        <v>51</v>
      </c>
      <c r="E19" s="32" t="n">
        <v>31530</v>
      </c>
      <c r="G19" s="24" t="s">
        <v>50</v>
      </c>
      <c r="H19" s="32" t="n">
        <v>0</v>
      </c>
      <c r="I19" s="13"/>
      <c r="J19" s="24" t="s">
        <v>51</v>
      </c>
      <c r="K19" s="32" t="n">
        <v>31530</v>
      </c>
      <c r="M19" s="24" t="s">
        <v>50</v>
      </c>
      <c r="N19" s="32" t="n">
        <v>0</v>
      </c>
      <c r="O19" s="13"/>
      <c r="P19" s="24" t="s">
        <v>51</v>
      </c>
      <c r="Q19" s="32" t="n">
        <v>31530</v>
      </c>
      <c r="S19" s="24" t="s">
        <v>50</v>
      </c>
      <c r="T19" s="32" t="n">
        <v>0</v>
      </c>
      <c r="U19" s="13"/>
      <c r="V19" s="24" t="s">
        <v>51</v>
      </c>
      <c r="W19" s="32" t="n">
        <v>31530</v>
      </c>
      <c r="Y19" s="24" t="s">
        <v>50</v>
      </c>
      <c r="Z19" s="32" t="n">
        <v>0</v>
      </c>
      <c r="AA19" s="13"/>
      <c r="AB19" s="24" t="s">
        <v>51</v>
      </c>
      <c r="AC19" s="32" t="n">
        <v>31530</v>
      </c>
    </row>
    <row r="20" customFormat="false" ht="12.75" hidden="false" customHeight="false" outlineLevel="0" collapsed="false">
      <c r="A20" s="24" t="s">
        <v>52</v>
      </c>
      <c r="B20" s="43" t="n">
        <v>0</v>
      </c>
      <c r="C20" s="13"/>
      <c r="D20" s="24" t="s">
        <v>53</v>
      </c>
      <c r="E20" s="32" t="n">
        <v>0</v>
      </c>
      <c r="G20" s="24" t="s">
        <v>52</v>
      </c>
      <c r="H20" s="43" t="n">
        <v>0</v>
      </c>
      <c r="I20" s="13"/>
      <c r="J20" s="24" t="s">
        <v>53</v>
      </c>
      <c r="K20" s="32" t="n">
        <v>0</v>
      </c>
      <c r="M20" s="24" t="s">
        <v>52</v>
      </c>
      <c r="N20" s="43" t="n">
        <v>0</v>
      </c>
      <c r="O20" s="13"/>
      <c r="P20" s="24" t="s">
        <v>53</v>
      </c>
      <c r="Q20" s="32" t="n">
        <v>0</v>
      </c>
      <c r="S20" s="24" t="s">
        <v>52</v>
      </c>
      <c r="T20" s="43" t="n">
        <v>0</v>
      </c>
      <c r="U20" s="13"/>
      <c r="V20" s="24" t="s">
        <v>53</v>
      </c>
      <c r="W20" s="32" t="n">
        <v>0</v>
      </c>
      <c r="Y20" s="24" t="s">
        <v>52</v>
      </c>
      <c r="Z20" s="43" t="n">
        <v>0</v>
      </c>
      <c r="AA20" s="13"/>
      <c r="AB20" s="24" t="s">
        <v>53</v>
      </c>
      <c r="AC20" s="32" t="n">
        <v>0</v>
      </c>
    </row>
    <row r="21" customFormat="false" ht="12.75" hidden="false" customHeight="false" outlineLevel="0" collapsed="false">
      <c r="A21" s="24" t="s">
        <v>54</v>
      </c>
      <c r="B21" s="43" t="n">
        <v>0</v>
      </c>
      <c r="C21" s="13"/>
      <c r="D21" s="24" t="s">
        <v>45</v>
      </c>
      <c r="E21" s="32" t="n">
        <v>20000</v>
      </c>
      <c r="F21" s="24"/>
      <c r="G21" s="24" t="s">
        <v>54</v>
      </c>
      <c r="H21" s="43" t="n">
        <v>0</v>
      </c>
      <c r="I21" s="13"/>
      <c r="J21" s="24" t="s">
        <v>45</v>
      </c>
      <c r="K21" s="32" t="n">
        <v>20000</v>
      </c>
      <c r="L21" s="24"/>
      <c r="M21" s="24" t="s">
        <v>54</v>
      </c>
      <c r="N21" s="43" t="n">
        <v>0</v>
      </c>
      <c r="O21" s="13"/>
      <c r="P21" s="24" t="s">
        <v>45</v>
      </c>
      <c r="Q21" s="32" t="n">
        <v>20000</v>
      </c>
      <c r="R21" s="24"/>
      <c r="S21" s="24" t="s">
        <v>54</v>
      </c>
      <c r="T21" s="43" t="n">
        <v>0</v>
      </c>
      <c r="U21" s="13"/>
      <c r="V21" s="24" t="s">
        <v>45</v>
      </c>
      <c r="W21" s="32" t="n">
        <v>20000</v>
      </c>
      <c r="X21" s="24"/>
      <c r="Y21" s="24" t="s">
        <v>54</v>
      </c>
      <c r="Z21" s="43" t="n">
        <v>0</v>
      </c>
      <c r="AA21" s="13"/>
      <c r="AB21" s="24" t="s">
        <v>45</v>
      </c>
      <c r="AC21" s="32" t="n">
        <v>20000</v>
      </c>
      <c r="AD21" s="56"/>
    </row>
    <row r="22" customFormat="false" ht="12.75" hidden="false" customHeight="false" outlineLevel="0" collapsed="false">
      <c r="A22" s="24" t="s">
        <v>55</v>
      </c>
      <c r="B22" s="32" t="n">
        <v>0</v>
      </c>
      <c r="D22" s="24" t="s">
        <v>42</v>
      </c>
      <c r="E22" s="32" t="n">
        <v>0</v>
      </c>
      <c r="F22" s="24"/>
      <c r="G22" s="24" t="s">
        <v>55</v>
      </c>
      <c r="H22" s="32" t="n">
        <v>0</v>
      </c>
      <c r="J22" s="24" t="s">
        <v>42</v>
      </c>
      <c r="K22" s="32" t="n">
        <v>0</v>
      </c>
      <c r="L22" s="24"/>
      <c r="M22" s="24" t="s">
        <v>55</v>
      </c>
      <c r="N22" s="32" t="n">
        <v>0</v>
      </c>
      <c r="P22" s="24" t="s">
        <v>42</v>
      </c>
      <c r="Q22" s="32" t="n">
        <v>0</v>
      </c>
      <c r="R22" s="24"/>
      <c r="S22" s="24" t="s">
        <v>55</v>
      </c>
      <c r="T22" s="32" t="n">
        <v>0</v>
      </c>
      <c r="V22" s="24" t="s">
        <v>42</v>
      </c>
      <c r="W22" s="32" t="n">
        <v>0</v>
      </c>
      <c r="X22" s="24"/>
      <c r="Y22" s="24" t="s">
        <v>55</v>
      </c>
      <c r="Z22" s="32" t="n">
        <v>0</v>
      </c>
      <c r="AB22" s="24" t="s">
        <v>42</v>
      </c>
      <c r="AC22" s="32" t="n">
        <v>0</v>
      </c>
      <c r="AD22" s="56"/>
    </row>
    <row r="23" customFormat="false" ht="12.75" hidden="false" customHeight="false" outlineLevel="0" collapsed="false">
      <c r="A23" s="24" t="s">
        <v>56</v>
      </c>
      <c r="B23" s="32" t="n">
        <v>0</v>
      </c>
      <c r="C23" s="13"/>
      <c r="D23" s="24" t="s">
        <v>57</v>
      </c>
      <c r="E23" s="32" t="n">
        <v>7000</v>
      </c>
      <c r="F23" s="13" t="n">
        <v>0</v>
      </c>
      <c r="G23" s="24" t="s">
        <v>56</v>
      </c>
      <c r="H23" s="32" t="n">
        <v>0</v>
      </c>
      <c r="I23" s="13"/>
      <c r="J23" s="24" t="s">
        <v>57</v>
      </c>
      <c r="K23" s="32" t="n">
        <v>7000</v>
      </c>
      <c r="L23" s="13" t="n">
        <v>0</v>
      </c>
      <c r="M23" s="24" t="s">
        <v>56</v>
      </c>
      <c r="N23" s="32" t="n">
        <v>0</v>
      </c>
      <c r="O23" s="13"/>
      <c r="P23" s="24" t="s">
        <v>57</v>
      </c>
      <c r="Q23" s="32" t="n">
        <v>7000</v>
      </c>
      <c r="R23" s="13" t="n">
        <v>0</v>
      </c>
      <c r="S23" s="24" t="s">
        <v>56</v>
      </c>
      <c r="T23" s="32" t="n">
        <v>0</v>
      </c>
      <c r="U23" s="13"/>
      <c r="V23" s="24" t="s">
        <v>57</v>
      </c>
      <c r="W23" s="32" t="n">
        <v>7000</v>
      </c>
      <c r="X23" s="13" t="n">
        <v>0</v>
      </c>
      <c r="Y23" s="24" t="s">
        <v>56</v>
      </c>
      <c r="Z23" s="32" t="n">
        <v>0</v>
      </c>
      <c r="AA23" s="13"/>
      <c r="AB23" s="24" t="s">
        <v>57</v>
      </c>
      <c r="AC23" s="32" t="n">
        <v>7000</v>
      </c>
      <c r="AD23" s="13" t="n">
        <v>0</v>
      </c>
    </row>
    <row r="24" customFormat="false" ht="12.75" hidden="false" customHeight="false" outlineLevel="0" collapsed="false">
      <c r="A24" s="24" t="s">
        <v>58</v>
      </c>
      <c r="B24" s="32" t="n">
        <v>0</v>
      </c>
      <c r="C24" s="13" t="n">
        <v>0</v>
      </c>
      <c r="D24" s="24" t="s">
        <v>59</v>
      </c>
      <c r="E24" s="32" t="n">
        <v>7000</v>
      </c>
      <c r="F24" s="13" t="n">
        <v>0</v>
      </c>
      <c r="G24" s="24" t="s">
        <v>58</v>
      </c>
      <c r="H24" s="32" t="n">
        <v>0</v>
      </c>
      <c r="I24" s="13" t="n">
        <v>0</v>
      </c>
      <c r="J24" s="24" t="s">
        <v>59</v>
      </c>
      <c r="K24" s="32" t="n">
        <v>7000</v>
      </c>
      <c r="L24" s="13" t="n">
        <v>0</v>
      </c>
      <c r="M24" s="24" t="s">
        <v>58</v>
      </c>
      <c r="N24" s="32" t="n">
        <v>0</v>
      </c>
      <c r="O24" s="13" t="n">
        <v>0</v>
      </c>
      <c r="P24" s="24" t="s">
        <v>59</v>
      </c>
      <c r="Q24" s="32" t="n">
        <v>7000</v>
      </c>
      <c r="R24" s="13" t="n">
        <v>0</v>
      </c>
      <c r="S24" s="24" t="s">
        <v>58</v>
      </c>
      <c r="T24" s="32" t="n">
        <v>0</v>
      </c>
      <c r="U24" s="13" t="n">
        <v>0</v>
      </c>
      <c r="V24" s="24" t="s">
        <v>59</v>
      </c>
      <c r="W24" s="32" t="n">
        <v>7000</v>
      </c>
      <c r="X24" s="13" t="n">
        <v>0</v>
      </c>
      <c r="Y24" s="24" t="s">
        <v>58</v>
      </c>
      <c r="Z24" s="32" t="n">
        <v>0</v>
      </c>
      <c r="AA24" s="13" t="n">
        <v>0</v>
      </c>
      <c r="AB24" s="24" t="s">
        <v>59</v>
      </c>
      <c r="AC24" s="32" t="n">
        <v>7000</v>
      </c>
      <c r="AD24" s="13" t="n">
        <v>0</v>
      </c>
    </row>
    <row r="25" customFormat="false" ht="12.75" hidden="false" customHeight="false" outlineLevel="0" collapsed="false">
      <c r="A25" s="24" t="s">
        <v>60</v>
      </c>
      <c r="B25" s="32" t="n">
        <v>0</v>
      </c>
      <c r="C25" s="13"/>
      <c r="D25" s="24" t="s">
        <v>61</v>
      </c>
      <c r="E25" s="32" t="n">
        <v>10000</v>
      </c>
      <c r="G25" s="24" t="s">
        <v>60</v>
      </c>
      <c r="H25" s="32" t="n">
        <v>0</v>
      </c>
      <c r="I25" s="13"/>
      <c r="J25" s="24" t="s">
        <v>61</v>
      </c>
      <c r="K25" s="32" t="n">
        <v>10000</v>
      </c>
      <c r="M25" s="24" t="s">
        <v>60</v>
      </c>
      <c r="N25" s="32" t="n">
        <v>0</v>
      </c>
      <c r="O25" s="13"/>
      <c r="P25" s="24" t="s">
        <v>61</v>
      </c>
      <c r="Q25" s="32" t="n">
        <v>10000</v>
      </c>
      <c r="S25" s="24" t="s">
        <v>60</v>
      </c>
      <c r="T25" s="32" t="n">
        <v>0</v>
      </c>
      <c r="U25" s="13"/>
      <c r="V25" s="24" t="s">
        <v>61</v>
      </c>
      <c r="W25" s="32" t="n">
        <v>10000</v>
      </c>
      <c r="Y25" s="24" t="s">
        <v>60</v>
      </c>
      <c r="Z25" s="32" t="n">
        <v>0</v>
      </c>
      <c r="AA25" s="13"/>
      <c r="AB25" s="24" t="s">
        <v>61</v>
      </c>
      <c r="AC25" s="32" t="n">
        <v>10000</v>
      </c>
    </row>
    <row r="26" customFormat="false" ht="12.75" hidden="false" customHeight="false" outlineLevel="0" collapsed="false">
      <c r="A26" s="24" t="s">
        <v>62</v>
      </c>
      <c r="B26" s="32" t="n">
        <v>-1600</v>
      </c>
      <c r="D26" s="24" t="s">
        <v>63</v>
      </c>
      <c r="E26" s="32" t="n">
        <v>0</v>
      </c>
      <c r="G26" s="24" t="s">
        <v>62</v>
      </c>
      <c r="H26" s="32" t="n">
        <v>-1600</v>
      </c>
      <c r="J26" s="24" t="s">
        <v>63</v>
      </c>
      <c r="K26" s="32" t="n">
        <v>0</v>
      </c>
      <c r="M26" s="24" t="s">
        <v>62</v>
      </c>
      <c r="N26" s="32" t="n">
        <v>-1600</v>
      </c>
      <c r="P26" s="24" t="s">
        <v>63</v>
      </c>
      <c r="Q26" s="32" t="n">
        <v>0</v>
      </c>
      <c r="S26" s="24" t="s">
        <v>62</v>
      </c>
      <c r="T26" s="32" t="n">
        <v>-2400</v>
      </c>
      <c r="V26" s="24" t="s">
        <v>63</v>
      </c>
      <c r="W26" s="32" t="n">
        <v>0</v>
      </c>
      <c r="Y26" s="24" t="s">
        <v>62</v>
      </c>
      <c r="Z26" s="32" t="n">
        <v>-1600</v>
      </c>
      <c r="AB26" s="24" t="s">
        <v>63</v>
      </c>
      <c r="AC26" s="32" t="n">
        <v>0</v>
      </c>
    </row>
    <row r="27" customFormat="false" ht="12.75" hidden="false" customHeight="false" outlineLevel="0" collapsed="false">
      <c r="A27" s="24" t="s">
        <v>64</v>
      </c>
      <c r="B27" s="32" t="n">
        <v>-10000</v>
      </c>
      <c r="C27" s="13"/>
      <c r="D27" s="24" t="s">
        <v>65</v>
      </c>
      <c r="E27" s="43" t="n">
        <v>0</v>
      </c>
      <c r="G27" s="24" t="s">
        <v>64</v>
      </c>
      <c r="H27" s="32" t="n">
        <v>-10000</v>
      </c>
      <c r="I27" s="13"/>
      <c r="J27" s="24" t="s">
        <v>65</v>
      </c>
      <c r="K27" s="43" t="n">
        <v>0</v>
      </c>
      <c r="M27" s="24" t="s">
        <v>64</v>
      </c>
      <c r="N27" s="32" t="n">
        <v>-10000</v>
      </c>
      <c r="O27" s="13"/>
      <c r="P27" s="24" t="s">
        <v>65</v>
      </c>
      <c r="Q27" s="43" t="n">
        <v>0</v>
      </c>
      <c r="S27" s="24" t="s">
        <v>64</v>
      </c>
      <c r="T27" s="32" t="n">
        <v>-10000</v>
      </c>
      <c r="U27" s="13"/>
      <c r="V27" s="24" t="s">
        <v>65</v>
      </c>
      <c r="W27" s="43" t="n">
        <v>0</v>
      </c>
      <c r="Y27" s="24" t="s">
        <v>64</v>
      </c>
      <c r="Z27" s="32" t="n">
        <v>-10000</v>
      </c>
      <c r="AA27" s="13"/>
      <c r="AB27" s="24" t="s">
        <v>65</v>
      </c>
      <c r="AC27" s="43" t="n">
        <v>0</v>
      </c>
    </row>
    <row r="28" customFormat="false" ht="13.5" hidden="false" customHeight="false" outlineLevel="0" collapsed="false">
      <c r="A28" s="24" t="s">
        <v>66</v>
      </c>
      <c r="B28" s="32" t="n">
        <v>0</v>
      </c>
      <c r="C28" s="45" t="n">
        <f aca="false">SUM(B29,B63)</f>
        <v>0</v>
      </c>
      <c r="D28" s="24" t="s">
        <v>67</v>
      </c>
      <c r="E28" s="32" t="n">
        <v>0</v>
      </c>
      <c r="G28" s="24" t="s">
        <v>66</v>
      </c>
      <c r="H28" s="32" t="n">
        <v>0</v>
      </c>
      <c r="I28" s="45" t="n">
        <f aca="false">SUM(H29,H63)</f>
        <v>-93302</v>
      </c>
      <c r="J28" s="24" t="s">
        <v>67</v>
      </c>
      <c r="K28" s="32" t="n">
        <v>0</v>
      </c>
      <c r="M28" s="24" t="s">
        <v>66</v>
      </c>
      <c r="N28" s="32" t="n">
        <v>0</v>
      </c>
      <c r="O28" s="45" t="n">
        <f aca="false">SUM(N29,N63)</f>
        <v>0</v>
      </c>
      <c r="P28" s="24" t="s">
        <v>67</v>
      </c>
      <c r="Q28" s="32" t="n">
        <v>0</v>
      </c>
      <c r="S28" s="24" t="s">
        <v>66</v>
      </c>
      <c r="T28" s="32" t="n">
        <v>0</v>
      </c>
      <c r="U28" s="45" t="n">
        <f aca="false">SUM(T29,T63)</f>
        <v>0</v>
      </c>
      <c r="V28" s="44" t="s">
        <v>67</v>
      </c>
      <c r="W28" s="43" t="n">
        <v>15359</v>
      </c>
      <c r="Y28" s="44" t="s">
        <v>66</v>
      </c>
      <c r="Z28" s="43" t="n">
        <v>-16349</v>
      </c>
      <c r="AA28" s="45" t="n">
        <f aca="false">SUM(Z29,Z63)</f>
        <v>0</v>
      </c>
      <c r="AB28" s="24" t="s">
        <v>67</v>
      </c>
      <c r="AC28" s="32" t="n">
        <v>0</v>
      </c>
    </row>
    <row r="29" customFormat="false" ht="13.5" hidden="false" customHeight="false" outlineLevel="0" collapsed="false">
      <c r="A29" s="41" t="s">
        <v>44</v>
      </c>
      <c r="B29" s="42" t="n">
        <f aca="false">SUM(B6:B28)+B12</f>
        <v>-805932</v>
      </c>
      <c r="C29" s="13"/>
      <c r="D29" s="41" t="s">
        <v>68</v>
      </c>
      <c r="E29" s="42" t="n">
        <f aca="false">SUM(E16:E28)</f>
        <v>124641</v>
      </c>
      <c r="G29" s="41" t="s">
        <v>44</v>
      </c>
      <c r="H29" s="42" t="n">
        <f aca="false">SUM(H6:H28)+H12</f>
        <v>-805932</v>
      </c>
      <c r="I29" s="13"/>
      <c r="J29" s="41" t="s">
        <v>68</v>
      </c>
      <c r="K29" s="42" t="n">
        <f aca="false">SUM(K16:K28)</f>
        <v>124641</v>
      </c>
      <c r="M29" s="41" t="s">
        <v>44</v>
      </c>
      <c r="N29" s="42" t="n">
        <f aca="false">SUM(N6:N28)+N12</f>
        <v>-820932</v>
      </c>
      <c r="O29" s="13"/>
      <c r="P29" s="41" t="s">
        <v>68</v>
      </c>
      <c r="Q29" s="42" t="n">
        <f aca="false">SUM(Q16:Q28)</f>
        <v>124641</v>
      </c>
      <c r="S29" s="41" t="s">
        <v>44</v>
      </c>
      <c r="T29" s="42" t="n">
        <f aca="false">SUM(T6:T28)+T12</f>
        <v>-906732</v>
      </c>
      <c r="U29" s="13"/>
      <c r="V29" s="41" t="s">
        <v>68</v>
      </c>
      <c r="W29" s="42" t="n">
        <f aca="false">SUM(W16:W28)</f>
        <v>140000</v>
      </c>
      <c r="Y29" s="41" t="s">
        <v>44</v>
      </c>
      <c r="Z29" s="42" t="n">
        <f aca="false">SUM(Z6:Z28)+Z12</f>
        <v>-759281</v>
      </c>
      <c r="AA29" s="13"/>
      <c r="AB29" s="41" t="s">
        <v>68</v>
      </c>
      <c r="AC29" s="42" t="n">
        <f aca="false">SUM(AC16:AC28)</f>
        <v>124641</v>
      </c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24"/>
      <c r="H30" s="32"/>
      <c r="I30" s="13"/>
      <c r="J30" s="33"/>
      <c r="K30" s="47"/>
      <c r="L30" s="13"/>
      <c r="M30" s="24"/>
      <c r="N30" s="32"/>
      <c r="O30" s="13"/>
      <c r="P30" s="33"/>
      <c r="Q30" s="47"/>
      <c r="R30" s="13"/>
      <c r="S30" s="24"/>
      <c r="T30" s="32"/>
      <c r="U30" s="13"/>
      <c r="V30" s="33"/>
      <c r="W30" s="47"/>
      <c r="X30" s="13"/>
      <c r="Y30" s="24"/>
      <c r="Z30" s="32"/>
      <c r="AA30" s="13"/>
      <c r="AB30" s="33"/>
      <c r="AC30" s="47"/>
      <c r="AD30" s="13"/>
    </row>
    <row r="31" customFormat="false" ht="12.75" hidden="false" customHeight="false" outlineLevel="0" collapsed="false">
      <c r="A31" s="24" t="s">
        <v>46</v>
      </c>
      <c r="B31" s="32" t="n">
        <v>187134</v>
      </c>
      <c r="C31" s="13"/>
      <c r="E31" s="10"/>
      <c r="G31" s="24" t="s">
        <v>46</v>
      </c>
      <c r="H31" s="32" t="n">
        <v>187134</v>
      </c>
      <c r="I31" s="13"/>
      <c r="K31" s="10"/>
      <c r="M31" s="24" t="s">
        <v>46</v>
      </c>
      <c r="N31" s="32" t="n">
        <v>187134</v>
      </c>
      <c r="O31" s="13"/>
      <c r="S31" s="24" t="s">
        <v>46</v>
      </c>
      <c r="T31" s="32" t="n">
        <v>187134</v>
      </c>
      <c r="U31" s="13"/>
      <c r="Y31" s="24" t="s">
        <v>46</v>
      </c>
      <c r="Z31" s="32" t="n">
        <v>187134</v>
      </c>
      <c r="AA31" s="13"/>
    </row>
    <row r="32" customFormat="false" ht="12.75" hidden="false" customHeight="false" outlineLevel="0" collapsed="false">
      <c r="A32" s="24" t="s">
        <v>47</v>
      </c>
      <c r="B32" s="32" t="n">
        <v>125000</v>
      </c>
      <c r="C32" s="13"/>
      <c r="E32" s="10"/>
      <c r="G32" s="24" t="s">
        <v>47</v>
      </c>
      <c r="H32" s="32" t="n">
        <v>125000</v>
      </c>
      <c r="I32" s="13"/>
      <c r="K32" s="10"/>
      <c r="M32" s="24" t="s">
        <v>47</v>
      </c>
      <c r="N32" s="32" t="n">
        <v>125000</v>
      </c>
      <c r="O32" s="13"/>
      <c r="S32" s="24" t="s">
        <v>47</v>
      </c>
      <c r="T32" s="32" t="n">
        <v>125000</v>
      </c>
      <c r="U32" s="13"/>
      <c r="Y32" s="24" t="s">
        <v>47</v>
      </c>
      <c r="Z32" s="32" t="n">
        <v>125000</v>
      </c>
      <c r="AA32" s="13"/>
    </row>
    <row r="33" customFormat="false" ht="12.75" hidden="false" customHeight="false" outlineLevel="0" collapsed="false">
      <c r="A33" s="24" t="s">
        <v>49</v>
      </c>
      <c r="B33" s="32" t="n">
        <v>0</v>
      </c>
      <c r="C33" s="13"/>
      <c r="D33" s="49"/>
      <c r="G33" s="24" t="s">
        <v>49</v>
      </c>
      <c r="H33" s="32" t="n">
        <v>0</v>
      </c>
      <c r="I33" s="13"/>
      <c r="J33" s="49"/>
      <c r="M33" s="24" t="s">
        <v>49</v>
      </c>
      <c r="N33" s="32" t="n">
        <v>0</v>
      </c>
      <c r="O33" s="13"/>
      <c r="S33" s="24" t="s">
        <v>49</v>
      </c>
      <c r="T33" s="32" t="n">
        <v>0</v>
      </c>
      <c r="U33" s="13"/>
      <c r="Y33" s="24" t="s">
        <v>49</v>
      </c>
      <c r="Z33" s="32" t="n">
        <v>0</v>
      </c>
      <c r="AA33" s="13"/>
    </row>
    <row r="34" customFormat="false" ht="12.75" hidden="false" customHeight="false" outlineLevel="0" collapsed="false">
      <c r="A34" s="24" t="s">
        <v>51</v>
      </c>
      <c r="B34" s="32" t="n">
        <v>264598</v>
      </c>
      <c r="C34" s="13"/>
      <c r="G34" s="24" t="s">
        <v>51</v>
      </c>
      <c r="H34" s="32" t="n">
        <v>264598</v>
      </c>
      <c r="I34" s="13"/>
      <c r="M34" s="24" t="s">
        <v>51</v>
      </c>
      <c r="N34" s="32" t="n">
        <v>264598</v>
      </c>
      <c r="O34" s="13"/>
      <c r="S34" s="24" t="s">
        <v>51</v>
      </c>
      <c r="T34" s="32" t="n">
        <v>264598</v>
      </c>
      <c r="U34" s="13"/>
      <c r="Y34" s="24" t="s">
        <v>51</v>
      </c>
      <c r="Z34" s="32" t="n">
        <v>264598</v>
      </c>
      <c r="AA34" s="13"/>
    </row>
    <row r="35" customFormat="false" ht="12.75" hidden="false" customHeight="false" outlineLevel="0" collapsed="false">
      <c r="A35" s="24" t="s">
        <v>69</v>
      </c>
      <c r="B35" s="43" t="n">
        <v>0</v>
      </c>
      <c r="C35" s="10"/>
      <c r="G35" s="24" t="s">
        <v>69</v>
      </c>
      <c r="H35" s="43" t="n">
        <v>0</v>
      </c>
      <c r="I35" s="10"/>
      <c r="M35" s="24" t="s">
        <v>69</v>
      </c>
      <c r="N35" s="43" t="n">
        <v>0</v>
      </c>
      <c r="O35" s="10"/>
      <c r="S35" s="24" t="s">
        <v>69</v>
      </c>
      <c r="T35" s="43" t="n">
        <v>0</v>
      </c>
      <c r="U35" s="10"/>
      <c r="Y35" s="24" t="s">
        <v>69</v>
      </c>
      <c r="Z35" s="43" t="n">
        <v>0</v>
      </c>
      <c r="AA35" s="10"/>
    </row>
    <row r="36" customFormat="false" ht="12.75" hidden="false" customHeight="false" outlineLevel="0" collapsed="false">
      <c r="A36" s="24" t="s">
        <v>70</v>
      </c>
      <c r="B36" s="43" t="n">
        <v>0</v>
      </c>
      <c r="C36" s="10"/>
      <c r="G36" s="24" t="s">
        <v>70</v>
      </c>
      <c r="H36" s="43" t="n">
        <v>0</v>
      </c>
      <c r="I36" s="10"/>
      <c r="M36" s="24" t="s">
        <v>70</v>
      </c>
      <c r="N36" s="43" t="n">
        <v>0</v>
      </c>
      <c r="O36" s="10"/>
      <c r="S36" s="24" t="s">
        <v>70</v>
      </c>
      <c r="T36" s="43" t="n">
        <v>0</v>
      </c>
      <c r="U36" s="10"/>
      <c r="Y36" s="24" t="s">
        <v>70</v>
      </c>
      <c r="Z36" s="43" t="n">
        <v>0</v>
      </c>
      <c r="AA36" s="10"/>
    </row>
    <row r="37" customFormat="false" ht="12.75" hidden="false" customHeight="false" outlineLevel="0" collapsed="false">
      <c r="A37" s="24" t="s">
        <v>71</v>
      </c>
      <c r="B37" s="32" t="n">
        <v>0</v>
      </c>
      <c r="C37" s="12"/>
      <c r="D37" s="61"/>
      <c r="G37" s="24" t="s">
        <v>71</v>
      </c>
      <c r="H37" s="32" t="n">
        <v>0</v>
      </c>
      <c r="I37" s="12"/>
      <c r="J37" s="61"/>
      <c r="M37" s="24" t="s">
        <v>71</v>
      </c>
      <c r="N37" s="32" t="n">
        <v>0</v>
      </c>
      <c r="O37" s="12"/>
      <c r="S37" s="24" t="s">
        <v>71</v>
      </c>
      <c r="T37" s="32" t="n">
        <v>0</v>
      </c>
      <c r="U37" s="12"/>
      <c r="Y37" s="24" t="s">
        <v>71</v>
      </c>
      <c r="Z37" s="32" t="n">
        <v>0</v>
      </c>
      <c r="AA37" s="12"/>
    </row>
    <row r="38" customFormat="false" ht="12.75" hidden="false" customHeight="false" outlineLevel="0" collapsed="false">
      <c r="A38" s="24" t="s">
        <v>72</v>
      </c>
      <c r="B38" s="32" t="n">
        <v>0</v>
      </c>
      <c r="C38" s="50"/>
      <c r="D38" s="51"/>
      <c r="E38" s="13"/>
      <c r="G38" s="24" t="s">
        <v>72</v>
      </c>
      <c r="H38" s="32" t="n">
        <v>0</v>
      </c>
      <c r="I38" s="50"/>
      <c r="J38" s="51"/>
      <c r="K38" s="13"/>
      <c r="M38" s="24" t="s">
        <v>72</v>
      </c>
      <c r="N38" s="32" t="n">
        <v>0</v>
      </c>
      <c r="O38" s="50"/>
      <c r="S38" s="24" t="s">
        <v>72</v>
      </c>
      <c r="T38" s="32" t="n">
        <v>0</v>
      </c>
      <c r="U38" s="50"/>
      <c r="Y38" s="24" t="s">
        <v>72</v>
      </c>
      <c r="Z38" s="32" t="n">
        <v>0</v>
      </c>
      <c r="AA38" s="50"/>
    </row>
    <row r="39" customFormat="false" ht="12.75" hidden="false" customHeight="false" outlineLevel="0" collapsed="false">
      <c r="A39" s="24" t="s">
        <v>73</v>
      </c>
      <c r="B39" s="32" t="n">
        <v>0</v>
      </c>
      <c r="C39" s="12"/>
      <c r="G39" s="24" t="s">
        <v>73</v>
      </c>
      <c r="H39" s="32" t="n">
        <v>0</v>
      </c>
      <c r="I39" s="12"/>
      <c r="M39" s="24" t="s">
        <v>73</v>
      </c>
      <c r="N39" s="32" t="n">
        <v>0</v>
      </c>
      <c r="O39" s="12"/>
      <c r="S39" s="24" t="s">
        <v>73</v>
      </c>
      <c r="T39" s="32" t="n">
        <v>0</v>
      </c>
      <c r="U39" s="12"/>
      <c r="Y39" s="24" t="s">
        <v>73</v>
      </c>
      <c r="Z39" s="32" t="n">
        <v>0</v>
      </c>
      <c r="AA39" s="12"/>
    </row>
    <row r="40" customFormat="false" ht="12.75" hidden="false" customHeight="false" outlineLevel="0" collapsed="false">
      <c r="A40" s="24" t="s">
        <v>74</v>
      </c>
      <c r="B40" s="32" t="n">
        <v>0</v>
      </c>
      <c r="G40" s="24" t="s">
        <v>74</v>
      </c>
      <c r="H40" s="32" t="n">
        <v>0</v>
      </c>
      <c r="M40" s="24" t="s">
        <v>74</v>
      </c>
      <c r="N40" s="32" t="n">
        <v>0</v>
      </c>
      <c r="S40" s="24" t="s">
        <v>74</v>
      </c>
      <c r="T40" s="32" t="n">
        <v>0</v>
      </c>
      <c r="Y40" s="24" t="s">
        <v>74</v>
      </c>
      <c r="Z40" s="32" t="n">
        <v>0</v>
      </c>
    </row>
    <row r="41" customFormat="false" ht="12.75" hidden="false" customHeight="false" outlineLevel="0" collapsed="false">
      <c r="A41" s="24" t="s">
        <v>75</v>
      </c>
      <c r="B41" s="32" t="n">
        <v>7383</v>
      </c>
      <c r="C41" s="13"/>
      <c r="G41" s="24" t="s">
        <v>75</v>
      </c>
      <c r="H41" s="32" t="n">
        <v>7383</v>
      </c>
      <c r="I41" s="13"/>
      <c r="M41" s="24" t="s">
        <v>75</v>
      </c>
      <c r="N41" s="32" t="n">
        <v>7383</v>
      </c>
      <c r="O41" s="13"/>
      <c r="S41" s="24" t="s">
        <v>75</v>
      </c>
      <c r="T41" s="32" t="n">
        <v>7383</v>
      </c>
      <c r="U41" s="13"/>
      <c r="Y41" s="24" t="s">
        <v>75</v>
      </c>
      <c r="Z41" s="32" t="n">
        <v>7383</v>
      </c>
      <c r="AA41" s="13"/>
    </row>
    <row r="42" customFormat="false" ht="12.75" hidden="false" customHeight="false" outlineLevel="0" collapsed="false">
      <c r="A42" s="24" t="s">
        <v>18</v>
      </c>
      <c r="B42" s="32" t="n">
        <v>0</v>
      </c>
      <c r="G42" s="24" t="s">
        <v>18</v>
      </c>
      <c r="H42" s="32" t="n">
        <v>0</v>
      </c>
      <c r="M42" s="24" t="s">
        <v>18</v>
      </c>
      <c r="N42" s="32" t="n">
        <v>0</v>
      </c>
      <c r="S42" s="24" t="s">
        <v>18</v>
      </c>
      <c r="T42" s="32" t="n">
        <v>0</v>
      </c>
      <c r="Y42" s="24" t="s">
        <v>18</v>
      </c>
      <c r="Z42" s="32" t="n">
        <v>0</v>
      </c>
    </row>
    <row r="43" customFormat="false" ht="12.75" hidden="false" customHeight="false" outlineLevel="0" collapsed="false">
      <c r="A43" s="24" t="s">
        <v>43</v>
      </c>
      <c r="B43" s="32" t="n">
        <v>0</v>
      </c>
      <c r="E43" s="10"/>
      <c r="G43" s="24" t="s">
        <v>43</v>
      </c>
      <c r="H43" s="32" t="n">
        <v>0</v>
      </c>
      <c r="K43" s="10"/>
      <c r="M43" s="24" t="s">
        <v>43</v>
      </c>
      <c r="N43" s="32" t="n">
        <v>0</v>
      </c>
      <c r="S43" s="24" t="s">
        <v>43</v>
      </c>
      <c r="T43" s="32" t="n">
        <v>0</v>
      </c>
      <c r="Y43" s="24" t="s">
        <v>43</v>
      </c>
      <c r="Z43" s="32" t="n">
        <v>0</v>
      </c>
    </row>
    <row r="44" customFormat="false" ht="12.75" hidden="false" customHeight="false" outlineLevel="0" collapsed="false">
      <c r="A44" s="24" t="s">
        <v>76</v>
      </c>
      <c r="B44" s="53"/>
      <c r="C44" s="13"/>
      <c r="E44" s="10"/>
      <c r="G44" s="24" t="s">
        <v>76</v>
      </c>
      <c r="H44" s="53"/>
      <c r="I44" s="13"/>
      <c r="K44" s="10"/>
      <c r="M44" s="24" t="s">
        <v>76</v>
      </c>
      <c r="N44" s="53"/>
      <c r="O44" s="13"/>
      <c r="S44" s="24" t="s">
        <v>76</v>
      </c>
      <c r="T44" s="53"/>
      <c r="U44" s="13"/>
      <c r="Y44" s="24" t="s">
        <v>76</v>
      </c>
      <c r="Z44" s="53"/>
      <c r="AA44" s="13"/>
    </row>
    <row r="45" customFormat="false" ht="12.75" hidden="false" customHeight="false" outlineLevel="0" collapsed="false">
      <c r="A45" s="24" t="s">
        <v>77</v>
      </c>
      <c r="B45" s="32" t="n">
        <v>0</v>
      </c>
      <c r="E45" s="10"/>
      <c r="G45" s="24" t="s">
        <v>77</v>
      </c>
      <c r="H45" s="32" t="n">
        <v>0</v>
      </c>
      <c r="K45" s="10"/>
      <c r="M45" s="24" t="s">
        <v>77</v>
      </c>
      <c r="N45" s="32" t="n">
        <v>0</v>
      </c>
      <c r="S45" s="24" t="s">
        <v>77</v>
      </c>
      <c r="T45" s="32" t="n">
        <v>0</v>
      </c>
      <c r="Y45" s="24" t="s">
        <v>77</v>
      </c>
      <c r="Z45" s="32" t="n">
        <v>0</v>
      </c>
    </row>
    <row r="46" customFormat="false" ht="12.75" hidden="false" customHeight="false" outlineLevel="0" collapsed="false">
      <c r="A46" s="24" t="s">
        <v>78</v>
      </c>
      <c r="B46" s="32" t="n">
        <v>20666</v>
      </c>
      <c r="C46" s="13"/>
      <c r="E46" s="10"/>
      <c r="G46" s="24" t="s">
        <v>78</v>
      </c>
      <c r="H46" s="32" t="n">
        <v>20666</v>
      </c>
      <c r="I46" s="13"/>
      <c r="K46" s="10"/>
      <c r="M46" s="24" t="s">
        <v>78</v>
      </c>
      <c r="N46" s="32" t="n">
        <v>20666</v>
      </c>
      <c r="O46" s="13"/>
      <c r="S46" s="24" t="s">
        <v>78</v>
      </c>
      <c r="T46" s="32" t="n">
        <v>20666</v>
      </c>
      <c r="U46" s="13"/>
      <c r="Y46" s="24" t="s">
        <v>78</v>
      </c>
      <c r="Z46" s="32" t="n">
        <v>20666</v>
      </c>
      <c r="AA46" s="13"/>
    </row>
    <row r="47" customFormat="false" ht="12.75" hidden="false" customHeight="false" outlineLevel="0" collapsed="false">
      <c r="A47" s="24" t="s">
        <v>79</v>
      </c>
      <c r="B47" s="32" t="n">
        <v>18000</v>
      </c>
      <c r="G47" s="24" t="s">
        <v>79</v>
      </c>
      <c r="H47" s="32" t="n">
        <v>18000</v>
      </c>
      <c r="M47" s="24" t="s">
        <v>79</v>
      </c>
      <c r="N47" s="32" t="n">
        <v>18000</v>
      </c>
      <c r="S47" s="24" t="s">
        <v>79</v>
      </c>
      <c r="T47" s="32" t="n">
        <v>18000</v>
      </c>
      <c r="Y47" s="24" t="s">
        <v>79</v>
      </c>
      <c r="Z47" s="32" t="n">
        <v>18000</v>
      </c>
    </row>
    <row r="48" customFormat="false" ht="12.75" hidden="false" customHeight="false" outlineLevel="0" collapsed="false">
      <c r="A48" s="24" t="s">
        <v>80</v>
      </c>
      <c r="B48" s="32" t="n">
        <v>0</v>
      </c>
      <c r="E48" s="10"/>
      <c r="G48" s="24" t="s">
        <v>80</v>
      </c>
      <c r="H48" s="32" t="n">
        <v>0</v>
      </c>
      <c r="K48" s="10"/>
      <c r="M48" s="24" t="s">
        <v>80</v>
      </c>
      <c r="N48" s="32" t="n">
        <v>0</v>
      </c>
      <c r="S48" s="24" t="s">
        <v>80</v>
      </c>
      <c r="T48" s="32" t="n">
        <v>0</v>
      </c>
      <c r="Y48" s="24" t="s">
        <v>80</v>
      </c>
      <c r="Z48" s="32" t="n">
        <v>0</v>
      </c>
    </row>
    <row r="49" customFormat="false" ht="12.75" hidden="false" customHeight="false" outlineLevel="0" collapsed="false">
      <c r="A49" s="24" t="s">
        <v>53</v>
      </c>
      <c r="B49" s="32"/>
      <c r="C49" s="13" t="s">
        <v>22</v>
      </c>
      <c r="E49" s="10"/>
      <c r="G49" s="24" t="s">
        <v>53</v>
      </c>
      <c r="H49" s="32"/>
      <c r="I49" s="13" t="s">
        <v>22</v>
      </c>
      <c r="K49" s="10"/>
      <c r="M49" s="24" t="s">
        <v>53</v>
      </c>
      <c r="N49" s="32"/>
      <c r="O49" s="13" t="s">
        <v>22</v>
      </c>
      <c r="S49" s="24" t="s">
        <v>53</v>
      </c>
      <c r="T49" s="32"/>
      <c r="U49" s="13" t="s">
        <v>22</v>
      </c>
      <c r="Y49" s="24" t="s">
        <v>53</v>
      </c>
      <c r="Z49" s="32"/>
      <c r="AA49" s="13" t="s">
        <v>22</v>
      </c>
    </row>
    <row r="50" customFormat="false" ht="12.75" hidden="false" customHeight="false" outlineLevel="0" collapsed="false">
      <c r="A50" s="24" t="s">
        <v>45</v>
      </c>
      <c r="B50" s="32" t="n">
        <v>35000</v>
      </c>
      <c r="E50" s="10"/>
      <c r="G50" s="24" t="s">
        <v>45</v>
      </c>
      <c r="H50" s="32" t="n">
        <v>35000</v>
      </c>
      <c r="K50" s="10"/>
      <c r="M50" s="24" t="s">
        <v>45</v>
      </c>
      <c r="N50" s="32" t="n">
        <v>35000</v>
      </c>
      <c r="S50" s="24" t="s">
        <v>45</v>
      </c>
      <c r="T50" s="32" t="n">
        <v>35000</v>
      </c>
      <c r="Y50" s="24" t="s">
        <v>45</v>
      </c>
      <c r="Z50" s="32" t="n">
        <v>35000</v>
      </c>
    </row>
    <row r="51" customFormat="false" ht="12.75" hidden="false" customHeight="false" outlineLevel="0" collapsed="false">
      <c r="A51" s="24" t="s">
        <v>42</v>
      </c>
      <c r="B51" s="32" t="n">
        <v>0</v>
      </c>
      <c r="E51" s="10"/>
      <c r="G51" s="24" t="s">
        <v>42</v>
      </c>
      <c r="H51" s="32" t="n">
        <v>0</v>
      </c>
      <c r="K51" s="10"/>
      <c r="M51" s="24" t="s">
        <v>42</v>
      </c>
      <c r="N51" s="32" t="n">
        <v>0</v>
      </c>
      <c r="S51" s="24" t="s">
        <v>42</v>
      </c>
      <c r="T51" s="32" t="n">
        <v>0</v>
      </c>
      <c r="Y51" s="24" t="s">
        <v>42</v>
      </c>
      <c r="Z51" s="32" t="n">
        <v>0</v>
      </c>
    </row>
    <row r="52" customFormat="false" ht="12.75" hidden="false" customHeight="false" outlineLevel="0" collapsed="false">
      <c r="A52" s="24" t="s">
        <v>48</v>
      </c>
      <c r="B52" s="43" t="n">
        <v>0</v>
      </c>
      <c r="C52" s="13"/>
      <c r="E52" s="10"/>
      <c r="G52" s="24" t="s">
        <v>48</v>
      </c>
      <c r="H52" s="43" t="n">
        <v>0</v>
      </c>
      <c r="I52" s="13"/>
      <c r="K52" s="10"/>
      <c r="M52" s="24" t="s">
        <v>48</v>
      </c>
      <c r="N52" s="43" t="n">
        <v>0</v>
      </c>
      <c r="O52" s="13"/>
      <c r="S52" s="24" t="s">
        <v>48</v>
      </c>
      <c r="T52" s="43" t="n">
        <v>0</v>
      </c>
      <c r="U52" s="13"/>
      <c r="Y52" s="24" t="s">
        <v>48</v>
      </c>
      <c r="Z52" s="43" t="n">
        <v>0</v>
      </c>
      <c r="AA52" s="13"/>
    </row>
    <row r="53" customFormat="false" ht="12.75" hidden="false" customHeight="false" outlineLevel="0" collapsed="false">
      <c r="A53" s="24" t="s">
        <v>81</v>
      </c>
      <c r="B53" s="32" t="n">
        <v>50000</v>
      </c>
      <c r="C53" s="50"/>
      <c r="E53" s="10"/>
      <c r="G53" s="24" t="s">
        <v>81</v>
      </c>
      <c r="H53" s="32" t="n">
        <v>50000</v>
      </c>
      <c r="I53" s="50"/>
      <c r="K53" s="10"/>
      <c r="M53" s="24" t="s">
        <v>81</v>
      </c>
      <c r="N53" s="32" t="n">
        <v>50000</v>
      </c>
      <c r="O53" s="50"/>
      <c r="S53" s="24" t="s">
        <v>81</v>
      </c>
      <c r="T53" s="32" t="n">
        <v>50000</v>
      </c>
      <c r="U53" s="50"/>
      <c r="Y53" s="24" t="s">
        <v>81</v>
      </c>
      <c r="Z53" s="32" t="n">
        <v>50000</v>
      </c>
      <c r="AA53" s="50"/>
    </row>
    <row r="54" customFormat="false" ht="12.75" hidden="false" customHeight="false" outlineLevel="0" collapsed="false">
      <c r="A54" s="24" t="s">
        <v>82</v>
      </c>
      <c r="B54" s="32" t="n">
        <v>0</v>
      </c>
      <c r="C54" s="50"/>
      <c r="E54" s="10"/>
      <c r="G54" s="24" t="s">
        <v>82</v>
      </c>
      <c r="H54" s="32" t="n">
        <v>0</v>
      </c>
      <c r="I54" s="50"/>
      <c r="K54" s="10"/>
      <c r="M54" s="24" t="s">
        <v>82</v>
      </c>
      <c r="N54" s="32" t="n">
        <v>0</v>
      </c>
      <c r="O54" s="50"/>
      <c r="S54" s="24" t="s">
        <v>82</v>
      </c>
      <c r="T54" s="32" t="n">
        <v>0</v>
      </c>
      <c r="U54" s="50"/>
      <c r="Y54" s="24" t="s">
        <v>82</v>
      </c>
      <c r="Z54" s="32" t="n">
        <v>0</v>
      </c>
      <c r="AA54" s="50"/>
    </row>
    <row r="55" customFormat="false" ht="12.75" hidden="false" customHeight="false" outlineLevel="0" collapsed="false">
      <c r="A55" s="24" t="s">
        <v>83</v>
      </c>
      <c r="B55" s="32" t="n">
        <v>0</v>
      </c>
      <c r="C55" s="13"/>
      <c r="E55" s="10"/>
      <c r="G55" s="24" t="s">
        <v>83</v>
      </c>
      <c r="H55" s="32" t="n">
        <v>0</v>
      </c>
      <c r="I55" s="13"/>
      <c r="K55" s="10"/>
      <c r="M55" s="24" t="s">
        <v>83</v>
      </c>
      <c r="N55" s="32" t="n">
        <v>0</v>
      </c>
      <c r="O55" s="13"/>
      <c r="S55" s="24" t="s">
        <v>83</v>
      </c>
      <c r="T55" s="32" t="n">
        <v>0</v>
      </c>
      <c r="U55" s="13"/>
      <c r="Y55" s="24" t="s">
        <v>83</v>
      </c>
      <c r="Z55" s="32" t="n">
        <v>0</v>
      </c>
      <c r="AA55" s="13"/>
    </row>
    <row r="56" customFormat="false" ht="12.75" hidden="false" customHeight="false" outlineLevel="0" collapsed="false">
      <c r="A56" s="24" t="s">
        <v>84</v>
      </c>
      <c r="B56" s="32" t="n">
        <v>31500</v>
      </c>
      <c r="C56" s="13"/>
      <c r="E56" s="10"/>
      <c r="G56" s="24" t="s">
        <v>84</v>
      </c>
      <c r="H56" s="32" t="n">
        <v>31500</v>
      </c>
      <c r="I56" s="13"/>
      <c r="K56" s="10"/>
      <c r="M56" s="24" t="s">
        <v>84</v>
      </c>
      <c r="N56" s="32" t="n">
        <v>31500</v>
      </c>
      <c r="O56" s="13"/>
      <c r="S56" s="24" t="s">
        <v>84</v>
      </c>
      <c r="T56" s="32" t="n">
        <v>31500</v>
      </c>
      <c r="U56" s="13"/>
      <c r="Y56" s="24" t="s">
        <v>84</v>
      </c>
      <c r="Z56" s="32" t="n">
        <v>31500</v>
      </c>
      <c r="AA56" s="13"/>
    </row>
    <row r="57" customFormat="false" ht="12.75" hidden="false" customHeight="false" outlineLevel="0" collapsed="false">
      <c r="A57" s="24" t="s">
        <v>85</v>
      </c>
      <c r="B57" s="43" t="n">
        <v>0</v>
      </c>
      <c r="C57" s="13"/>
      <c r="E57" s="10"/>
      <c r="G57" s="24" t="s">
        <v>85</v>
      </c>
      <c r="H57" s="43" t="n">
        <v>0</v>
      </c>
      <c r="I57" s="13"/>
      <c r="K57" s="10"/>
      <c r="M57" s="24" t="s">
        <v>85</v>
      </c>
      <c r="N57" s="43" t="n">
        <v>0</v>
      </c>
      <c r="O57" s="13"/>
      <c r="S57" s="24" t="s">
        <v>85</v>
      </c>
      <c r="T57" s="43" t="n">
        <v>0</v>
      </c>
      <c r="U57" s="13"/>
      <c r="Y57" s="24" t="s">
        <v>85</v>
      </c>
      <c r="Z57" s="43" t="n">
        <v>0</v>
      </c>
      <c r="AA57" s="13"/>
    </row>
    <row r="58" customFormat="false" ht="12.75" hidden="false" customHeight="false" outlineLevel="0" collapsed="false">
      <c r="A58" s="24" t="s">
        <v>86</v>
      </c>
      <c r="B58" s="32" t="n">
        <v>0</v>
      </c>
      <c r="C58" s="13"/>
      <c r="G58" s="24" t="s">
        <v>86</v>
      </c>
      <c r="H58" s="32" t="n">
        <v>0</v>
      </c>
      <c r="I58" s="13"/>
      <c r="M58" s="24" t="s">
        <v>86</v>
      </c>
      <c r="N58" s="32" t="n">
        <v>0</v>
      </c>
      <c r="O58" s="13"/>
      <c r="S58" s="24" t="s">
        <v>86</v>
      </c>
      <c r="T58" s="32" t="n">
        <v>0</v>
      </c>
      <c r="U58" s="13"/>
      <c r="Y58" s="24" t="s">
        <v>86</v>
      </c>
      <c r="Z58" s="32" t="n">
        <v>0</v>
      </c>
      <c r="AA58" s="13"/>
    </row>
    <row r="59" customFormat="false" ht="12.75" hidden="false" customHeight="false" outlineLevel="0" collapsed="false">
      <c r="A59" s="24" t="s">
        <v>87</v>
      </c>
      <c r="B59" s="32" t="n">
        <v>20000</v>
      </c>
      <c r="C59" s="13"/>
      <c r="E59" s="10"/>
      <c r="G59" s="24" t="s">
        <v>87</v>
      </c>
      <c r="H59" s="32" t="n">
        <v>20000</v>
      </c>
      <c r="I59" s="13"/>
      <c r="K59" s="10"/>
      <c r="M59" s="24" t="s">
        <v>87</v>
      </c>
      <c r="N59" s="32" t="n">
        <v>20000</v>
      </c>
      <c r="O59" s="13"/>
      <c r="S59" s="24" t="s">
        <v>87</v>
      </c>
      <c r="T59" s="32" t="n">
        <v>20000</v>
      </c>
      <c r="U59" s="13"/>
      <c r="Y59" s="24" t="s">
        <v>87</v>
      </c>
      <c r="Z59" s="32" t="n">
        <v>20000</v>
      </c>
      <c r="AA59" s="13"/>
    </row>
    <row r="60" customFormat="false" ht="12.75" hidden="false" customHeight="false" outlineLevel="0" collapsed="false">
      <c r="A60" s="24" t="s">
        <v>88</v>
      </c>
      <c r="B60" s="43" t="n">
        <v>0</v>
      </c>
      <c r="C60" s="13"/>
      <c r="G60" s="24" t="s">
        <v>88</v>
      </c>
      <c r="H60" s="43" t="n">
        <v>0</v>
      </c>
      <c r="I60" s="13"/>
      <c r="M60" s="24" t="s">
        <v>88</v>
      </c>
      <c r="N60" s="43" t="n">
        <v>0</v>
      </c>
      <c r="O60" s="13"/>
      <c r="S60" s="24" t="s">
        <v>88</v>
      </c>
      <c r="T60" s="43" t="n">
        <v>0</v>
      </c>
      <c r="U60" s="13"/>
      <c r="Y60" s="24" t="s">
        <v>88</v>
      </c>
      <c r="Z60" s="43" t="n">
        <v>0</v>
      </c>
      <c r="AA60" s="13"/>
    </row>
    <row r="61" customFormat="false" ht="12.75" hidden="false" customHeight="false" outlineLevel="0" collapsed="false">
      <c r="A61" s="24" t="s">
        <v>89</v>
      </c>
      <c r="B61" s="32" t="n">
        <v>0</v>
      </c>
      <c r="C61" s="54"/>
      <c r="G61" s="24" t="s">
        <v>89</v>
      </c>
      <c r="H61" s="32" t="n">
        <v>0</v>
      </c>
      <c r="I61" s="54"/>
      <c r="M61" s="24" t="s">
        <v>89</v>
      </c>
      <c r="N61" s="32" t="n">
        <v>0</v>
      </c>
      <c r="O61" s="54"/>
      <c r="S61" s="24" t="s">
        <v>89</v>
      </c>
      <c r="T61" s="32" t="n">
        <v>0</v>
      </c>
      <c r="U61" s="54"/>
      <c r="Y61" s="24" t="s">
        <v>89</v>
      </c>
      <c r="Z61" s="32" t="n">
        <v>0</v>
      </c>
      <c r="AA61" s="54"/>
    </row>
    <row r="62" customFormat="false" ht="13.5" hidden="false" customHeight="false" outlineLevel="0" collapsed="false">
      <c r="A62" s="44" t="s">
        <v>67</v>
      </c>
      <c r="B62" s="43" t="n">
        <v>46651</v>
      </c>
      <c r="G62" s="44" t="s">
        <v>67</v>
      </c>
      <c r="H62" s="43" t="n">
        <v>-46651</v>
      </c>
      <c r="M62" s="44" t="s">
        <v>67</v>
      </c>
      <c r="N62" s="43" t="n">
        <v>61651</v>
      </c>
      <c r="S62" s="44" t="s">
        <v>67</v>
      </c>
      <c r="T62" s="43" t="n">
        <v>147451</v>
      </c>
      <c r="Y62" s="24" t="s">
        <v>67</v>
      </c>
      <c r="Z62" s="32" t="n">
        <v>0</v>
      </c>
    </row>
    <row r="63" customFormat="false" ht="13.5" hidden="false" customHeight="false" outlineLevel="0" collapsed="false">
      <c r="A63" s="41" t="s">
        <v>68</v>
      </c>
      <c r="B63" s="42" t="n">
        <f aca="false">SUM(B31:B62)</f>
        <v>805932</v>
      </c>
      <c r="G63" s="41" t="s">
        <v>68</v>
      </c>
      <c r="H63" s="42" t="n">
        <f aca="false">SUM(H31:H62)</f>
        <v>712630</v>
      </c>
      <c r="M63" s="41" t="s">
        <v>68</v>
      </c>
      <c r="N63" s="42" t="n">
        <f aca="false">SUM(N31:N62)</f>
        <v>820932</v>
      </c>
      <c r="S63" s="41" t="s">
        <v>68</v>
      </c>
      <c r="T63" s="42" t="n">
        <f aca="false">SUM(T31:T62)</f>
        <v>906732</v>
      </c>
      <c r="Y63" s="41" t="s">
        <v>68</v>
      </c>
      <c r="Z63" s="42" t="n">
        <f aca="false">SUM(Z31:Z62)</f>
        <v>759281</v>
      </c>
    </row>
    <row r="64" customFormat="false" ht="13.5" hidden="false" customHeight="false" outlineLevel="0" collapsed="false">
      <c r="A64" s="33"/>
      <c r="B64" s="55"/>
      <c r="G64" s="33"/>
      <c r="H64" s="55"/>
      <c r="M64" s="33"/>
      <c r="N64" s="55"/>
      <c r="S64" s="33"/>
      <c r="T64" s="55"/>
      <c r="Y64" s="33"/>
      <c r="Z64" s="5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dfuente2</cp:lastModifiedBy>
  <cp:lastPrinted>2001-11-20T17:55:58Z</cp:lastPrinted>
  <dcterms:modified xsi:type="dcterms:W3CDTF">2001-11-26T11:45:05Z</dcterms:modified>
  <cp:revision>0</cp:revision>
  <dc:subject/>
  <dc:title/>
</cp:coreProperties>
</file>