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Chart 2000" sheetId="6" state="visible" r:id="rId8"/>
    <sheet name="Notes" sheetId="7" state="visible" r:id="rId9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'2000'!$A$1:$W$39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0</xdr:row>
                <xdr:rowOff>5</xdr:rowOff>
              </xdr:from>
              <xdr:to>
                <xdr:col>6</xdr:col>
                <xdr:colOff>84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</xdr:row>
                <xdr:rowOff>5</xdr:rowOff>
              </xdr:from>
              <xdr:to>
                <xdr:col>6</xdr:col>
                <xdr:colOff>84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10"/>
            <rFont val="Arial"/>
            <family val="0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</xdr:row>
                <xdr:rowOff>5</xdr:rowOff>
              </xdr:from>
              <xdr:to>
                <xdr:col>7</xdr:col>
                <xdr:colOff>71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</xdr:row>
                <xdr:rowOff>5</xdr:rowOff>
              </xdr:from>
              <xdr:to>
                <xdr:col>7</xdr:col>
                <xdr:colOff>57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4</xdr:row>
                <xdr:rowOff>5</xdr:rowOff>
              </xdr:from>
              <xdr:to>
                <xdr:col>6</xdr:col>
                <xdr:colOff>84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5</xdr:row>
                <xdr:rowOff>5</xdr:rowOff>
              </xdr:from>
              <xdr:to>
                <xdr:col>6</xdr:col>
                <xdr:colOff>84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6</xdr:row>
                <xdr:rowOff>5</xdr:rowOff>
              </xdr:from>
              <xdr:to>
                <xdr:col>6</xdr:col>
                <xdr:colOff>84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7</xdr:row>
                <xdr:rowOff>5</xdr:rowOff>
              </xdr:from>
              <xdr:to>
                <xdr:col>7</xdr:col>
                <xdr:colOff>71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8</xdr:row>
                <xdr:rowOff>5</xdr:rowOff>
              </xdr:from>
              <xdr:to>
                <xdr:col>6</xdr:col>
                <xdr:colOff>9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9</xdr:row>
                <xdr:rowOff>5</xdr:rowOff>
              </xdr:from>
              <xdr:to>
                <xdr:col>6</xdr:col>
                <xdr:colOff>9</xdr:colOff>
                <xdr:row>13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11</xdr:row>
                <xdr:rowOff>5</xdr:rowOff>
              </xdr:from>
              <xdr:to>
                <xdr:col>6</xdr:col>
                <xdr:colOff>84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12</xdr:row>
                <xdr:rowOff>5</xdr:rowOff>
              </xdr:from>
              <xdr:to>
                <xdr:col>6</xdr:col>
                <xdr:colOff>84</xdr:colOff>
                <xdr:row>16</xdr:row>
                <xdr:rowOff>16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13</xdr:row>
                <xdr:rowOff>5</xdr:rowOff>
              </xdr:from>
              <xdr:to>
                <xdr:col>6</xdr:col>
                <xdr:colOff>84</xdr:colOff>
                <xdr:row>17</xdr:row>
                <xdr:rowOff>16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14</xdr:row>
                <xdr:rowOff>5</xdr:rowOff>
              </xdr:from>
              <xdr:to>
                <xdr:col>6</xdr:col>
                <xdr:colOff>84</xdr:colOff>
                <xdr:row>18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89</xdr:colOff>
                <xdr:row>14</xdr:row>
                <xdr:rowOff>15</xdr:rowOff>
              </xdr:from>
              <xdr:to>
                <xdr:col>12</xdr:col>
                <xdr:colOff>67</xdr:colOff>
                <xdr:row>22</xdr:row>
                <xdr:rowOff>2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call Mary Thambiah  
44-207-783-7015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16</xdr:row>
                <xdr:rowOff>5</xdr:rowOff>
              </xdr:from>
              <xdr:to>
                <xdr:col>5</xdr:col>
                <xdr:colOff>15</xdr:colOff>
                <xdr:row>20</xdr:row>
                <xdr:rowOff>16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 or Scott Gardner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18</xdr:row>
                <xdr:rowOff>5</xdr:rowOff>
              </xdr:from>
              <xdr:to>
                <xdr:col>8</xdr:col>
                <xdr:colOff>41</xdr:colOff>
                <xdr:row>25</xdr:row>
                <xdr:rowOff>1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Shifali Sharma x3-5170;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19</xdr:row>
                <xdr:rowOff>5</xdr:rowOff>
              </xdr:from>
              <xdr:to>
                <xdr:col>5</xdr:col>
                <xdr:colOff>15</xdr:colOff>
                <xdr:row>23</xdr:row>
                <xdr:rowOff>16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Matthew Adams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20</xdr:row>
                <xdr:rowOff>5</xdr:rowOff>
              </xdr:from>
              <xdr:to>
                <xdr:col>9</xdr:col>
                <xdr:colOff>1</xdr:colOff>
                <xdr:row>25</xdr:row>
                <xdr:rowOff>7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21</xdr:row>
                <xdr:rowOff>5</xdr:rowOff>
              </xdr:from>
              <xdr:to>
                <xdr:col>8</xdr:col>
                <xdr:colOff>11</xdr:colOff>
                <xdr:row>26</xdr:row>
                <xdr:rowOff>11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22</xdr:row>
                <xdr:rowOff>5</xdr:rowOff>
              </xdr:from>
              <xdr:to>
                <xdr:col>8</xdr:col>
                <xdr:colOff>62</xdr:colOff>
                <xdr:row>28</xdr:row>
                <xdr:rowOff>3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 (+205,000 from June).  Steve Ross does not calculate VaR so use own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23</xdr:row>
                <xdr:rowOff>15</xdr:rowOff>
              </xdr:from>
              <xdr:to>
                <xdr:col>7</xdr:col>
                <xdr:colOff>53</xdr:colOff>
                <xdr:row>33</xdr:row>
                <xdr:rowOff>12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25</xdr:row>
                <xdr:rowOff>5</xdr:rowOff>
              </xdr:from>
              <xdr:to>
                <xdr:col>7</xdr:col>
                <xdr:colOff>66</xdr:colOff>
                <xdr:row>33</xdr:row>
                <xdr:rowOff>7</xdr:rowOff>
              </xdr:to>
            </anchor>
          </commentPr>
        </mc:Choice>
        <mc:Fallback/>
      </mc:AlternateContent>
    </commen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</xdr:colOff>
                <xdr:row>25</xdr:row>
                <xdr:rowOff>5</xdr:rowOff>
              </xdr:from>
              <xdr:to>
                <xdr:col>11</xdr:col>
                <xdr:colOff>57</xdr:colOff>
                <xdr:row>33</xdr:row>
                <xdr:rowOff>7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81</xdr:colOff>
                <xdr:row>25</xdr:row>
                <xdr:rowOff>5</xdr:rowOff>
              </xdr:from>
              <xdr:to>
                <xdr:col>10</xdr:col>
                <xdr:colOff>44</xdr:colOff>
                <xdr:row>33</xdr:row>
                <xdr:rowOff>7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82</xdr:colOff>
                <xdr:row>25</xdr:row>
                <xdr:rowOff>5</xdr:rowOff>
              </xdr:from>
              <xdr:to>
                <xdr:col>11</xdr:col>
                <xdr:colOff>46</xdr:colOff>
                <xdr:row>33</xdr:row>
                <xdr:rowOff>7</xdr:rowOff>
              </xdr:to>
            </anchor>
          </commentPr>
        </mc:Choice>
        <mc:Fallback/>
      </mc:AlternateContent>
    </comment>
    <comment ref="J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83</xdr:colOff>
                <xdr:row>25</xdr:row>
                <xdr:rowOff>5</xdr:rowOff>
              </xdr:from>
              <xdr:to>
                <xdr:col>12</xdr:col>
                <xdr:colOff>47</xdr:colOff>
                <xdr:row>33</xdr:row>
                <xdr:rowOff>7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85</xdr:colOff>
                <xdr:row>25</xdr:row>
                <xdr:rowOff>5</xdr:rowOff>
              </xdr:from>
              <xdr:to>
                <xdr:col>13</xdr:col>
                <xdr:colOff>48</xdr:colOff>
                <xdr:row>33</xdr:row>
                <xdr:rowOff>7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0</xdr:colOff>
                <xdr:row>25</xdr:row>
                <xdr:rowOff>5</xdr:rowOff>
              </xdr:from>
              <xdr:to>
                <xdr:col>15</xdr:col>
                <xdr:colOff>53</xdr:colOff>
                <xdr:row>33</xdr:row>
                <xdr:rowOff>7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87</xdr:colOff>
                <xdr:row>25</xdr:row>
                <xdr:rowOff>5</xdr:rowOff>
              </xdr:from>
              <xdr:to>
                <xdr:col>15</xdr:col>
                <xdr:colOff>50</xdr:colOff>
                <xdr:row>33</xdr:row>
                <xdr:rowOff>7</xdr:rowOff>
              </xdr:to>
            </anchor>
          </commentPr>
        </mc:Choice>
        <mc:Fallback/>
      </mc:AlternateContent>
    </comment>
    <comment ref="N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88</xdr:colOff>
                <xdr:row>25</xdr:row>
                <xdr:rowOff>5</xdr:rowOff>
              </xdr:from>
              <xdr:to>
                <xdr:col>16</xdr:col>
                <xdr:colOff>51</xdr:colOff>
                <xdr:row>33</xdr:row>
                <xdr:rowOff>7</xdr:rowOff>
              </xdr:to>
            </anchor>
          </commentPr>
        </mc:Choice>
        <mc:Fallback/>
      </mc:AlternateContent>
    </comment>
    <comment ref="O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89</xdr:colOff>
                <xdr:row>25</xdr:row>
                <xdr:rowOff>5</xdr:rowOff>
              </xdr:from>
              <xdr:to>
                <xdr:col>19</xdr:col>
                <xdr:colOff>13</xdr:colOff>
                <xdr:row>33</xdr:row>
                <xdr:rowOff>7</xdr:rowOff>
              </xdr:to>
            </anchor>
          </commentPr>
        </mc:Choice>
        <mc:Fallback/>
      </mc:AlternateContent>
    </comment>
    <comment ref="P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</xdr:colOff>
                <xdr:row>25</xdr:row>
                <xdr:rowOff>5</xdr:rowOff>
              </xdr:from>
              <xdr:to>
                <xdr:col>19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85</xdr:colOff>
                <xdr:row>20</xdr:row>
                <xdr:rowOff>5</xdr:rowOff>
              </xdr:from>
              <xdr:to>
                <xdr:col>20</xdr:col>
                <xdr:colOff>22</xdr:colOff>
                <xdr:row>24</xdr:row>
                <xdr:rowOff>16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</xdr:colOff>
                <xdr:row>25</xdr:row>
                <xdr:rowOff>5</xdr:rowOff>
              </xdr:from>
              <xdr:to>
                <xdr:col>20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this figure includes Credit Trading -- Credit and Debt numbers have been consolidated as of December 2000 on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55</xdr:colOff>
                <xdr:row>14</xdr:row>
                <xdr:rowOff>5</xdr:rowOff>
              </xdr:from>
              <xdr:to>
                <xdr:col>20</xdr:col>
                <xdr:colOff>79</xdr:colOff>
                <xdr:row>22</xdr:row>
                <xdr:rowOff>12</xdr:rowOff>
              </xdr:to>
            </anchor>
          </commentPr>
        </mc:Choice>
        <mc:Fallback/>
      </mc:AlternateContent>
    </comment>
    <comment ref="R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20</xdr:row>
                <xdr:rowOff>5</xdr:rowOff>
              </xdr:from>
              <xdr:to>
                <xdr:col>17</xdr:col>
                <xdr:colOff>62</xdr:colOff>
                <xdr:row>24</xdr:row>
                <xdr:rowOff>16</xdr:rowOff>
              </xdr:to>
            </anchor>
          </commentPr>
        </mc:Choice>
        <mc:Fallback/>
      </mc:AlternateContent>
    </comment>
    <comment ref="R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70</xdr:colOff>
                <xdr:row>25</xdr:row>
                <xdr:rowOff>5</xdr:rowOff>
              </xdr:from>
              <xdr:to>
                <xdr:col>24</xdr:col>
                <xdr:colOff>2</xdr:colOff>
                <xdr:row>33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<sst xmlns="http://schemas.openxmlformats.org/spreadsheetml/2006/main" count="707" uniqueCount="184">
  <si>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</si>
  <si>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</si>
  <si>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</si>
  <si>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</si>
  <si>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</si>
  <si>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</si>
  <si>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</si>
  <si>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</si>
  <si>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</si>
  <si>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</si>
  <si>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</si>
  <si>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</si>
  <si>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</si>
  <si>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</si>
  <si>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</si>
  <si>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</si>
  <si>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</si>
  <si>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</si>
  <si>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</si>
  <si>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</si>
  <si>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</si>
  <si>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</si>
  <si>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</si>
  <si>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</si>
  <si>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</si>
  <si>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</si>
  <si>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</si>
  <si>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</si>
  <si>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</si>
  <si>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</si>
  <si>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</si>
  <si>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</si>
  <si>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</si>
  <si>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</si>
  <si>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</si>
  <si>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</si>
  <si>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</si>
  <si>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</si>
  <si>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</si>
  <si>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</si>
  <si>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</si>
  <si>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</si>
  <si>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</si>
  <si>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</si>
  <si>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</si>
  <si>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</si>
  <si>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</si>
  <si>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</si>
  <si>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</si>
  <si>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</si>
  <si>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</si>
  <si>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</si>
  <si>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TC</t>
  </si>
  <si>
    <t xml:space="preserve">BANDWIDTH</t>
  </si>
  <si>
    <t xml:space="preserve">ENRON METALS</t>
  </si>
  <si>
    <t xml:space="preserve">PGE TRADING</t>
  </si>
  <si>
    <t xml:space="preserve">TI</t>
  </si>
  <si>
    <t xml:space="preserve">TF</t>
  </si>
  <si>
    <t xml:space="preserve">TS</t>
  </si>
  <si>
    <t xml:space="preserve">PGE NON TRADING</t>
  </si>
  <si>
    <t xml:space="preserve">NC</t>
  </si>
  <si>
    <t xml:space="preserve">NI</t>
  </si>
  <si>
    <t xml:space="preserve">NF</t>
  </si>
  <si>
    <t xml:space="preserve">PHANTOM</t>
  </si>
  <si>
    <t xml:space="preserve">NS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</si>
  <si>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</si>
  <si>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</si>
  <si>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</si>
  <si>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</si>
  <si>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</si>
  <si>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</si>
  <si>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</si>
  <si>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</si>
  <si>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</si>
  <si>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</si>
  <si>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</si>
  <si>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</si>
  <si>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</si>
  <si>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</si>
  <si>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</si>
  <si>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</si>
  <si>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</si>
  <si>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</si>
  <si>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</si>
  <si>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</si>
  <si>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</si>
  <si>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</si>
  <si>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</si>
  <si>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</si>
  <si>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</si>
  <si>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</si>
  <si>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</si>
  <si>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</si>
  <si>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</si>
  <si>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</si>
  <si>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</si>
  <si>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</si>
  <si>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</si>
  <si>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</si>
  <si>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</si>
  <si>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</si>
  <si>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</si>
  <si>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</si>
  <si>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</si>
  <si>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</si>
  <si>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</si>
  <si>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</si>
  <si>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</si>
  <si>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</si>
  <si>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</si>
  <si>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</si>
  <si>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</si>
  <si>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</si>
  <si>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</si>
  <si>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</si>
  <si>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</si>
  <si>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</si>
  <si>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</si>
  <si>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</si>
  <si>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</si>
  <si>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</si>
  <si>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</si>
  <si>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</si>
  <si>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</si>
  <si>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</si>
  <si>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</si>
  <si>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</si>
  <si>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</si>
  <si>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</si>
  <si>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</si>
  <si>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</si>
  <si>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</si>
  <si>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</si>
  <si>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</si>
  <si>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</si>
  <si>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</si>
  <si>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</si>
  <si>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</si>
  <si>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</si>
  <si>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</si>
  <si>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</si>
  <si>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</si>
  <si>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</si>
  <si>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</si>
  <si>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</si>
  <si>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</si>
  <si>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</si>
  <si>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</si>
  <si>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</si>
  <si>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</si>
  <si>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</si>
  <si>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</si>
  <si>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</si>
  <si>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</si>
  <si>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</si>
  <si>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</si>
  <si>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</si>
  <si>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</si>
  <si>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</si>
  <si>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</si>
  <si>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</si>
  <si>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</si>
  <si>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</si>
  <si>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</si>
  <si>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</si>
  <si>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</si>
  <si>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</si>
  <si>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</si>
  <si>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</si>
  <si>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</si>
  <si>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</si>
  <si>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</si>
  <si>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</si>
  <si>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</si>
  <si>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</si>
  <si>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</si>
  <si>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</si>
  <si>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</si>
  <si>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</si>
  <si>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</si>
  <si>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</si>
  <si>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</si>
  <si>
    <t xml:space="preserve">MAIL TO</t>
  </si>
  <si>
    <t xml:space="preserve">Georgeanne Hodges/HOU/ECT@ECT, Jan Johnson/GPGFIN/Enron@ENRON, Sally Beck/HOU/ECT@ECT, Cassandra Schultz/NA/Enron@Enron, Shona Wilson/NA/Enron@Enron; Gary Peng/GPGFIN/Enron@ENRON, Jennifer Nguyen/Corp/Enron@ENRON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</si>
</sst>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.25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7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'2000'!$A$28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'2000'!$E$28:$R$28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  <c:pt idx="7">
                  <c:v>68031.61</c:v>
                </c:pt>
                <c:pt idx="8">
                  <c:v>106613.64</c:v>
                </c:pt>
                <c:pt idx="9">
                  <c:v>129377.47</c:v>
                </c:pt>
                <c:pt idx="10">
                  <c:v>58028.31</c:v>
                </c:pt>
                <c:pt idx="11">
                  <c:v>194706.94</c:v>
                </c:pt>
                <c:pt idx="12">
                  <c:v>50966.9</c:v>
                </c:pt>
                <c:pt idx="13">
                  <c:v>252688.76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'2000'!$A$29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'2000'!$E$29:$R$29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  <c:pt idx="7">
                  <c:v>45618.29</c:v>
                </c:pt>
                <c:pt idx="8">
                  <c:v>28666.7</c:v>
                </c:pt>
                <c:pt idx="9">
                  <c:v>123803.19</c:v>
                </c:pt>
                <c:pt idx="10">
                  <c:v>54812.6</c:v>
                </c:pt>
                <c:pt idx="11">
                  <c:v>199235.86</c:v>
                </c:pt>
                <c:pt idx="12">
                  <c:v>34587.55</c:v>
                </c:pt>
                <c:pt idx="13">
                  <c:v>236780.04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'2000'!$A$31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'2000'!$E$31:$R$31</c:f>
              <c:numCache>
                <c:formatCode>#,##0</c:formatCode>
                <c:ptCount val="14"/>
                <c:pt idx="0">
                  <c:v>1388846.83526334</c:v>
                </c:pt>
                <c:pt idx="2">
                  <c:v>1746877.99033619</c:v>
                </c:pt>
                <c:pt idx="3">
                  <c:v>1787825.09354383</c:v>
                </c:pt>
                <c:pt idx="4">
                  <c:v>1609436.39929076</c:v>
                </c:pt>
                <c:pt idx="5">
                  <c:v>1735166.91833408</c:v>
                </c:pt>
                <c:pt idx="6">
                  <c:v>2181106.99868805</c:v>
                </c:pt>
                <c:pt idx="7">
                  <c:v>5095712.75724388</c:v>
                </c:pt>
                <c:pt idx="8">
                  <c:v>4095454.50341351</c:v>
                </c:pt>
                <c:pt idx="9">
                  <c:v>2235325.23880687</c:v>
                </c:pt>
                <c:pt idx="10">
                  <c:v>1974826.12315768</c:v>
                </c:pt>
                <c:pt idx="11">
                  <c:v>1669564.59343567</c:v>
                </c:pt>
                <c:pt idx="12">
                  <c:v>1664559.06827424</c:v>
                </c:pt>
                <c:pt idx="13">
                  <c:v>2504290.94589307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'2000'!$A$32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'2000'!$E$32:$R$32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  <c:pt idx="7">
                  <c:v>1006790.08</c:v>
                </c:pt>
                <c:pt idx="8">
                  <c:v>976871.77</c:v>
                </c:pt>
                <c:pt idx="9">
                  <c:v>920897.47</c:v>
                </c:pt>
                <c:pt idx="10">
                  <c:v>942823.63</c:v>
                </c:pt>
                <c:pt idx="11">
                  <c:v>861596.36</c:v>
                </c:pt>
                <c:pt idx="12">
                  <c:v>865780.66</c:v>
                </c:pt>
                <c:pt idx="13">
                  <c:v>853.04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'2000'!$A$33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'2000'!$E$33:$R$33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  <c:pt idx="7">
                  <c:v>9961765.73</c:v>
                </c:pt>
                <c:pt idx="8">
                  <c:v>9622113.8</c:v>
                </c:pt>
                <c:pt idx="9">
                  <c:v>9797984.01</c:v>
                </c:pt>
                <c:pt idx="10">
                  <c:v>9716361.37</c:v>
                </c:pt>
                <c:pt idx="11">
                  <c:v>9573588.16</c:v>
                </c:pt>
                <c:pt idx="12">
                  <c:v>8367919.62</c:v>
                </c:pt>
                <c:pt idx="13">
                  <c:v>7545462.57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'2000'!$A$34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'2000'!$E$34:$R$34</c:f>
              <c:numCache>
                <c:formatCode>#,##0</c:formatCode>
                <c:ptCount val="14"/>
                <c:pt idx="0">
                  <c:v>2833349.55718782</c:v>
                </c:pt>
                <c:pt idx="2">
                  <c:v>6484975.50859392</c:v>
                </c:pt>
                <c:pt idx="3">
                  <c:v>6063146.14129057</c:v>
                </c:pt>
                <c:pt idx="4">
                  <c:v>5869876.95198732</c:v>
                </c:pt>
                <c:pt idx="5">
                  <c:v>5138342.97330066</c:v>
                </c:pt>
                <c:pt idx="6">
                  <c:v>5035345.99894261</c:v>
                </c:pt>
                <c:pt idx="7">
                  <c:v>4637306.76616781</c:v>
                </c:pt>
                <c:pt idx="8">
                  <c:v>5935964.62873871</c:v>
                </c:pt>
                <c:pt idx="9">
                  <c:v>6038105.51134696</c:v>
                </c:pt>
                <c:pt idx="10">
                  <c:v>5798342.5759273</c:v>
                </c:pt>
                <c:pt idx="11">
                  <c:v>6005385.00755401</c:v>
                </c:pt>
                <c:pt idx="12">
                  <c:v>6354009.55613344</c:v>
                </c:pt>
                <c:pt idx="13">
                  <c:v>6768797.85209671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048564"/>
        <c:axId val="53710306"/>
      </c:lineChart>
      <c:lineChart>
        <c:grouping val="standard"/>
        <c:varyColors val="0"/>
        <c:ser>
          <c:idx val="6"/>
          <c:order val="6"/>
          <c:tx>
            <c:strRef>
              <c:f>'2000'!$A$27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'2000'!$E$27:$R$27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27474698.3682337</c:v>
                </c:pt>
                <c:pt idx="3">
                  <c:v>22770822.4825345</c:v>
                </c:pt>
                <c:pt idx="4">
                  <c:v>32047743.1970066</c:v>
                </c:pt>
                <c:pt idx="5">
                  <c:v>50357057.2915891</c:v>
                </c:pt>
                <c:pt idx="6">
                  <c:v>49724127.3838948</c:v>
                </c:pt>
                <c:pt idx="7">
                  <c:v>52983009.8853113</c:v>
                </c:pt>
                <c:pt idx="8">
                  <c:v>48029858.9321966</c:v>
                </c:pt>
                <c:pt idx="9">
                  <c:v>78762832.4294736</c:v>
                </c:pt>
                <c:pt idx="10">
                  <c:v>54993633.7896106</c:v>
                </c:pt>
                <c:pt idx="11">
                  <c:v>34610905.6231364</c:v>
                </c:pt>
                <c:pt idx="12">
                  <c:v>81119047.9203184</c:v>
                </c:pt>
                <c:pt idx="13">
                  <c:v>65821030.4660116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'2000'!$A$30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'2000'!$E$30:$R$30</c:f>
              <c:numCache>
                <c:formatCode>#,##0</c:formatCode>
                <c:ptCount val="14"/>
                <c:pt idx="0">
                  <c:v>26425551.596896</c:v>
                </c:pt>
                <c:pt idx="2">
                  <c:v>120974926.654271</c:v>
                </c:pt>
                <c:pt idx="3">
                  <c:v>140239932.159408</c:v>
                </c:pt>
                <c:pt idx="4">
                  <c:v>82732949.1275387</c:v>
                </c:pt>
                <c:pt idx="5">
                  <c:v>67821094.5834034</c:v>
                </c:pt>
                <c:pt idx="6">
                  <c:v>70138855.2042503</c:v>
                </c:pt>
                <c:pt idx="7">
                  <c:v>78097185.2392616</c:v>
                </c:pt>
                <c:pt idx="8">
                  <c:v>74262911.0272679</c:v>
                </c:pt>
                <c:pt idx="9">
                  <c:v>86487904.5636231</c:v>
                </c:pt>
                <c:pt idx="10">
                  <c:v>68436281.9332696</c:v>
                </c:pt>
                <c:pt idx="11">
                  <c:v>65580201.5815344</c:v>
                </c:pt>
                <c:pt idx="12">
                  <c:v>64990707.8815265</c:v>
                </c:pt>
                <c:pt idx="13">
                  <c:v>70231223.0612166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777310"/>
        <c:axId val="33492913"/>
      </c:lineChart>
      <c:catAx>
        <c:axId val="3704856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10306"/>
        <c:crossesAt val="0"/>
        <c:auto val="1"/>
        <c:lblAlgn val="ctr"/>
        <c:lblOffset val="100"/>
        <c:noMultiLvlLbl val="0"/>
      </c:catAx>
      <c:valAx>
        <c:axId val="53710306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48564"/>
        <c:crossesAt val="1"/>
        <c:crossBetween val="midCat"/>
      </c:valAx>
      <c:catAx>
        <c:axId val="85777310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92913"/>
        <c:auto val="1"/>
        <c:lblAlgn val="ctr"/>
        <c:lblOffset val="100"/>
        <c:noMultiLvlLbl val="0"/>
      </c:catAx>
      <c:valAx>
        <c:axId val="33492913"/>
        <c:scaling>
          <c:orientation val="minMax"/>
          <c:max val="8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77310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13777609610746"/>
          <c:y val="0.006427672122457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426960</xdr:colOff>
      <xdr:row>1</xdr:row>
      <xdr:rowOff>88920</xdr:rowOff>
    </xdr:from>
    <xdr:to>
      <xdr:col>9</xdr:col>
      <xdr:colOff>63000</xdr:colOff>
      <xdr:row>4</xdr:row>
      <xdr:rowOff>59040</xdr:rowOff>
    </xdr:to>
    <xdr:sp>
      <xdr:nvSpPr>
        <xdr:cNvPr id="1" name="Text 1"/>
        <xdr:cNvSpPr/>
      </xdr:nvSpPr>
      <xdr:spPr>
        <a:xfrm>
          <a:off x="6116400" y="251640"/>
          <a:ext cx="1261800" cy="45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20" strike="noStrike" u="none">
              <a:effectLst/>
              <a:uFillTx/>
              <a:latin typeface="Arial"/>
            </a:rPr>
            <a:t>TRADING COMMODITIES AND TRADING SECURITIES ARE BASED ON THE RIGHT AXIS</a:t>
          </a:r>
          <a:endParaRPr b="0" lang="en-US" sz="82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6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O19" activeCellId="0" sqref="O1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true" outlineLevel="0" max="2" min="2" style="34" width="18.56"/>
    <col collapsed="false" customWidth="true" hidden="true" outlineLevel="0" max="3" min="3" style="34" width="15.56"/>
    <col collapsed="false" customWidth="true" hidden="false" outlineLevel="0" max="4" min="4" style="35" width="3.85"/>
    <col collapsed="false" customWidth="true" hidden="false" outlineLevel="0" max="5" min="5" style="35" width="10.85"/>
    <col collapsed="false" customWidth="true" hidden="false" outlineLevel="0" max="6" min="6" style="35" width="2.56"/>
    <col collapsed="false" customWidth="true" hidden="false" outlineLevel="0" max="18" min="7" style="36" width="12.14"/>
    <col collapsed="false" customWidth="true" hidden="false" outlineLevel="0" max="19" min="19" style="37" width="2.13"/>
    <col collapsed="false" customWidth="true" hidden="false" outlineLevel="0" max="22" min="20" style="38" width="12.14"/>
    <col collapsed="false" customWidth="true" hidden="false" outlineLevel="0" max="23" min="23" style="37" width="3.7"/>
    <col collapsed="false" customWidth="false" hidden="false" outlineLevel="0" max="257" min="24" style="37" width="9.14"/>
  </cols>
  <sheetData>
    <row r="1" customFormat="false" ht="12" hidden="false" customHeight="true" outlineLevel="0" collapsed="false">
      <c r="A1" s="39"/>
      <c r="B1" s="40"/>
      <c r="C1" s="40"/>
      <c r="D1" s="41"/>
      <c r="E1" s="42" t="n">
        <v>36495</v>
      </c>
      <c r="F1" s="43"/>
      <c r="G1" s="42" t="n">
        <v>36526</v>
      </c>
      <c r="H1" s="42" t="n">
        <v>36557</v>
      </c>
      <c r="I1" s="42" t="n">
        <v>36586</v>
      </c>
      <c r="J1" s="42" t="n">
        <v>36617</v>
      </c>
      <c r="K1" s="42" t="n">
        <v>36647</v>
      </c>
      <c r="L1" s="42" t="n">
        <v>36678</v>
      </c>
      <c r="M1" s="42" t="n">
        <v>36708</v>
      </c>
      <c r="N1" s="42" t="n">
        <v>36739</v>
      </c>
      <c r="O1" s="42" t="n">
        <v>36770</v>
      </c>
      <c r="P1" s="42" t="n">
        <v>36800</v>
      </c>
      <c r="Q1" s="42" t="n">
        <v>36831</v>
      </c>
      <c r="R1" s="42" t="n">
        <v>36861</v>
      </c>
      <c r="S1" s="39"/>
      <c r="T1" s="39" t="s">
        <v>0</v>
      </c>
      <c r="U1" s="39" t="s">
        <v>1</v>
      </c>
      <c r="V1" s="39" t="s">
        <v>2</v>
      </c>
      <c r="W1" s="39"/>
    </row>
    <row r="2" customFormat="false" ht="12" hidden="false" customHeight="true" outlineLevel="0" collapsed="false">
      <c r="A2" s="44" t="s">
        <v>4</v>
      </c>
      <c r="B2" s="45" t="s">
        <v>5</v>
      </c>
      <c r="C2" s="45" t="s">
        <v>6</v>
      </c>
      <c r="D2" s="46" t="s">
        <v>52</v>
      </c>
      <c r="E2" s="47"/>
      <c r="F2" s="48"/>
      <c r="G2" s="49" t="n">
        <v>23648142</v>
      </c>
      <c r="H2" s="49" t="n">
        <v>18913435</v>
      </c>
      <c r="I2" s="49" t="n">
        <v>28703135</v>
      </c>
      <c r="J2" s="49" t="n">
        <v>45126975</v>
      </c>
      <c r="K2" s="49" t="n">
        <v>45127067.3382702</v>
      </c>
      <c r="L2" s="49" t="n">
        <v>49267360.5571446</v>
      </c>
      <c r="M2" s="49" t="n">
        <v>42872948.8941392</v>
      </c>
      <c r="N2" s="49" t="n">
        <v>72747412.997819</v>
      </c>
      <c r="O2" s="49" t="n">
        <f aca="false">47000252.7202917</f>
        <v>47000252.7202917</v>
      </c>
      <c r="P2" s="49" t="n">
        <v>27755226.3312541</v>
      </c>
      <c r="Q2" s="49" t="n">
        <v>71551459.7462032</v>
      </c>
      <c r="R2" s="50" t="n">
        <v>58748587.7613608</v>
      </c>
      <c r="S2" s="39"/>
      <c r="T2" s="39"/>
      <c r="U2" s="39"/>
      <c r="V2" s="39"/>
      <c r="W2" s="39"/>
    </row>
    <row r="3" customFormat="false" ht="12" hidden="false" customHeight="true" outlineLevel="0" collapsed="false">
      <c r="A3" s="51" t="s">
        <v>7</v>
      </c>
      <c r="B3" s="52" t="s">
        <v>5</v>
      </c>
      <c r="C3" s="52" t="s">
        <v>6</v>
      </c>
      <c r="D3" s="53" t="s">
        <v>52</v>
      </c>
      <c r="E3" s="54"/>
      <c r="F3" s="55"/>
      <c r="G3" s="56" t="n">
        <v>2662112</v>
      </c>
      <c r="H3" s="56" t="n">
        <v>2447886</v>
      </c>
      <c r="I3" s="56" t="n">
        <v>2285580</v>
      </c>
      <c r="J3" s="56" t="n">
        <v>3078240</v>
      </c>
      <c r="K3" s="56" t="n">
        <v>2846150.17208833</v>
      </c>
      <c r="L3" s="56" t="n">
        <v>1934817.84020596</v>
      </c>
      <c r="M3" s="56" t="n">
        <v>2569586.09763149</v>
      </c>
      <c r="N3" s="56" t="n">
        <v>4156867.87902974</v>
      </c>
      <c r="O3" s="56" t="n">
        <v>4910305.11710285</v>
      </c>
      <c r="P3" s="56" t="n">
        <v>2969502.44308996</v>
      </c>
      <c r="Q3" s="56" t="n">
        <v>7528489.44447631</v>
      </c>
      <c r="R3" s="57" t="n">
        <v>3941018.35293631</v>
      </c>
      <c r="S3" s="39"/>
      <c r="T3" s="39"/>
      <c r="U3" s="39"/>
      <c r="V3" s="39"/>
      <c r="W3" s="39"/>
    </row>
    <row r="4" customFormat="false" ht="12" hidden="false" customHeight="true" outlineLevel="0" collapsed="false">
      <c r="A4" s="51" t="s">
        <v>8</v>
      </c>
      <c r="B4" s="52" t="s">
        <v>5</v>
      </c>
      <c r="C4" s="52" t="s">
        <v>6</v>
      </c>
      <c r="D4" s="53" t="s">
        <v>52</v>
      </c>
      <c r="E4" s="54"/>
      <c r="F4" s="55"/>
      <c r="G4" s="56" t="n">
        <f aca="false">7589.8558170981*1000</f>
        <v>7589855.8170981</v>
      </c>
      <c r="H4" s="56" t="n">
        <f aca="false">6950.63828900979*1000</f>
        <v>6950638.28900979</v>
      </c>
      <c r="I4" s="56" t="n">
        <f aca="false">7060.14736265567*1000</f>
        <v>7060147.36265567</v>
      </c>
      <c r="J4" s="56" t="n">
        <f aca="false">13910.5867087569*1000</f>
        <v>13910586.7087569</v>
      </c>
      <c r="K4" s="56" t="n">
        <f aca="false">12636.5841175892*1000</f>
        <v>12636584.1175892</v>
      </c>
      <c r="L4" s="56" t="n">
        <f aca="false">12932.4706021279*1000</f>
        <v>12932470.6021279</v>
      </c>
      <c r="M4" s="56" t="n">
        <f aca="false">14984.0014353593*1000</f>
        <v>14984001.4353593</v>
      </c>
      <c r="N4" s="56" t="n">
        <f aca="false">15417.1298752834*1000</f>
        <v>15417129.8752834</v>
      </c>
      <c r="O4" s="56" t="n">
        <f aca="false">16552.2442717714*1000</f>
        <v>16552244.2717714</v>
      </c>
      <c r="P4" s="56" t="n">
        <f aca="false">14243.4885282984*1000</f>
        <v>14243488.5282984</v>
      </c>
      <c r="Q4" s="56" t="n">
        <f aca="false">15646*1000</f>
        <v>15646000</v>
      </c>
      <c r="R4" s="57" t="n">
        <f aca="false">1000*17930</f>
        <v>17930000</v>
      </c>
      <c r="S4" s="39"/>
      <c r="T4" s="39"/>
      <c r="U4" s="39"/>
      <c r="V4" s="39"/>
      <c r="W4" s="39"/>
    </row>
    <row r="5" customFormat="false" ht="12" hidden="false" customHeight="true" outlineLevel="0" collapsed="false">
      <c r="A5" s="51" t="s">
        <v>9</v>
      </c>
      <c r="B5" s="52" t="s">
        <v>5</v>
      </c>
      <c r="C5" s="52" t="s">
        <v>6</v>
      </c>
      <c r="D5" s="53" t="s">
        <v>52</v>
      </c>
      <c r="E5" s="54"/>
      <c r="F5" s="55"/>
      <c r="G5" s="56" t="n">
        <v>1936000</v>
      </c>
      <c r="H5" s="56" t="n">
        <f aca="false">2104.88069699243*1000</f>
        <v>2104880.69699243</v>
      </c>
      <c r="I5" s="56" t="n">
        <f aca="false">1908.82298517186*1000</f>
        <v>1908822.98517186</v>
      </c>
      <c r="J5" s="56" t="n">
        <f aca="false">1898.64963246316*1000</f>
        <v>1898649.63246316</v>
      </c>
      <c r="K5" s="56" t="n">
        <f aca="false">1246.45088192924*1000</f>
        <v>1246450.88192924</v>
      </c>
      <c r="L5" s="56" t="n">
        <f aca="false">1242.07137353124*1000</f>
        <v>1242071.37353124</v>
      </c>
      <c r="M5" s="56" t="n">
        <f aca="false">1359.75620686751*1000</f>
        <v>1359756.20686751</v>
      </c>
      <c r="N5" s="56" t="n">
        <f aca="false">1329.30534*1000</f>
        <v>1329305.34</v>
      </c>
      <c r="O5" s="56" t="n">
        <f aca="false">1267.75592*1000</f>
        <v>1267755.92</v>
      </c>
      <c r="P5" s="56" t="n">
        <f aca="false">1388.62009*1000</f>
        <v>1388620.09</v>
      </c>
      <c r="Q5" s="56" t="n">
        <f aca="false">1962.80789*1000</f>
        <v>1962807.89</v>
      </c>
      <c r="R5" s="57" t="n">
        <f aca="false">1000*1769.07871</f>
        <v>1769078.71</v>
      </c>
      <c r="S5" s="39"/>
      <c r="T5" s="39"/>
      <c r="U5" s="39"/>
      <c r="V5" s="39"/>
      <c r="W5" s="39"/>
    </row>
    <row r="6" customFormat="false" ht="12" hidden="false" customHeight="true" outlineLevel="0" collapsed="false">
      <c r="A6" s="51" t="s">
        <v>10</v>
      </c>
      <c r="B6" s="52" t="s">
        <v>5</v>
      </c>
      <c r="C6" s="52" t="s">
        <v>6</v>
      </c>
      <c r="D6" s="53" t="s">
        <v>52</v>
      </c>
      <c r="E6" s="54"/>
      <c r="F6" s="55"/>
      <c r="G6" s="56" t="n">
        <v>208000</v>
      </c>
      <c r="H6" s="56" t="n">
        <f aca="false">211*1000</f>
        <v>211000</v>
      </c>
      <c r="I6" s="56" t="n">
        <f aca="false">617*1000</f>
        <v>617000</v>
      </c>
      <c r="J6" s="56" t="n">
        <f aca="false">310.375*1000</f>
        <v>310375</v>
      </c>
      <c r="K6" s="56" t="n">
        <f aca="false">300.099096904298*1000</f>
        <v>300099.096904298</v>
      </c>
      <c r="L6" s="56" t="n">
        <f aca="false">763*1000</f>
        <v>763000</v>
      </c>
      <c r="M6" s="56" t="n">
        <f aca="false">313.914727602778*1000</f>
        <v>313914.727602778</v>
      </c>
      <c r="N6" s="56" t="n">
        <f aca="false">420.23624*1000</f>
        <v>420236.24</v>
      </c>
      <c r="O6" s="56" t="n">
        <f aca="false">444.00061*1000</f>
        <v>444000.61</v>
      </c>
      <c r="P6" s="56" t="n">
        <f aca="false">400.83395*1000</f>
        <v>400833.95</v>
      </c>
      <c r="Q6" s="56" t="n">
        <f aca="false">1000*440.48528</f>
        <v>440485.28</v>
      </c>
      <c r="R6" s="57" t="n">
        <f aca="false">1000*444.30535</f>
        <v>444305.35</v>
      </c>
      <c r="S6" s="39"/>
      <c r="T6" s="39"/>
      <c r="U6" s="39"/>
      <c r="V6" s="39"/>
      <c r="W6" s="39"/>
    </row>
    <row r="7" customFormat="false" ht="12" hidden="false" customHeight="true" outlineLevel="0" collapsed="false">
      <c r="A7" s="51" t="s">
        <v>11</v>
      </c>
      <c r="B7" s="52" t="s">
        <v>5</v>
      </c>
      <c r="C7" s="52" t="s">
        <v>6</v>
      </c>
      <c r="D7" s="53" t="s">
        <v>52</v>
      </c>
      <c r="E7" s="54"/>
      <c r="F7" s="55"/>
      <c r="G7" s="56" t="n">
        <v>201000</v>
      </c>
      <c r="H7" s="56" t="n">
        <f aca="false">169.393115477633*1000</f>
        <v>169393.115477633</v>
      </c>
      <c r="I7" s="56" t="n">
        <f aca="false">117.904900665046*1000</f>
        <v>117904.900665046</v>
      </c>
      <c r="J7" s="56" t="n">
        <f aca="false">164.113650638791*1000</f>
        <v>164113.650638791</v>
      </c>
      <c r="K7" s="56" t="n">
        <f aca="false">38.2751745749971*1000</f>
        <v>38275.1745749971</v>
      </c>
      <c r="L7" s="56" t="n">
        <f aca="false">119.454*1000</f>
        <v>119454</v>
      </c>
      <c r="M7" s="56" t="n">
        <f aca="false">168.104*1000</f>
        <v>168104</v>
      </c>
      <c r="N7" s="56" t="n">
        <f aca="false">329.52547*1000</f>
        <v>329525.47</v>
      </c>
      <c r="O7" s="56" t="n">
        <f aca="false">360.35069*1000</f>
        <v>360350.69</v>
      </c>
      <c r="P7" s="56" t="n">
        <f aca="false">382.2602*1000</f>
        <v>382260.2</v>
      </c>
      <c r="Q7" s="56" t="n">
        <f aca="false">1000*145.39142</f>
        <v>145391.42</v>
      </c>
      <c r="R7" s="57" t="n">
        <f aca="false">1000*284.1883</f>
        <v>284188.3</v>
      </c>
      <c r="S7" s="39"/>
      <c r="T7" s="39"/>
      <c r="U7" s="39"/>
      <c r="V7" s="39"/>
      <c r="W7" s="39"/>
    </row>
    <row r="8" customFormat="false" ht="12" hidden="false" customHeight="true" outlineLevel="0" collapsed="false">
      <c r="A8" s="51" t="s">
        <v>12</v>
      </c>
      <c r="B8" s="52" t="s">
        <v>5</v>
      </c>
      <c r="C8" s="52" t="s">
        <v>6</v>
      </c>
      <c r="D8" s="53" t="s">
        <v>52</v>
      </c>
      <c r="E8" s="54"/>
      <c r="F8" s="55"/>
      <c r="G8" s="56" t="n">
        <v>394000</v>
      </c>
      <c r="H8" s="56" t="n">
        <f aca="false">227.938440303285*1000</f>
        <v>227938.440303285</v>
      </c>
      <c r="I8" s="56" t="n">
        <f aca="false">477.394374170693*1000</f>
        <v>477394.374170693</v>
      </c>
      <c r="J8" s="56" t="n">
        <f aca="false">449.119355109042*1000</f>
        <v>449119.355109042</v>
      </c>
      <c r="K8" s="56" t="n">
        <f aca="false">328.064709990273*1000</f>
        <v>328064.709990273</v>
      </c>
      <c r="L8" s="56" t="n">
        <f aca="false">404.324730065462*1000</f>
        <v>404324.730065462</v>
      </c>
      <c r="M8" s="56" t="n">
        <f aca="false">687.039619822875*1000</f>
        <v>687039.619822875</v>
      </c>
      <c r="N8" s="56" t="n">
        <f aca="false">591.419858261914*1000</f>
        <v>591419.858261914</v>
      </c>
      <c r="O8" s="56" t="n">
        <f aca="false">486.483*1000</f>
        <v>486483</v>
      </c>
      <c r="P8" s="56" t="n">
        <f aca="false">508.539*1000</f>
        <v>508539</v>
      </c>
      <c r="Q8" s="56" t="n">
        <f aca="false">1000*392.6758</f>
        <v>392675.8</v>
      </c>
      <c r="R8" s="57" t="n">
        <f aca="false">1000*773.98985</f>
        <v>773989.85</v>
      </c>
      <c r="S8" s="39"/>
      <c r="T8" s="39"/>
      <c r="U8" s="39"/>
      <c r="V8" s="39"/>
      <c r="W8" s="39"/>
    </row>
    <row r="9" customFormat="false" ht="12" hidden="false" customHeight="true" outlineLevel="0" collapsed="false">
      <c r="A9" s="51" t="s">
        <v>14</v>
      </c>
      <c r="B9" s="52" t="s">
        <v>5</v>
      </c>
      <c r="C9" s="52" t="s">
        <v>6</v>
      </c>
      <c r="D9" s="53" t="s">
        <v>52</v>
      </c>
      <c r="E9" s="54"/>
      <c r="F9" s="55"/>
      <c r="G9" s="56" t="n">
        <v>958000</v>
      </c>
      <c r="H9" s="56" t="n">
        <f aca="false">3036.533*1000</f>
        <v>3036533</v>
      </c>
      <c r="I9" s="56" t="n">
        <f aca="false">3555.784*1000</f>
        <v>3555784</v>
      </c>
      <c r="J9" s="56" t="n">
        <f aca="false">3806.912*1000</f>
        <v>3806912</v>
      </c>
      <c r="K9" s="56" t="n">
        <f aca="false">3094.43395605016*1000</f>
        <v>3094433.95605016</v>
      </c>
      <c r="L9" s="56" t="n">
        <f aca="false">3989.14883549286*1000</f>
        <v>3989148.83549286</v>
      </c>
      <c r="M9" s="56" t="n">
        <f aca="false">3819.44382187732*1000</f>
        <v>3819443.82187732</v>
      </c>
      <c r="N9" s="56" t="n">
        <f aca="false">3542.05774*1000</f>
        <v>3542057.74</v>
      </c>
      <c r="O9" s="56" t="n">
        <f aca="false">4596.13534*1000</f>
        <v>4596135.34</v>
      </c>
      <c r="P9" s="56" t="n">
        <f aca="false">3645.84074*1000</f>
        <v>3645840.74</v>
      </c>
      <c r="Q9" s="56" t="n">
        <f aca="false">1000*7643.21354</f>
        <v>7643213.54</v>
      </c>
      <c r="R9" s="57" t="n">
        <f aca="false">1000*7568.89083</f>
        <v>7568890.83</v>
      </c>
      <c r="S9" s="39"/>
      <c r="T9" s="39"/>
      <c r="U9" s="39"/>
      <c r="V9" s="39"/>
      <c r="W9" s="39"/>
    </row>
    <row r="10" customFormat="false" ht="12" hidden="false" customHeight="true" outlineLevel="0" collapsed="false">
      <c r="A10" s="51" t="s">
        <v>53</v>
      </c>
      <c r="B10" s="52"/>
      <c r="C10" s="52"/>
      <c r="D10" s="53" t="s">
        <v>52</v>
      </c>
      <c r="E10" s="54"/>
      <c r="F10" s="55"/>
      <c r="G10" s="56" t="n">
        <v>0</v>
      </c>
      <c r="H10" s="56" t="n">
        <v>0</v>
      </c>
      <c r="I10" s="56" t="n">
        <v>0</v>
      </c>
      <c r="J10" s="56" t="n">
        <v>1062.84</v>
      </c>
      <c r="K10" s="56" t="n">
        <v>0</v>
      </c>
      <c r="L10" s="56" t="n">
        <f aca="false">5.20629002060415*1000</f>
        <v>5206.29002060415</v>
      </c>
      <c r="M10" s="56" t="n">
        <f aca="false">3*1000</f>
        <v>3000</v>
      </c>
      <c r="N10" s="56" t="n">
        <f aca="false">25.8491909609698*1000</f>
        <v>25849.1909609698</v>
      </c>
      <c r="O10" s="56" t="n">
        <f aca="false">25.18481*1000</f>
        <v>25184.81</v>
      </c>
      <c r="P10" s="56" t="n">
        <f aca="false">23.41524*1000</f>
        <v>23415.24</v>
      </c>
      <c r="Q10" s="56" t="n">
        <f aca="false">1000*19.4488</f>
        <v>19448.8</v>
      </c>
      <c r="R10" s="57" t="n">
        <f aca="false">1000*11.97367</f>
        <v>11973.67</v>
      </c>
      <c r="S10" s="39"/>
      <c r="T10" s="39"/>
      <c r="U10" s="39"/>
      <c r="V10" s="39"/>
      <c r="W10" s="39"/>
    </row>
    <row r="11" customFormat="false" ht="12" hidden="false" customHeight="true" outlineLevel="0" collapsed="false">
      <c r="A11" s="51" t="s">
        <v>54</v>
      </c>
      <c r="B11" s="52"/>
      <c r="C11" s="52"/>
      <c r="D11" s="53" t="s">
        <v>52</v>
      </c>
      <c r="E11" s="54"/>
      <c r="F11" s="55"/>
      <c r="G11" s="56" t="n">
        <v>0</v>
      </c>
      <c r="H11" s="56" t="n">
        <v>0</v>
      </c>
      <c r="I11" s="56" t="n">
        <v>0</v>
      </c>
      <c r="J11" s="56" t="n">
        <v>0</v>
      </c>
      <c r="K11" s="56" t="n">
        <v>0</v>
      </c>
      <c r="L11" s="56" t="n">
        <v>0</v>
      </c>
      <c r="M11" s="56" t="n">
        <v>0</v>
      </c>
      <c r="N11" s="56" t="n">
        <f aca="false">6049*1000</f>
        <v>6049000</v>
      </c>
      <c r="O11" s="56" t="n">
        <f aca="false">5678.70872*1000</f>
        <v>5678708.72</v>
      </c>
      <c r="P11" s="56" t="n">
        <f aca="false">5933.2796*1000</f>
        <v>5933279.6</v>
      </c>
      <c r="Q11" s="56" t="n">
        <f aca="false">1000*4372</f>
        <v>4372000</v>
      </c>
      <c r="R11" s="57" t="n">
        <f aca="false">1000*4419.0853</f>
        <v>4419085.3</v>
      </c>
      <c r="S11" s="39"/>
      <c r="T11" s="39"/>
      <c r="U11" s="39"/>
      <c r="V11" s="39"/>
      <c r="W11" s="39"/>
    </row>
    <row r="12" customFormat="false" ht="12" hidden="false" customHeight="true" outlineLevel="0" collapsed="false">
      <c r="A12" s="58" t="s">
        <v>55</v>
      </c>
      <c r="B12" s="59"/>
      <c r="C12" s="59"/>
      <c r="D12" s="60" t="s">
        <v>52</v>
      </c>
      <c r="E12" s="61"/>
      <c r="F12" s="62"/>
      <c r="G12" s="63" t="n">
        <v>344837</v>
      </c>
      <c r="H12" s="63" t="n">
        <v>341647</v>
      </c>
      <c r="I12" s="63" t="n">
        <v>44776</v>
      </c>
      <c r="J12" s="63" t="n">
        <v>404498</v>
      </c>
      <c r="K12" s="63" t="n">
        <v>218347</v>
      </c>
      <c r="L12" s="63" t="n">
        <v>267347</v>
      </c>
      <c r="M12" s="63" t="n">
        <v>535856</v>
      </c>
      <c r="N12" s="63" t="n">
        <v>296991</v>
      </c>
      <c r="O12" s="63" t="n">
        <v>270675</v>
      </c>
      <c r="P12" s="63" t="n">
        <v>196688</v>
      </c>
      <c r="Q12" s="63" t="n">
        <v>329856</v>
      </c>
      <c r="R12" s="64" t="n">
        <v>336155</v>
      </c>
      <c r="S12" s="39"/>
      <c r="T12" s="39"/>
      <c r="U12" s="39"/>
      <c r="V12" s="39"/>
      <c r="W12" s="39"/>
    </row>
    <row r="13" customFormat="false" ht="12" hidden="false" customHeight="true" outlineLevel="0" collapsed="false">
      <c r="A13" s="65" t="s">
        <v>16</v>
      </c>
      <c r="B13" s="66" t="s">
        <v>5</v>
      </c>
      <c r="C13" s="66" t="s">
        <v>16</v>
      </c>
      <c r="D13" s="67" t="s">
        <v>56</v>
      </c>
      <c r="E13" s="68"/>
      <c r="F13" s="69"/>
      <c r="G13" s="70" t="n">
        <v>337257</v>
      </c>
      <c r="H13" s="70" t="n">
        <v>198338.76</v>
      </c>
      <c r="I13" s="70" t="n">
        <v>44211.57</v>
      </c>
      <c r="J13" s="70" t="n">
        <v>34722.6</v>
      </c>
      <c r="K13" s="70" t="n">
        <v>153500.99</v>
      </c>
      <c r="L13" s="70" t="n">
        <v>68031.61</v>
      </c>
      <c r="M13" s="70" t="n">
        <v>106613.64</v>
      </c>
      <c r="N13" s="70" t="n">
        <v>129377.47</v>
      </c>
      <c r="O13" s="70" t="n">
        <v>58028.31</v>
      </c>
      <c r="P13" s="70" t="n">
        <v>194706.94</v>
      </c>
      <c r="Q13" s="70" t="n">
        <v>50966.9</v>
      </c>
      <c r="R13" s="71" t="n">
        <v>252688.76</v>
      </c>
      <c r="S13" s="39"/>
      <c r="T13" s="39"/>
      <c r="U13" s="39"/>
      <c r="V13" s="39"/>
      <c r="W13" s="39"/>
    </row>
    <row r="14" customFormat="false" ht="12" hidden="false" customHeight="true" outlineLevel="0" collapsed="false">
      <c r="A14" s="65" t="s">
        <v>17</v>
      </c>
      <c r="B14" s="66" t="s">
        <v>5</v>
      </c>
      <c r="C14" s="66" t="s">
        <v>17</v>
      </c>
      <c r="D14" s="67" t="s">
        <v>57</v>
      </c>
      <c r="E14" s="68"/>
      <c r="F14" s="69"/>
      <c r="G14" s="70" t="n">
        <v>23005</v>
      </c>
      <c r="H14" s="70" t="n">
        <v>475061.02</v>
      </c>
      <c r="I14" s="70" t="n">
        <v>140591.07</v>
      </c>
      <c r="J14" s="70" t="n">
        <v>94820.49</v>
      </c>
      <c r="K14" s="70" t="n">
        <v>24845.1</v>
      </c>
      <c r="L14" s="70" t="n">
        <v>45618.29</v>
      </c>
      <c r="M14" s="70" t="n">
        <v>28666.7</v>
      </c>
      <c r="N14" s="70" t="n">
        <v>123803.19</v>
      </c>
      <c r="O14" s="70" t="n">
        <v>54812.6</v>
      </c>
      <c r="P14" s="70" t="n">
        <v>199235.86</v>
      </c>
      <c r="Q14" s="70" t="n">
        <v>34587.55</v>
      </c>
      <c r="R14" s="71" t="n">
        <v>236780.04</v>
      </c>
      <c r="S14" s="39"/>
      <c r="T14" s="39"/>
      <c r="U14" s="39"/>
      <c r="V14" s="39"/>
      <c r="W14" s="39"/>
    </row>
    <row r="15" customFormat="false" ht="12" hidden="false" customHeight="true" outlineLevel="0" collapsed="false">
      <c r="A15" s="44" t="s">
        <v>21</v>
      </c>
      <c r="B15" s="45" t="s">
        <v>5</v>
      </c>
      <c r="C15" s="45" t="s">
        <v>20</v>
      </c>
      <c r="D15" s="46" t="s">
        <v>58</v>
      </c>
      <c r="E15" s="47"/>
      <c r="F15" s="48"/>
      <c r="G15" s="49" t="n">
        <v>2370000</v>
      </c>
      <c r="H15" s="49" t="n">
        <v>3553353.17</v>
      </c>
      <c r="I15" s="49" t="n">
        <v>3969964</v>
      </c>
      <c r="J15" s="49" t="n">
        <v>2575452</v>
      </c>
      <c r="K15" s="49" t="n">
        <v>3209793</v>
      </c>
      <c r="L15" s="49" t="n">
        <v>2439474</v>
      </c>
      <c r="M15" s="49" t="n">
        <f aca="false">1267.492*1000</f>
        <v>1267492</v>
      </c>
      <c r="N15" s="49" t="n">
        <f aca="false">1634.628*1000</f>
        <v>1634628</v>
      </c>
      <c r="O15" s="49" t="n">
        <f aca="false">2032.215*100</f>
        <v>203221.5</v>
      </c>
      <c r="P15" s="49" t="n">
        <f aca="false">890.943*1000</f>
        <v>890943</v>
      </c>
      <c r="Q15" s="49" t="n">
        <f aca="false">1000*532.645</f>
        <v>532645</v>
      </c>
      <c r="R15" s="50" t="n">
        <f aca="false">1000*821.57716</f>
        <v>821577.16</v>
      </c>
      <c r="S15" s="39"/>
      <c r="T15" s="39"/>
      <c r="U15" s="39"/>
      <c r="V15" s="39"/>
      <c r="W15" s="39"/>
    </row>
    <row r="16" customFormat="false" ht="12" hidden="false" customHeight="true" outlineLevel="0" collapsed="false">
      <c r="A16" s="51" t="s">
        <v>22</v>
      </c>
      <c r="B16" s="52" t="s">
        <v>5</v>
      </c>
      <c r="C16" s="52" t="s">
        <v>20</v>
      </c>
      <c r="D16" s="53" t="s">
        <v>58</v>
      </c>
      <c r="E16" s="54"/>
      <c r="F16" s="55"/>
      <c r="G16" s="56" t="n">
        <v>695000</v>
      </c>
      <c r="H16" s="56" t="n">
        <v>1001529</v>
      </c>
      <c r="I16" s="56" t="n">
        <v>928360.3</v>
      </c>
      <c r="J16" s="56" t="n">
        <v>1569135</v>
      </c>
      <c r="K16" s="56" t="n">
        <v>1179471</v>
      </c>
      <c r="L16" s="56" t="n">
        <v>935173</v>
      </c>
      <c r="M16" s="56" t="n">
        <f aca="false">791.65*1000</f>
        <v>791650</v>
      </c>
      <c r="N16" s="56" t="n">
        <f aca="false">944.468*1000</f>
        <v>944468</v>
      </c>
      <c r="O16" s="56" t="n">
        <f aca="false">435.557*1000</f>
        <v>435557</v>
      </c>
      <c r="P16" s="56" t="n">
        <f aca="false">452.455*1000</f>
        <v>452455</v>
      </c>
      <c r="Q16" s="56" t="n">
        <f aca="false">1000*341.398</f>
        <v>341398</v>
      </c>
      <c r="R16" s="57" t="n">
        <f aca="false">806.2952*1000</f>
        <v>806295.2</v>
      </c>
      <c r="S16" s="39"/>
      <c r="T16" s="39"/>
      <c r="U16" s="39"/>
      <c r="V16" s="39"/>
      <c r="W16" s="39"/>
    </row>
    <row r="17" customFormat="false" ht="12" hidden="false" customHeight="true" outlineLevel="0" collapsed="false">
      <c r="A17" s="51" t="s">
        <v>25</v>
      </c>
      <c r="B17" s="52" t="s">
        <v>5</v>
      </c>
      <c r="C17" s="52" t="s">
        <v>20</v>
      </c>
      <c r="D17" s="53" t="s">
        <v>58</v>
      </c>
      <c r="E17" s="54"/>
      <c r="F17" s="55"/>
      <c r="G17" s="56" t="n">
        <v>119911136.190401</v>
      </c>
      <c r="H17" s="56" t="n">
        <v>139445086.63918</v>
      </c>
      <c r="I17" s="56" t="n">
        <v>80231710.8047828</v>
      </c>
      <c r="J17" s="56" t="n">
        <v>66391245.0846979</v>
      </c>
      <c r="K17" s="56" t="n">
        <v>69632080.4218782</v>
      </c>
      <c r="L17" s="56" t="n">
        <v>77867611.5470121</v>
      </c>
      <c r="M17" s="56" t="n">
        <v>73541114.4511004</v>
      </c>
      <c r="N17" s="56" t="n">
        <v>85909099.6047661</v>
      </c>
      <c r="O17" s="56" t="n">
        <v>66983312.5346663</v>
      </c>
      <c r="P17" s="56" t="n">
        <v>62341523.6362071</v>
      </c>
      <c r="Q17" s="56" t="n">
        <v>62553992.8527886</v>
      </c>
      <c r="R17" s="57" t="n">
        <v>61548814.7799013</v>
      </c>
      <c r="S17" s="39"/>
      <c r="T17" s="39"/>
      <c r="U17" s="39"/>
      <c r="V17" s="39"/>
      <c r="W17" s="39"/>
    </row>
    <row r="18" customFormat="false" ht="12" hidden="false" customHeight="true" outlineLevel="0" collapsed="false">
      <c r="A18" s="51" t="s">
        <v>26</v>
      </c>
      <c r="B18" s="72"/>
      <c r="C18" s="72"/>
      <c r="D18" s="53" t="s">
        <v>58</v>
      </c>
      <c r="E18" s="54"/>
      <c r="F18" s="55"/>
      <c r="G18" s="56" t="n">
        <v>527738.939535078</v>
      </c>
      <c r="H18" s="56" t="n">
        <v>673738.342770572</v>
      </c>
      <c r="I18" s="56" t="n">
        <v>696109.311891762</v>
      </c>
      <c r="J18" s="56" t="n">
        <v>706350.161627102</v>
      </c>
      <c r="K18" s="56" t="n">
        <v>668354.646525974</v>
      </c>
      <c r="L18" s="56" t="n">
        <v>593065.414756941</v>
      </c>
      <c r="M18" s="73" t="n">
        <v>551205.449418193</v>
      </c>
      <c r="N18" s="73" t="n">
        <v>534335.029233176</v>
      </c>
      <c r="O18" s="73" t="n">
        <v>433754.797420224</v>
      </c>
      <c r="P18" s="73" t="n">
        <v>544190.957820076</v>
      </c>
      <c r="Q18" s="73" t="n">
        <v>571903.305383936</v>
      </c>
      <c r="R18" s="74" t="n">
        <v>574992.403770903</v>
      </c>
      <c r="S18" s="39"/>
      <c r="T18" s="39"/>
      <c r="U18" s="39"/>
      <c r="V18" s="39"/>
      <c r="W18" s="39"/>
    </row>
    <row r="19" customFormat="false" ht="12" hidden="false" customHeight="true" outlineLevel="0" collapsed="false">
      <c r="A19" s="58" t="s">
        <v>28</v>
      </c>
      <c r="B19" s="59" t="s">
        <v>5</v>
      </c>
      <c r="C19" s="59" t="s">
        <v>20</v>
      </c>
      <c r="D19" s="60" t="s">
        <v>58</v>
      </c>
      <c r="E19" s="61"/>
      <c r="F19" s="62"/>
      <c r="G19" s="63" t="n">
        <v>15807399</v>
      </c>
      <c r="H19" s="63" t="n">
        <v>14429937</v>
      </c>
      <c r="I19" s="63" t="n">
        <v>19761235.2219085</v>
      </c>
      <c r="J19" s="63" t="n">
        <v>13502199.0205731</v>
      </c>
      <c r="K19" s="63" t="n">
        <v>7661055.05838792</v>
      </c>
      <c r="L19" s="63" t="n">
        <v>5350523.87494765</v>
      </c>
      <c r="M19" s="63" t="n">
        <v>10205261.7013984</v>
      </c>
      <c r="N19" s="63" t="n">
        <v>9794626</v>
      </c>
      <c r="O19" s="63" t="n">
        <v>14012186.6470077</v>
      </c>
      <c r="P19" s="63" t="n">
        <v>20322466.1750505</v>
      </c>
      <c r="Q19" s="63" t="n">
        <v>17608598.8208613</v>
      </c>
      <c r="R19" s="64" t="n">
        <v>33801070.6135174</v>
      </c>
      <c r="S19" s="39"/>
      <c r="T19" s="39"/>
      <c r="U19" s="39"/>
      <c r="V19" s="39"/>
      <c r="W19" s="39"/>
    </row>
    <row r="20" customFormat="false" ht="12" hidden="false" customHeight="true" outlineLevel="0" collapsed="false">
      <c r="A20" s="44" t="s">
        <v>59</v>
      </c>
      <c r="B20" s="45" t="s">
        <v>31</v>
      </c>
      <c r="C20" s="45" t="s">
        <v>6</v>
      </c>
      <c r="D20" s="46" t="s">
        <v>60</v>
      </c>
      <c r="E20" s="47"/>
      <c r="F20" s="48"/>
      <c r="G20" s="49" t="n">
        <v>1271876</v>
      </c>
      <c r="H20" s="49" t="n">
        <v>1286033</v>
      </c>
      <c r="I20" s="49" t="n">
        <v>1129837</v>
      </c>
      <c r="J20" s="49" t="n">
        <v>1398726</v>
      </c>
      <c r="K20" s="49" t="n">
        <v>1302426</v>
      </c>
      <c r="L20" s="49" t="n">
        <v>4640987</v>
      </c>
      <c r="M20" s="49" t="n">
        <v>3665832.38082772</v>
      </c>
      <c r="N20" s="49" t="n">
        <v>1878793.68294579</v>
      </c>
      <c r="O20" s="49" t="n">
        <v>1627931.23219533</v>
      </c>
      <c r="P20" s="49" t="n">
        <v>1384847</v>
      </c>
      <c r="Q20" s="49" t="n">
        <v>1560666.99373217</v>
      </c>
      <c r="R20" s="50" t="n">
        <v>2436472.39164186</v>
      </c>
      <c r="S20" s="39"/>
      <c r="T20" s="39"/>
      <c r="U20" s="39"/>
      <c r="V20" s="39"/>
      <c r="W20" s="39"/>
    </row>
    <row r="21" customFormat="false" ht="12" hidden="false" customHeight="true" outlineLevel="0" collapsed="false">
      <c r="A21" s="51" t="s">
        <v>34</v>
      </c>
      <c r="B21" s="52"/>
      <c r="C21" s="52"/>
      <c r="D21" s="53" t="s">
        <v>60</v>
      </c>
      <c r="E21" s="54"/>
      <c r="F21" s="55"/>
      <c r="G21" s="56" t="n">
        <v>1059913</v>
      </c>
      <c r="H21" s="56" t="n">
        <v>1118196</v>
      </c>
      <c r="I21" s="56" t="n">
        <v>1007307</v>
      </c>
      <c r="J21" s="56" t="n">
        <v>887542</v>
      </c>
      <c r="K21" s="56" t="n">
        <v>937883</v>
      </c>
      <c r="L21" s="56" t="n">
        <v>1088435</v>
      </c>
      <c r="M21" s="56" t="n">
        <v>941834</v>
      </c>
      <c r="N21" s="56" t="n">
        <v>967697</v>
      </c>
      <c r="O21" s="56" t="n">
        <v>874915</v>
      </c>
      <c r="P21" s="26" t="n">
        <f aca="false">AVERAGE(O21,Q21)</f>
        <v>726886</v>
      </c>
      <c r="Q21" s="56" t="n">
        <v>578857</v>
      </c>
      <c r="R21" s="26" t="n">
        <f aca="false">AVERAGE(Q21,S21)</f>
        <v>578857</v>
      </c>
      <c r="S21" s="39"/>
      <c r="T21" s="39"/>
      <c r="U21" s="39"/>
      <c r="V21" s="39"/>
      <c r="W21" s="39"/>
    </row>
    <row r="22" customFormat="false" ht="12" hidden="false" customHeight="true" outlineLevel="0" collapsed="false">
      <c r="A22" s="58" t="s">
        <v>36</v>
      </c>
      <c r="B22" s="59" t="s">
        <v>31</v>
      </c>
      <c r="C22" s="59" t="s">
        <v>6</v>
      </c>
      <c r="D22" s="60" t="s">
        <v>60</v>
      </c>
      <c r="E22" s="61"/>
      <c r="F22" s="62"/>
      <c r="G22" s="63" t="n">
        <v>557224</v>
      </c>
      <c r="H22" s="63" t="n">
        <v>540440</v>
      </c>
      <c r="I22" s="63" t="n">
        <v>546888</v>
      </c>
      <c r="J22" s="63" t="n">
        <v>516371</v>
      </c>
      <c r="K22" s="63" t="n">
        <v>1476919</v>
      </c>
      <c r="L22" s="63" t="n">
        <v>1800788</v>
      </c>
      <c r="M22" s="63" t="n">
        <v>1564407</v>
      </c>
      <c r="N22" s="63" t="n">
        <v>728269</v>
      </c>
      <c r="O22" s="63" t="n">
        <v>695918</v>
      </c>
      <c r="P22" s="63" t="n">
        <v>584193</v>
      </c>
      <c r="Q22" s="63" t="n">
        <v>0</v>
      </c>
      <c r="R22" s="63" t="n">
        <v>0</v>
      </c>
      <c r="S22" s="39"/>
      <c r="T22" s="39"/>
      <c r="U22" s="39"/>
      <c r="V22" s="39"/>
      <c r="W22" s="39"/>
    </row>
    <row r="23" customFormat="false" ht="12" hidden="false" customHeight="true" outlineLevel="0" collapsed="false">
      <c r="A23" s="65" t="s">
        <v>38</v>
      </c>
      <c r="B23" s="66" t="s">
        <v>31</v>
      </c>
      <c r="C23" s="66" t="s">
        <v>16</v>
      </c>
      <c r="D23" s="67" t="s">
        <v>61</v>
      </c>
      <c r="E23" s="68"/>
      <c r="F23" s="69"/>
      <c r="G23" s="70" t="n">
        <v>1633506.52</v>
      </c>
      <c r="H23" s="70" t="n">
        <v>1654695.87</v>
      </c>
      <c r="I23" s="70" t="n">
        <v>1092013.53</v>
      </c>
      <c r="J23" s="70" t="n">
        <v>1030597.8</v>
      </c>
      <c r="K23" s="70" t="n">
        <v>1001385.49</v>
      </c>
      <c r="L23" s="70" t="n">
        <v>1006790.08</v>
      </c>
      <c r="M23" s="70" t="n">
        <v>976871.77</v>
      </c>
      <c r="N23" s="70" t="n">
        <v>920897.47</v>
      </c>
      <c r="O23" s="70" t="n">
        <v>942823.63</v>
      </c>
      <c r="P23" s="70" t="n">
        <v>861596.36</v>
      </c>
      <c r="Q23" s="70" t="n">
        <v>865780.66</v>
      </c>
      <c r="R23" s="71" t="n">
        <v>853.04</v>
      </c>
      <c r="S23" s="39"/>
      <c r="T23" s="39"/>
      <c r="U23" s="39"/>
      <c r="V23" s="39"/>
      <c r="W23" s="39"/>
    </row>
    <row r="24" customFormat="false" ht="12" hidden="false" customHeight="true" outlineLevel="0" collapsed="false">
      <c r="A24" s="65" t="s">
        <v>39</v>
      </c>
      <c r="B24" s="66" t="s">
        <v>31</v>
      </c>
      <c r="C24" s="66" t="s">
        <v>17</v>
      </c>
      <c r="D24" s="67" t="s">
        <v>62</v>
      </c>
      <c r="E24" s="68"/>
      <c r="F24" s="69"/>
      <c r="G24" s="70" t="n">
        <v>4053418.52</v>
      </c>
      <c r="H24" s="70" t="n">
        <v>3993940.33</v>
      </c>
      <c r="I24" s="70" t="n">
        <v>5162478.12</v>
      </c>
      <c r="J24" s="70" t="n">
        <v>5256057.14</v>
      </c>
      <c r="K24" s="70" t="n">
        <v>9779357.93</v>
      </c>
      <c r="L24" s="70" t="n">
        <v>9961765.73</v>
      </c>
      <c r="M24" s="70" t="n">
        <v>9622113.8</v>
      </c>
      <c r="N24" s="70" t="n">
        <v>9797984.01</v>
      </c>
      <c r="O24" s="70" t="n">
        <v>9716361.37</v>
      </c>
      <c r="P24" s="70" t="n">
        <v>9573588.16</v>
      </c>
      <c r="Q24" s="70" t="n">
        <v>8367919.62</v>
      </c>
      <c r="R24" s="71" t="n">
        <v>7545462.57</v>
      </c>
      <c r="S24" s="39"/>
      <c r="T24" s="39"/>
      <c r="U24" s="39"/>
      <c r="V24" s="39"/>
      <c r="W24" s="39"/>
    </row>
    <row r="25" customFormat="false" ht="12" hidden="false" customHeight="true" outlineLevel="0" collapsed="false">
      <c r="A25" s="65" t="s">
        <v>63</v>
      </c>
      <c r="B25" s="66" t="s">
        <v>31</v>
      </c>
      <c r="C25" s="66" t="s">
        <v>20</v>
      </c>
      <c r="D25" s="67" t="s">
        <v>64</v>
      </c>
      <c r="E25" s="68"/>
      <c r="F25" s="69"/>
      <c r="G25" s="70" t="n">
        <v>6484975.50859392</v>
      </c>
      <c r="H25" s="70" t="n">
        <v>6063146.14129057</v>
      </c>
      <c r="I25" s="70" t="n">
        <v>5869876.95198732</v>
      </c>
      <c r="J25" s="70" t="n">
        <v>5138342.97330066</v>
      </c>
      <c r="K25" s="70" t="n">
        <v>5035345.99894261</v>
      </c>
      <c r="L25" s="70" t="n">
        <v>4637306.76616781</v>
      </c>
      <c r="M25" s="70" t="n">
        <v>5935964.62873871</v>
      </c>
      <c r="N25" s="70" t="n">
        <v>6038105.51134696</v>
      </c>
      <c r="O25" s="70" t="n">
        <v>5798342.5759273</v>
      </c>
      <c r="P25" s="70" t="n">
        <v>6005385.00755401</v>
      </c>
      <c r="Q25" s="70" t="n">
        <v>6354009.55613344</v>
      </c>
      <c r="R25" s="70" t="n">
        <v>6768797.85209671</v>
      </c>
      <c r="S25" s="39"/>
      <c r="T25" s="39"/>
      <c r="U25" s="39"/>
      <c r="V25" s="39"/>
      <c r="W25" s="39"/>
    </row>
    <row r="26" customFormat="false" ht="12" hidden="false" customHeight="true" outlineLevel="0" collapsed="false">
      <c r="A26" s="75"/>
      <c r="B26" s="40"/>
      <c r="C26" s="40"/>
      <c r="D26" s="76"/>
      <c r="E26" s="77"/>
      <c r="F26" s="43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40"/>
      <c r="T26" s="39" t="s">
        <v>0</v>
      </c>
      <c r="U26" s="39" t="s">
        <v>1</v>
      </c>
      <c r="V26" s="39" t="s">
        <v>2</v>
      </c>
      <c r="W26" s="40"/>
    </row>
    <row r="27" customFormat="false" ht="12" hidden="false" customHeight="true" outlineLevel="0" collapsed="false">
      <c r="A27" s="75" t="s">
        <v>42</v>
      </c>
      <c r="B27" s="40"/>
      <c r="C27" s="40"/>
      <c r="D27" s="76"/>
      <c r="E27" s="78" t="n">
        <f aca="false">'1999'!R28</f>
        <v>20968806.4571575</v>
      </c>
      <c r="F27" s="43"/>
      <c r="G27" s="79" t="n">
        <f aca="false">SQRT(SUMSQ(SUM(G2:G3),G4:G12))</f>
        <v>27474698.3682337</v>
      </c>
      <c r="H27" s="79" t="n">
        <f aca="false">SQRT(SUMSQ(SUM(H2:H3),H4:H12))</f>
        <v>22770822.4825345</v>
      </c>
      <c r="I27" s="78" t="n">
        <f aca="false">SQRT(SUMSQ(SUM(I2:I3),I4:I12))</f>
        <v>32047743.1970066</v>
      </c>
      <c r="J27" s="79" t="n">
        <f aca="false">SQRT(SUMSQ(SUM(J2:J3),J4:J12))</f>
        <v>50357057.2915891</v>
      </c>
      <c r="K27" s="79" t="n">
        <f aca="false">SQRT(SUMSQ(SUM(K2:K3),K4:K12))</f>
        <v>49724127.3838948</v>
      </c>
      <c r="L27" s="78" t="n">
        <f aca="false">SQRT(SUMSQ(SUM(L2:L3),L4:L12))</f>
        <v>52983009.8853113</v>
      </c>
      <c r="M27" s="79" t="n">
        <f aca="false">SQRT(SUMSQ(SUM(M2:M3),M4:M12))</f>
        <v>48029858.9321966</v>
      </c>
      <c r="N27" s="79" t="n">
        <f aca="false">SQRT(SUMSQ(SUM(N2:N3),N4:N12))</f>
        <v>78762832.4294736</v>
      </c>
      <c r="O27" s="78" t="n">
        <f aca="false">SQRT(SUMSQ(SUM(O2:O3),O4:O12))</f>
        <v>54993633.7896106</v>
      </c>
      <c r="P27" s="79" t="n">
        <f aca="false">SQRT(SUMSQ(SUM(P2:P3),P4:P12))</f>
        <v>34610905.6231364</v>
      </c>
      <c r="Q27" s="79" t="n">
        <f aca="false">SQRT(SUMSQ(SUM(Q2:Q3),Q4:Q12))</f>
        <v>81119047.9203184</v>
      </c>
      <c r="R27" s="78" t="n">
        <f aca="false">SQRT(SUMSQ(SUM(R2:R3),R4:R12))</f>
        <v>65821030.4660116</v>
      </c>
      <c r="S27" s="40"/>
      <c r="T27" s="80" t="n">
        <f aca="false">AVERAGE($G27:$R27)</f>
        <v>49891230.6474431</v>
      </c>
      <c r="U27" s="80" t="n">
        <f aca="false">MAX($G27:$R27)</f>
        <v>81119047.9203184</v>
      </c>
      <c r="V27" s="80" t="n">
        <f aca="false">MIN($G27:$R27)</f>
        <v>22770822.4825345</v>
      </c>
      <c r="W27" s="40"/>
    </row>
    <row r="28" customFormat="false" ht="12" hidden="false" customHeight="true" outlineLevel="0" collapsed="false">
      <c r="A28" s="75" t="s">
        <v>43</v>
      </c>
      <c r="B28" s="40"/>
      <c r="C28" s="40"/>
      <c r="D28" s="76"/>
      <c r="E28" s="78" t="n">
        <f aca="false">'1999'!R29</f>
        <v>402833.5</v>
      </c>
      <c r="F28" s="43"/>
      <c r="G28" s="79" t="n">
        <f aca="false">G13</f>
        <v>337257</v>
      </c>
      <c r="H28" s="79" t="n">
        <f aca="false">H13</f>
        <v>198338.76</v>
      </c>
      <c r="I28" s="78" t="n">
        <f aca="false">I13</f>
        <v>44211.57</v>
      </c>
      <c r="J28" s="79" t="n">
        <f aca="false">J13</f>
        <v>34722.6</v>
      </c>
      <c r="K28" s="79" t="n">
        <f aca="false">K13</f>
        <v>153500.99</v>
      </c>
      <c r="L28" s="78" t="n">
        <f aca="false">L13</f>
        <v>68031.61</v>
      </c>
      <c r="M28" s="79" t="n">
        <f aca="false">M13</f>
        <v>106613.64</v>
      </c>
      <c r="N28" s="79" t="n">
        <f aca="false">N13</f>
        <v>129377.47</v>
      </c>
      <c r="O28" s="78" t="n">
        <f aca="false">O13</f>
        <v>58028.31</v>
      </c>
      <c r="P28" s="79" t="n">
        <f aca="false">P13</f>
        <v>194706.94</v>
      </c>
      <c r="Q28" s="79" t="n">
        <f aca="false">Q13</f>
        <v>50966.9</v>
      </c>
      <c r="R28" s="78" t="n">
        <f aca="false">R13</f>
        <v>252688.76</v>
      </c>
      <c r="S28" s="40"/>
      <c r="T28" s="80" t="n">
        <f aca="false">AVERAGE($G28:$R28)</f>
        <v>135703.7125</v>
      </c>
      <c r="U28" s="80" t="n">
        <f aca="false">MAX($G28:$R28)</f>
        <v>337257</v>
      </c>
      <c r="V28" s="80" t="n">
        <f aca="false">MIN($G28:$R28)</f>
        <v>34722.6</v>
      </c>
      <c r="W28" s="40"/>
    </row>
    <row r="29" customFormat="false" ht="12" hidden="false" customHeight="true" outlineLevel="0" collapsed="false">
      <c r="A29" s="75" t="s">
        <v>44</v>
      </c>
      <c r="B29" s="40"/>
      <c r="C29" s="40"/>
      <c r="D29" s="76"/>
      <c r="E29" s="78" t="n">
        <f aca="false">'1999'!R30</f>
        <v>88015.32</v>
      </c>
      <c r="F29" s="43"/>
      <c r="G29" s="79" t="n">
        <f aca="false">G14</f>
        <v>23005</v>
      </c>
      <c r="H29" s="79" t="n">
        <f aca="false">H14</f>
        <v>475061.02</v>
      </c>
      <c r="I29" s="78" t="n">
        <f aca="false">I14</f>
        <v>140591.07</v>
      </c>
      <c r="J29" s="79" t="n">
        <f aca="false">J14</f>
        <v>94820.49</v>
      </c>
      <c r="K29" s="79" t="n">
        <f aca="false">K14</f>
        <v>24845.1</v>
      </c>
      <c r="L29" s="78" t="n">
        <f aca="false">L14</f>
        <v>45618.29</v>
      </c>
      <c r="M29" s="79" t="n">
        <f aca="false">M14</f>
        <v>28666.7</v>
      </c>
      <c r="N29" s="79" t="n">
        <f aca="false">N14</f>
        <v>123803.19</v>
      </c>
      <c r="O29" s="78" t="n">
        <f aca="false">O14</f>
        <v>54812.6</v>
      </c>
      <c r="P29" s="79" t="n">
        <f aca="false">P14</f>
        <v>199235.86</v>
      </c>
      <c r="Q29" s="79" t="n">
        <f aca="false">Q14</f>
        <v>34587.55</v>
      </c>
      <c r="R29" s="78" t="n">
        <f aca="false">R14</f>
        <v>236780.04</v>
      </c>
      <c r="S29" s="40"/>
      <c r="T29" s="80" t="n">
        <f aca="false">AVERAGE($G29:$R29)</f>
        <v>123485.575833333</v>
      </c>
      <c r="U29" s="80" t="n">
        <f aca="false">MAX($G29:$R29)</f>
        <v>475061.02</v>
      </c>
      <c r="V29" s="80" t="n">
        <f aca="false">MIN($G29:$R29)</f>
        <v>23005</v>
      </c>
      <c r="W29" s="40"/>
    </row>
    <row r="30" customFormat="false" ht="12" hidden="false" customHeight="true" outlineLevel="0" collapsed="false">
      <c r="A30" s="75" t="s">
        <v>45</v>
      </c>
      <c r="B30" s="40"/>
      <c r="C30" s="40"/>
      <c r="D30" s="76"/>
      <c r="E30" s="78" t="n">
        <f aca="false">'1999'!R31</f>
        <v>26425551.596896</v>
      </c>
      <c r="F30" s="43"/>
      <c r="G30" s="79" t="n">
        <f aca="false">SQRT(SUMSQ(G15:G19))</f>
        <v>120974926.654271</v>
      </c>
      <c r="H30" s="79" t="n">
        <f aca="false">SQRT(SUMSQ(H15:H19))</f>
        <v>140239932.159408</v>
      </c>
      <c r="I30" s="78" t="n">
        <f aca="false">SQRT(SUMSQ(I15:I19))</f>
        <v>82732949.1275387</v>
      </c>
      <c r="J30" s="79" t="n">
        <f aca="false">SQRT(SUMSQ(J15:J19))</f>
        <v>67821094.5834034</v>
      </c>
      <c r="K30" s="79" t="n">
        <f aca="false">SQRT(SUMSQ(K15:K19))</f>
        <v>70138855.2042503</v>
      </c>
      <c r="L30" s="78" t="n">
        <f aca="false">SQRT(SUMSQ(L15:L19))</f>
        <v>78097185.2392616</v>
      </c>
      <c r="M30" s="79" t="n">
        <f aca="false">SQRT(SUMSQ(M15:M19))</f>
        <v>74262911.0272679</v>
      </c>
      <c r="N30" s="79" t="n">
        <f aca="false">SQRT(SUMSQ(N15:N19))</f>
        <v>86487904.5636231</v>
      </c>
      <c r="O30" s="78" t="n">
        <f aca="false">SQRT(SUMSQ(O15:O19))</f>
        <v>68436281.9332696</v>
      </c>
      <c r="P30" s="79" t="n">
        <f aca="false">SQRT(SUMSQ(P15:P19))</f>
        <v>65580201.5815344</v>
      </c>
      <c r="Q30" s="79" t="n">
        <f aca="false">SQRT(SUMSQ(Q15:Q19))</f>
        <v>64990707.8815265</v>
      </c>
      <c r="R30" s="78" t="n">
        <f aca="false">SQRT(SUMSQ(R15:R19))</f>
        <v>70231223.0612166</v>
      </c>
      <c r="S30" s="40"/>
      <c r="T30" s="80" t="n">
        <f aca="false">AVERAGE($G30:$R30)</f>
        <v>82499514.4180477</v>
      </c>
      <c r="U30" s="80" t="n">
        <f aca="false">MAX($G30:$R30)</f>
        <v>140239932.159408</v>
      </c>
      <c r="V30" s="80" t="n">
        <f aca="false">MIN($G30:$R30)</f>
        <v>64990707.8815265</v>
      </c>
      <c r="W30" s="40"/>
    </row>
    <row r="31" customFormat="false" ht="12" hidden="false" customHeight="true" outlineLevel="0" collapsed="false">
      <c r="A31" s="75" t="s">
        <v>46</v>
      </c>
      <c r="B31" s="40"/>
      <c r="C31" s="40"/>
      <c r="D31" s="76"/>
      <c r="E31" s="78" t="n">
        <f aca="false">'1999'!R32</f>
        <v>1388846.83526334</v>
      </c>
      <c r="F31" s="43"/>
      <c r="G31" s="79" t="n">
        <f aca="false">SQRT(SUMSQ(G20:G22))</f>
        <v>1746877.99033619</v>
      </c>
      <c r="H31" s="79" t="n">
        <f aca="false">SQRT(SUMSQ(H20:H22))</f>
        <v>1787825.09354383</v>
      </c>
      <c r="I31" s="78" t="n">
        <f aca="false">SQRT(SUMSQ(I20:I22))</f>
        <v>1609436.39929076</v>
      </c>
      <c r="J31" s="79" t="n">
        <f aca="false">SQRT(SUMSQ(J20:J22))</f>
        <v>1735166.91833408</v>
      </c>
      <c r="K31" s="79" t="n">
        <f aca="false">SQRT(SUMSQ(K20:K22))</f>
        <v>2181106.99868805</v>
      </c>
      <c r="L31" s="78" t="n">
        <f aca="false">SQRT(SUMSQ(L20:L22))</f>
        <v>5095712.75724388</v>
      </c>
      <c r="M31" s="79" t="n">
        <f aca="false">SQRT(SUMSQ(M20:M22))</f>
        <v>4095454.50341351</v>
      </c>
      <c r="N31" s="79" t="n">
        <f aca="false">SQRT(SUMSQ(N20:N22))</f>
        <v>2235325.23880687</v>
      </c>
      <c r="O31" s="78" t="n">
        <f aca="false">SQRT(SUMSQ(O20:O22))</f>
        <v>1974826.12315768</v>
      </c>
      <c r="P31" s="79" t="n">
        <f aca="false">SQRT(SUMSQ(P20:P22))</f>
        <v>1669564.59343567</v>
      </c>
      <c r="Q31" s="79" t="n">
        <f aca="false">SQRT(SUMSQ(Q20:Q22))</f>
        <v>1664559.06827424</v>
      </c>
      <c r="R31" s="78" t="n">
        <f aca="false">SQRT(SUMSQ(R20:R22))</f>
        <v>2504290.94589307</v>
      </c>
      <c r="S31" s="40"/>
      <c r="T31" s="80" t="n">
        <f aca="false">AVERAGE($G31:$R31)</f>
        <v>2358345.55253482</v>
      </c>
      <c r="U31" s="80" t="n">
        <f aca="false">MAX($G31:$R31)</f>
        <v>5095712.75724388</v>
      </c>
      <c r="V31" s="80" t="n">
        <f aca="false">MIN($G31:$R31)</f>
        <v>1609436.39929076</v>
      </c>
      <c r="W31" s="40"/>
    </row>
    <row r="32" customFormat="false" ht="12" hidden="false" customHeight="true" outlineLevel="0" collapsed="false">
      <c r="A32" s="75" t="s">
        <v>47</v>
      </c>
      <c r="B32" s="40"/>
      <c r="C32" s="40"/>
      <c r="D32" s="76"/>
      <c r="E32" s="78" t="n">
        <f aca="false">'1999'!R33</f>
        <v>1745908.45</v>
      </c>
      <c r="F32" s="43"/>
      <c r="G32" s="79" t="n">
        <f aca="false">G23</f>
        <v>1633506.52</v>
      </c>
      <c r="H32" s="79" t="n">
        <f aca="false">H23</f>
        <v>1654695.87</v>
      </c>
      <c r="I32" s="78" t="n">
        <f aca="false">I23</f>
        <v>1092013.53</v>
      </c>
      <c r="J32" s="79" t="n">
        <f aca="false">J23</f>
        <v>1030597.8</v>
      </c>
      <c r="K32" s="79" t="n">
        <f aca="false">K23</f>
        <v>1001385.49</v>
      </c>
      <c r="L32" s="78" t="n">
        <f aca="false">L23</f>
        <v>1006790.08</v>
      </c>
      <c r="M32" s="79" t="n">
        <f aca="false">M23</f>
        <v>976871.77</v>
      </c>
      <c r="N32" s="79" t="n">
        <f aca="false">N23</f>
        <v>920897.47</v>
      </c>
      <c r="O32" s="78" t="n">
        <f aca="false">O23</f>
        <v>942823.63</v>
      </c>
      <c r="P32" s="79" t="n">
        <f aca="false">P23</f>
        <v>861596.36</v>
      </c>
      <c r="Q32" s="79" t="n">
        <f aca="false">Q23</f>
        <v>865780.66</v>
      </c>
      <c r="R32" s="78" t="n">
        <f aca="false">R23</f>
        <v>853.04</v>
      </c>
      <c r="S32" s="40"/>
      <c r="T32" s="80" t="n">
        <f aca="false">AVERAGE($G32:$R32)</f>
        <v>998984.351666667</v>
      </c>
      <c r="U32" s="80" t="n">
        <f aca="false">MAX($G32:$R32)</f>
        <v>1654695.87</v>
      </c>
      <c r="V32" s="80" t="n">
        <f aca="false">MIN($G32:$R32)</f>
        <v>853.04</v>
      </c>
      <c r="W32" s="40"/>
    </row>
    <row r="33" customFormat="false" ht="12" hidden="false" customHeight="true" outlineLevel="0" collapsed="false">
      <c r="A33" s="75" t="s">
        <v>48</v>
      </c>
      <c r="B33" s="40"/>
      <c r="C33" s="40"/>
      <c r="D33" s="76"/>
      <c r="E33" s="78" t="n">
        <f aca="false">'1999'!R34</f>
        <v>3589218.36</v>
      </c>
      <c r="F33" s="43"/>
      <c r="G33" s="79" t="n">
        <f aca="false">G24</f>
        <v>4053418.52</v>
      </c>
      <c r="H33" s="79" t="n">
        <f aca="false">H24</f>
        <v>3993940.33</v>
      </c>
      <c r="I33" s="78" t="n">
        <f aca="false">I24</f>
        <v>5162478.12</v>
      </c>
      <c r="J33" s="79" t="n">
        <f aca="false">J24</f>
        <v>5256057.14</v>
      </c>
      <c r="K33" s="79" t="n">
        <f aca="false">K24</f>
        <v>9779357.93</v>
      </c>
      <c r="L33" s="78" t="n">
        <f aca="false">L24</f>
        <v>9961765.73</v>
      </c>
      <c r="M33" s="79" t="n">
        <f aca="false">M24</f>
        <v>9622113.8</v>
      </c>
      <c r="N33" s="79" t="n">
        <f aca="false">N24</f>
        <v>9797984.01</v>
      </c>
      <c r="O33" s="78" t="n">
        <f aca="false">O24</f>
        <v>9716361.37</v>
      </c>
      <c r="P33" s="79" t="n">
        <f aca="false">P24</f>
        <v>9573588.16</v>
      </c>
      <c r="Q33" s="79" t="n">
        <f aca="false">Q24</f>
        <v>8367919.62</v>
      </c>
      <c r="R33" s="78" t="n">
        <f aca="false">R24</f>
        <v>7545462.57</v>
      </c>
      <c r="S33" s="40"/>
      <c r="T33" s="80" t="n">
        <f aca="false">AVERAGE($G33:$R33)</f>
        <v>7735870.60833333</v>
      </c>
      <c r="U33" s="80" t="n">
        <f aca="false">MAX($G33:$R33)</f>
        <v>9961765.73</v>
      </c>
      <c r="V33" s="80" t="n">
        <f aca="false">MIN($G33:$R33)</f>
        <v>3993940.33</v>
      </c>
      <c r="W33" s="40"/>
    </row>
    <row r="34" customFormat="false" ht="12" hidden="false" customHeight="true" outlineLevel="0" collapsed="false">
      <c r="A34" s="75" t="s">
        <v>49</v>
      </c>
      <c r="B34" s="40"/>
      <c r="C34" s="40"/>
      <c r="D34" s="76"/>
      <c r="E34" s="78" t="n">
        <f aca="false">'1999'!R35</f>
        <v>2833349.55718782</v>
      </c>
      <c r="F34" s="43"/>
      <c r="G34" s="79" t="n">
        <f aca="false">G25</f>
        <v>6484975.50859392</v>
      </c>
      <c r="H34" s="79" t="n">
        <f aca="false">H25</f>
        <v>6063146.14129057</v>
      </c>
      <c r="I34" s="78" t="n">
        <f aca="false">I25</f>
        <v>5869876.95198732</v>
      </c>
      <c r="J34" s="79" t="n">
        <f aca="false">J25</f>
        <v>5138342.97330066</v>
      </c>
      <c r="K34" s="79" t="n">
        <f aca="false">K25</f>
        <v>5035345.99894261</v>
      </c>
      <c r="L34" s="78" t="n">
        <f aca="false">L25</f>
        <v>4637306.76616781</v>
      </c>
      <c r="M34" s="79" t="n">
        <f aca="false">M25</f>
        <v>5935964.62873871</v>
      </c>
      <c r="N34" s="79" t="n">
        <f aca="false">N25</f>
        <v>6038105.51134696</v>
      </c>
      <c r="O34" s="78" t="n">
        <f aca="false">O25</f>
        <v>5798342.5759273</v>
      </c>
      <c r="P34" s="79" t="n">
        <f aca="false">P25</f>
        <v>6005385.00755401</v>
      </c>
      <c r="Q34" s="79" t="n">
        <f aca="false">Q25</f>
        <v>6354009.55613344</v>
      </c>
      <c r="R34" s="78" t="n">
        <f aca="false">R25</f>
        <v>6768797.85209671</v>
      </c>
      <c r="S34" s="40"/>
      <c r="T34" s="80" t="n">
        <f aca="false">AVERAGE($G34:$R34)</f>
        <v>5844133.28934</v>
      </c>
      <c r="U34" s="80" t="n">
        <f aca="false">MAX($G34:$R34)</f>
        <v>6768797.85209671</v>
      </c>
      <c r="V34" s="80" t="n">
        <f aca="false">MIN($G34:$R34)</f>
        <v>4637306.76616781</v>
      </c>
      <c r="W34" s="40"/>
    </row>
    <row r="35" customFormat="false" ht="12" hidden="false" customHeight="true" outlineLevel="0" collapsed="false">
      <c r="A35" s="40"/>
      <c r="B35" s="40"/>
      <c r="C35" s="40"/>
      <c r="D35" s="77"/>
      <c r="E35" s="81"/>
      <c r="F35" s="43"/>
      <c r="G35" s="77"/>
      <c r="H35" s="77"/>
      <c r="I35" s="81"/>
      <c r="J35" s="77"/>
      <c r="K35" s="77"/>
      <c r="L35" s="81"/>
      <c r="M35" s="77"/>
      <c r="N35" s="77"/>
      <c r="O35" s="81"/>
      <c r="P35" s="77"/>
      <c r="Q35" s="77"/>
      <c r="R35" s="81"/>
      <c r="S35" s="40"/>
      <c r="T35" s="40"/>
      <c r="U35" s="40"/>
      <c r="V35" s="40"/>
      <c r="W35" s="40"/>
    </row>
    <row r="36" customFormat="false" ht="12" hidden="false" customHeight="true" outlineLevel="0" collapsed="false">
      <c r="A36" s="40" t="s">
        <v>50</v>
      </c>
      <c r="B36" s="40"/>
      <c r="C36" s="40"/>
      <c r="D36" s="77"/>
      <c r="E36" s="82" t="n">
        <f aca="false">SQRT(SUMSQ(E27:E34))</f>
        <v>34118295.5752452</v>
      </c>
      <c r="F36" s="43"/>
      <c r="G36" s="83" t="n">
        <f aca="false">SQRT(SUMSQ(G27:G34))</f>
        <v>124314565.664105</v>
      </c>
      <c r="H36" s="83" t="n">
        <f aca="false">SQRT(SUMSQ(H27:H34))</f>
        <v>142283736.201017</v>
      </c>
      <c r="I36" s="82" t="n">
        <f aca="false">SQRT(SUMSQ(I27:I34))</f>
        <v>89088213.8709554</v>
      </c>
      <c r="J36" s="83" t="n">
        <f aca="false">SQRT(SUMSQ(J27:J34))</f>
        <v>84815363.7460434</v>
      </c>
      <c r="K36" s="83" t="n">
        <f aca="false">SQRT(SUMSQ(K27:K34))</f>
        <v>86710567.895597</v>
      </c>
      <c r="L36" s="82" t="n">
        <f aca="false">SQRT(SUMSQ(L27:L34))</f>
        <v>95153022.5132305</v>
      </c>
      <c r="M36" s="83" t="n">
        <f aca="false">SQRT(SUMSQ(M27:M34))</f>
        <v>89260334.2344004</v>
      </c>
      <c r="N36" s="83" t="n">
        <f aca="false">SQRT(SUMSQ(N27:N34))</f>
        <v>117567331.405366</v>
      </c>
      <c r="O36" s="82" t="n">
        <f aca="false">SQRT(SUMSQ(O27:O34))</f>
        <v>88547434.3132305</v>
      </c>
      <c r="P36" s="83" t="n">
        <f aca="false">SQRT(SUMSQ(P27:P34))</f>
        <v>75033347.6983015</v>
      </c>
      <c r="Q36" s="83" t="n">
        <f aca="false">SQRT(SUMSQ(Q27:Q34))</f>
        <v>104489289.832085</v>
      </c>
      <c r="R36" s="82" t="n">
        <f aca="false">SQRT(SUMSQ(R27:R34))</f>
        <v>96819289.2160748</v>
      </c>
      <c r="S36" s="40"/>
      <c r="T36" s="83" t="n">
        <f aca="false">SQRT(SUMSQ(T27:T34))</f>
        <v>96932428.9924044</v>
      </c>
      <c r="U36" s="83" t="n">
        <f aca="false">SQRT(SUMSQ(U27:U34))</f>
        <v>162547333.538818</v>
      </c>
      <c r="V36" s="83" t="n">
        <f aca="false">SQRT(SUMSQ(V27:V34))</f>
        <v>69154541.8755425</v>
      </c>
      <c r="W36" s="40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12" hidden="false" customHeight="true" outlineLevel="0" collapsed="false">
      <c r="A37" s="40"/>
      <c r="B37" s="40"/>
      <c r="C37" s="40"/>
      <c r="D37" s="77"/>
      <c r="E37" s="77"/>
      <c r="F37" s="43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40"/>
      <c r="T37" s="40"/>
      <c r="U37" s="40"/>
      <c r="V37" s="40"/>
      <c r="W37" s="40"/>
    </row>
    <row r="38" customFormat="false" ht="12" hidden="false" customHeight="true" outlineLevel="0" collapsed="false">
      <c r="A38" s="40"/>
      <c r="B38" s="40"/>
      <c r="C38" s="40"/>
      <c r="D38" s="77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customFormat="false" ht="12" hidden="false" customHeight="true" outlineLevel="0" collapsed="false">
      <c r="A39" s="40"/>
      <c r="B39" s="40"/>
      <c r="C39" s="40"/>
      <c r="D39" s="77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customFormat="false" ht="12" hidden="false" customHeight="true" outlineLevel="0" collapsed="false"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</sheetData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85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86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85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85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65</v>
      </c>
    </row>
    <row r="2" customFormat="false" ht="24.95" hidden="false" customHeight="true" outlineLevel="0" collapsed="false">
      <c r="A2" s="87" t="s">
        <v>66</v>
      </c>
      <c r="B2" s="88" t="s">
        <v>67</v>
      </c>
      <c r="C2" s="89"/>
      <c r="D2" s="30" t="s">
        <v>68</v>
      </c>
      <c r="E2" s="90"/>
      <c r="F2" s="30"/>
      <c r="G2" s="30" t="s">
        <v>69</v>
      </c>
      <c r="H2" s="30" t="s">
        <v>70</v>
      </c>
      <c r="J2" s="91" t="s">
        <v>71</v>
      </c>
      <c r="K2" s="92"/>
      <c r="L2" s="93"/>
      <c r="M2" s="94" t="s">
        <v>72</v>
      </c>
      <c r="O2" s="91" t="s">
        <v>71</v>
      </c>
      <c r="P2" s="92"/>
      <c r="Q2" s="93"/>
      <c r="R2" s="94" t="s">
        <v>73</v>
      </c>
    </row>
    <row r="3" customFormat="false" ht="11.25" hidden="false" customHeight="false" outlineLevel="0" collapsed="false">
      <c r="B3" s="88"/>
      <c r="C3" s="30"/>
      <c r="F3" s="30"/>
      <c r="J3" s="95"/>
      <c r="K3" s="96"/>
      <c r="L3" s="97"/>
      <c r="M3" s="98"/>
      <c r="O3" s="95"/>
      <c r="P3" s="96"/>
      <c r="Q3" s="97"/>
      <c r="R3" s="99"/>
    </row>
    <row r="4" customFormat="false" ht="11.25" hidden="false" customHeight="false" outlineLevel="0" collapsed="false">
      <c r="A4" s="100" t="s">
        <v>4</v>
      </c>
      <c r="B4" s="101" t="n">
        <v>18742019</v>
      </c>
      <c r="C4" s="102" t="s">
        <v>74</v>
      </c>
      <c r="D4" s="1" t="s">
        <v>75</v>
      </c>
      <c r="E4" s="103" t="s">
        <v>76</v>
      </c>
      <c r="F4" s="8" t="s">
        <v>77</v>
      </c>
      <c r="G4" s="1" t="s">
        <v>3</v>
      </c>
      <c r="J4" s="104" t="n">
        <f aca="false">B4-L4</f>
        <v>-11701981</v>
      </c>
      <c r="K4" s="96"/>
      <c r="L4" s="97" t="n">
        <f aca="false">'6-30-99'!D4*1000</f>
        <v>30444000</v>
      </c>
      <c r="M4" s="98"/>
      <c r="O4" s="105" t="n">
        <f aca="false">B4-R4</f>
        <v>11071875.042669</v>
      </c>
      <c r="P4" s="106"/>
      <c r="Q4" s="97"/>
      <c r="R4" s="99" t="n">
        <f aca="false">1000*'3-31-99 and 98 end'!E26</f>
        <v>7670143.95733098</v>
      </c>
    </row>
    <row r="5" customFormat="false" ht="11.25" hidden="false" customHeight="false" outlineLevel="0" collapsed="false">
      <c r="A5" s="100" t="s">
        <v>7</v>
      </c>
      <c r="B5" s="101" t="n">
        <v>3654177</v>
      </c>
      <c r="C5" s="102" t="s">
        <v>74</v>
      </c>
      <c r="D5" s="1" t="s">
        <v>75</v>
      </c>
      <c r="E5" s="103" t="s">
        <v>76</v>
      </c>
      <c r="F5" s="8" t="s">
        <v>77</v>
      </c>
      <c r="G5" s="1" t="s">
        <v>3</v>
      </c>
      <c r="J5" s="104" t="n">
        <f aca="false">B5-L5</f>
        <v>-1940823</v>
      </c>
      <c r="K5" s="96"/>
      <c r="L5" s="97" t="n">
        <f aca="false">'6-30-99'!D5*1000</f>
        <v>5595000</v>
      </c>
      <c r="M5" s="98"/>
      <c r="O5" s="105" t="n">
        <f aca="false">B5-R5</f>
        <v>-832155.97924044</v>
      </c>
      <c r="P5" s="106"/>
      <c r="Q5" s="97"/>
      <c r="R5" s="99" t="n">
        <f aca="false">1000*'3-31-99 and 98 end'!E27</f>
        <v>4486332.97924044</v>
      </c>
    </row>
    <row r="6" customFormat="false" ht="11.25" hidden="false" customHeight="false" outlineLevel="0" collapsed="false">
      <c r="A6" s="100" t="s">
        <v>8</v>
      </c>
      <c r="B6" s="101" t="n">
        <v>6513072.74714849</v>
      </c>
      <c r="C6" s="102" t="s">
        <v>74</v>
      </c>
      <c r="D6" s="1" t="s">
        <v>75</v>
      </c>
      <c r="E6" s="103" t="s">
        <v>76</v>
      </c>
      <c r="F6" s="8" t="s">
        <v>78</v>
      </c>
      <c r="G6" s="1" t="s">
        <v>3</v>
      </c>
      <c r="J6" s="104" t="n">
        <f aca="false">B6-L6</f>
        <v>531072.74714849</v>
      </c>
      <c r="K6" s="96"/>
      <c r="L6" s="97" t="n">
        <f aca="false">'6-30-99'!D6*1000</f>
        <v>5982000</v>
      </c>
      <c r="M6" s="98"/>
      <c r="O6" s="105" t="n">
        <f aca="false">B6-R6</f>
        <v>-1429927.25285151</v>
      </c>
      <c r="P6" s="106"/>
      <c r="Q6" s="97"/>
      <c r="R6" s="99" t="n">
        <f aca="false">1000*'3-31-99 and 98 end'!E28</f>
        <v>7943000</v>
      </c>
    </row>
    <row r="7" customFormat="false" ht="11.25" hidden="false" customHeight="false" outlineLevel="0" collapsed="false">
      <c r="A7" s="100" t="s">
        <v>9</v>
      </c>
      <c r="B7" s="101" t="n">
        <v>1608245.29507195</v>
      </c>
      <c r="C7" s="102" t="s">
        <v>74</v>
      </c>
      <c r="D7" s="1" t="s">
        <v>75</v>
      </c>
      <c r="E7" s="103" t="s">
        <v>76</v>
      </c>
      <c r="F7" s="8" t="s">
        <v>78</v>
      </c>
      <c r="G7" s="1" t="s">
        <v>3</v>
      </c>
      <c r="J7" s="104" t="n">
        <f aca="false">B7-L7</f>
        <v>-386754.70492805</v>
      </c>
      <c r="K7" s="96"/>
      <c r="L7" s="97" t="n">
        <f aca="false">'6-30-99'!D7*1000</f>
        <v>1995000</v>
      </c>
      <c r="M7" s="98"/>
      <c r="O7" s="105" t="n">
        <f aca="false">B7-R7</f>
        <v>-112754.70492805</v>
      </c>
      <c r="P7" s="106"/>
      <c r="Q7" s="97"/>
      <c r="R7" s="99" t="n">
        <f aca="false">1000*'3-31-99 and 98 end'!E29</f>
        <v>1721000</v>
      </c>
    </row>
    <row r="8" customFormat="false" ht="11.25" hidden="false" customHeight="false" outlineLevel="0" collapsed="false">
      <c r="A8" s="100" t="s">
        <v>10</v>
      </c>
      <c r="B8" s="101" t="n">
        <v>222549</v>
      </c>
      <c r="C8" s="102" t="s">
        <v>74</v>
      </c>
      <c r="D8" s="1" t="s">
        <v>75</v>
      </c>
      <c r="E8" s="103" t="s">
        <v>76</v>
      </c>
      <c r="F8" s="8" t="s">
        <v>78</v>
      </c>
      <c r="G8" s="1" t="s">
        <v>3</v>
      </c>
      <c r="J8" s="104" t="n">
        <f aca="false">B8-L8</f>
        <v>-60760</v>
      </c>
      <c r="K8" s="96"/>
      <c r="L8" s="97" t="n">
        <f aca="false">'6-30-99'!L8*1000</f>
        <v>283309</v>
      </c>
      <c r="M8" s="98"/>
      <c r="O8" s="105" t="n">
        <f aca="false">B8-R8</f>
        <v>222549</v>
      </c>
      <c r="P8" s="106"/>
      <c r="Q8" s="97"/>
      <c r="R8" s="99"/>
    </row>
    <row r="9" customFormat="false" ht="11.25" hidden="false" customHeight="false" outlineLevel="0" collapsed="false">
      <c r="A9" s="100" t="s">
        <v>11</v>
      </c>
      <c r="B9" s="101" t="n">
        <v>94610</v>
      </c>
      <c r="C9" s="102" t="s">
        <v>74</v>
      </c>
      <c r="D9" s="1" t="s">
        <v>75</v>
      </c>
      <c r="E9" s="103" t="s">
        <v>76</v>
      </c>
      <c r="F9" s="8" t="s">
        <v>78</v>
      </c>
      <c r="G9" s="1" t="s">
        <v>3</v>
      </c>
      <c r="J9" s="104" t="n">
        <f aca="false">B9-L9</f>
        <v>-165390</v>
      </c>
      <c r="K9" s="96"/>
      <c r="L9" s="97" t="n">
        <f aca="false">'6-30-99'!M8*1000</f>
        <v>260000</v>
      </c>
      <c r="M9" s="98"/>
      <c r="O9" s="105" t="n">
        <f aca="false">B9-R9</f>
        <v>94610</v>
      </c>
      <c r="P9" s="106"/>
      <c r="Q9" s="97"/>
      <c r="R9" s="99"/>
    </row>
    <row r="10" customFormat="false" ht="11.25" hidden="false" customHeight="false" outlineLevel="0" collapsed="false">
      <c r="A10" s="100" t="s">
        <v>12</v>
      </c>
      <c r="B10" s="101" t="n">
        <v>421077</v>
      </c>
      <c r="C10" s="102" t="s">
        <v>74</v>
      </c>
      <c r="D10" s="1" t="s">
        <v>75</v>
      </c>
      <c r="E10" s="103" t="s">
        <v>76</v>
      </c>
      <c r="F10" s="8" t="s">
        <v>79</v>
      </c>
      <c r="G10" s="1" t="s">
        <v>80</v>
      </c>
      <c r="J10" s="104" t="n">
        <f aca="false">B10-L10</f>
        <v>-296511</v>
      </c>
      <c r="K10" s="96"/>
      <c r="L10" s="97" t="n">
        <f aca="false">'6-30-99'!D9*1000</f>
        <v>717588</v>
      </c>
      <c r="M10" s="98"/>
      <c r="O10" s="105" t="n">
        <f aca="false">B10-R10</f>
        <v>421077</v>
      </c>
      <c r="P10" s="106"/>
      <c r="Q10" s="97"/>
      <c r="R10" s="99"/>
    </row>
    <row r="11" customFormat="false" ht="11.25" hidden="false" customHeight="false" outlineLevel="0" collapsed="false">
      <c r="A11" s="100" t="s">
        <v>81</v>
      </c>
      <c r="B11" s="101" t="n">
        <v>945166</v>
      </c>
      <c r="C11" s="102" t="s">
        <v>74</v>
      </c>
      <c r="D11" s="1" t="s">
        <v>75</v>
      </c>
      <c r="E11" s="107" t="s">
        <v>82</v>
      </c>
      <c r="F11" s="8" t="s">
        <v>83</v>
      </c>
      <c r="G11" s="1" t="s">
        <v>3</v>
      </c>
      <c r="J11" s="104" t="n">
        <f aca="false">B11-L11</f>
        <v>64072.3613894378</v>
      </c>
      <c r="K11" s="96"/>
      <c r="L11" s="97" t="n">
        <f aca="false">'6-30-99'!D10*1000</f>
        <v>881093.638610562</v>
      </c>
      <c r="M11" s="98"/>
      <c r="O11" s="105" t="n">
        <f aca="false">B11-R11</f>
        <v>-122834</v>
      </c>
      <c r="P11" s="106"/>
      <c r="Q11" s="97"/>
      <c r="R11" s="99" t="n">
        <f aca="false">1000*'3-31-99 and 98 end'!E30</f>
        <v>1068000</v>
      </c>
    </row>
    <row r="12" customFormat="false" ht="11.25" hidden="false" customHeight="false" outlineLevel="0" collapsed="false">
      <c r="A12" s="100" t="s">
        <v>16</v>
      </c>
      <c r="B12" s="101" t="n">
        <v>411253.905078859</v>
      </c>
      <c r="C12" s="102" t="s">
        <v>74</v>
      </c>
      <c r="D12" s="1" t="s">
        <v>16</v>
      </c>
      <c r="E12" s="108" t="s">
        <v>84</v>
      </c>
      <c r="F12" s="8" t="s">
        <v>85</v>
      </c>
      <c r="G12" s="1" t="s">
        <v>3</v>
      </c>
      <c r="J12" s="104" t="n">
        <f aca="false">B12-L12</f>
        <v>272253.905078859</v>
      </c>
      <c r="K12" s="96"/>
      <c r="L12" s="97" t="n">
        <f aca="false">'6-30-99'!D11*1000</f>
        <v>139000</v>
      </c>
      <c r="M12" s="98"/>
      <c r="O12" s="105" t="n">
        <f aca="false">B12-R12</f>
        <v>334253.905078859</v>
      </c>
      <c r="P12" s="106"/>
      <c r="Q12" s="97"/>
      <c r="R12" s="99" t="n">
        <f aca="false">1000*'3-31-99 and 98 end'!E31</f>
        <v>77000</v>
      </c>
    </row>
    <row r="13" customFormat="false" ht="11.25" hidden="false" customHeight="false" outlineLevel="0" collapsed="false">
      <c r="A13" s="100" t="s">
        <v>17</v>
      </c>
      <c r="B13" s="101" t="n">
        <v>16806.1418330592</v>
      </c>
      <c r="C13" s="102" t="s">
        <v>74</v>
      </c>
      <c r="D13" s="1" t="s">
        <v>17</v>
      </c>
      <c r="E13" s="108" t="s">
        <v>84</v>
      </c>
      <c r="F13" s="8" t="s">
        <v>85</v>
      </c>
      <c r="G13" s="1" t="s">
        <v>3</v>
      </c>
      <c r="J13" s="104" t="n">
        <f aca="false">B13-L13</f>
        <v>-9193.85816694078</v>
      </c>
      <c r="K13" s="96"/>
      <c r="L13" s="97" t="n">
        <f aca="false">'6-30-99'!D12*1000</f>
        <v>26000</v>
      </c>
      <c r="M13" s="98"/>
      <c r="O13" s="105" t="n">
        <f aca="false">B13-R13</f>
        <v>-27193.8581669408</v>
      </c>
      <c r="P13" s="106"/>
      <c r="Q13" s="97"/>
      <c r="R13" s="99" t="n">
        <f aca="false">1000*'3-31-99 and 98 end'!E32</f>
        <v>44000</v>
      </c>
    </row>
    <row r="14" customFormat="false" ht="12" hidden="false" customHeight="false" outlineLevel="0" collapsed="false">
      <c r="A14" s="100" t="s">
        <v>19</v>
      </c>
      <c r="B14" s="101" t="n">
        <v>1948189.86652764</v>
      </c>
      <c r="C14" s="102" t="s">
        <v>74</v>
      </c>
      <c r="D14" s="1" t="s">
        <v>86</v>
      </c>
      <c r="E14" s="109" t="s">
        <v>87</v>
      </c>
      <c r="F14" s="8" t="s">
        <v>88</v>
      </c>
      <c r="G14" s="1" t="s">
        <v>89</v>
      </c>
      <c r="J14" s="104" t="n">
        <f aca="false">B14-L14</f>
        <v>-7347665.13347236</v>
      </c>
      <c r="K14" s="96"/>
      <c r="L14" s="97" t="n">
        <f aca="false">'6-30-99'!D13*1000</f>
        <v>9295855</v>
      </c>
      <c r="M14" s="98"/>
      <c r="O14" s="105" t="n">
        <f aca="false">B14-R14</f>
        <v>1948189.86652764</v>
      </c>
      <c r="P14" s="106"/>
      <c r="Q14" s="97"/>
      <c r="R14" s="99"/>
    </row>
    <row r="15" customFormat="false" ht="11.25" hidden="false" customHeight="false" outlineLevel="0" collapsed="false">
      <c r="A15" s="100" t="s">
        <v>21</v>
      </c>
      <c r="B15" s="101" t="n">
        <v>1028975</v>
      </c>
      <c r="C15" s="102" t="s">
        <v>74</v>
      </c>
      <c r="D15" s="1" t="s">
        <v>86</v>
      </c>
      <c r="E15" s="103" t="s">
        <v>76</v>
      </c>
      <c r="F15" s="8" t="s">
        <v>78</v>
      </c>
      <c r="G15" s="1" t="s">
        <v>3</v>
      </c>
      <c r="J15" s="104" t="n">
        <f aca="false">SQRT(SUMSQ(B15:B16))-L15</f>
        <v>-525628.24619881</v>
      </c>
      <c r="K15" s="96"/>
      <c r="L15" s="110" t="n">
        <f aca="false">'6-30-99'!D14*1000</f>
        <v>1582000</v>
      </c>
      <c r="M15" s="111"/>
      <c r="O15" s="105" t="n">
        <f aca="false">B15-R15</f>
        <v>498975</v>
      </c>
      <c r="P15" s="106"/>
      <c r="Q15" s="110"/>
      <c r="R15" s="112" t="n">
        <f aca="false">1000*'3-31-99 and 98 end'!E33</f>
        <v>530000</v>
      </c>
    </row>
    <row r="16" customFormat="false" ht="12" hidden="false" customHeight="false" outlineLevel="0" collapsed="false">
      <c r="A16" s="100" t="s">
        <v>22</v>
      </c>
      <c r="B16" s="101" t="n">
        <v>239022.45</v>
      </c>
      <c r="C16" s="102" t="s">
        <v>74</v>
      </c>
      <c r="D16" s="1" t="s">
        <v>86</v>
      </c>
      <c r="E16" s="103" t="s">
        <v>76</v>
      </c>
      <c r="F16" s="8" t="s">
        <v>78</v>
      </c>
      <c r="G16" s="1" t="s">
        <v>3</v>
      </c>
      <c r="J16" s="104"/>
      <c r="K16" s="96"/>
      <c r="L16" s="113" t="s">
        <v>90</v>
      </c>
      <c r="M16" s="114"/>
      <c r="N16" s="1" t="s">
        <v>23</v>
      </c>
      <c r="O16" s="105" t="n">
        <f aca="false">B16-R16</f>
        <v>239022.45</v>
      </c>
      <c r="P16" s="106"/>
      <c r="Q16" s="113"/>
      <c r="R16" s="115"/>
    </row>
    <row r="17" customFormat="false" ht="11.25" hidden="false" customHeight="false" outlineLevel="0" collapsed="false">
      <c r="A17" s="100" t="s">
        <v>25</v>
      </c>
      <c r="B17" s="101" t="n">
        <v>12351283.0194861</v>
      </c>
      <c r="C17" s="116" t="s">
        <v>74</v>
      </c>
      <c r="D17" s="117" t="s">
        <v>86</v>
      </c>
      <c r="E17" s="107" t="s">
        <v>91</v>
      </c>
      <c r="F17" s="8" t="s">
        <v>92</v>
      </c>
      <c r="G17" s="1" t="s">
        <v>93</v>
      </c>
      <c r="J17" s="104" t="n">
        <f aca="false">B17-L17</f>
        <v>-3494716.98051389</v>
      </c>
      <c r="K17" s="96"/>
      <c r="L17" s="97" t="n">
        <f aca="false">'6-30-99'!D15*1000</f>
        <v>15846000</v>
      </c>
      <c r="M17" s="98"/>
      <c r="O17" s="105" t="n">
        <f aca="false">B17-R17</f>
        <v>3558283.01948611</v>
      </c>
      <c r="P17" s="106"/>
      <c r="Q17" s="97"/>
      <c r="R17" s="99" t="n">
        <f aca="false">1000*'3-31-99 and 98 end'!E34</f>
        <v>8793000</v>
      </c>
    </row>
    <row r="18" customFormat="false" ht="11.25" hidden="false" customHeight="false" outlineLevel="0" collapsed="false">
      <c r="A18" s="100" t="s">
        <v>94</v>
      </c>
      <c r="B18" s="101" t="n">
        <v>4050000</v>
      </c>
      <c r="C18" s="102" t="s">
        <v>74</v>
      </c>
      <c r="D18" s="1" t="s">
        <v>86</v>
      </c>
      <c r="E18" s="118" t="s">
        <v>95</v>
      </c>
      <c r="F18" s="8" t="s">
        <v>96</v>
      </c>
      <c r="J18" s="104"/>
      <c r="K18" s="96"/>
      <c r="L18" s="97"/>
      <c r="M18" s="98"/>
      <c r="O18" s="105"/>
      <c r="P18" s="106"/>
      <c r="Q18" s="97"/>
      <c r="R18" s="99"/>
    </row>
    <row r="19" customFormat="false" ht="11.25" hidden="false" customHeight="false" outlineLevel="0" collapsed="false">
      <c r="A19" s="100" t="s">
        <v>28</v>
      </c>
      <c r="B19" s="101" t="n">
        <v>5201871.63471803</v>
      </c>
      <c r="C19" s="116" t="s">
        <v>74</v>
      </c>
      <c r="D19" s="117" t="s">
        <v>86</v>
      </c>
      <c r="E19" s="109" t="s">
        <v>97</v>
      </c>
      <c r="F19" s="8" t="s">
        <v>98</v>
      </c>
      <c r="G19" s="1" t="s">
        <v>99</v>
      </c>
      <c r="H19" s="1" t="s">
        <v>100</v>
      </c>
      <c r="J19" s="104" t="n">
        <f aca="false">B19-L19</f>
        <v>2142871.63471803</v>
      </c>
      <c r="K19" s="96"/>
      <c r="L19" s="97" t="n">
        <f aca="false">'6-30-99'!D16*1000</f>
        <v>3059000</v>
      </c>
      <c r="M19" s="98"/>
      <c r="O19" s="105" t="n">
        <f aca="false">B19-R19</f>
        <v>-3530128.36528198</v>
      </c>
      <c r="P19" s="106"/>
      <c r="Q19" s="97"/>
      <c r="R19" s="99" t="n">
        <f aca="false">1000*'3-31-99 and 98 end'!E35</f>
        <v>8732000</v>
      </c>
    </row>
    <row r="20" customFormat="false" ht="11.25" hidden="false" customHeight="false" outlineLevel="0" collapsed="false">
      <c r="A20" s="100" t="s">
        <v>30</v>
      </c>
      <c r="B20" s="101" t="n">
        <v>0</v>
      </c>
      <c r="C20" s="102" t="s">
        <v>101</v>
      </c>
      <c r="D20" s="102" t="s">
        <v>75</v>
      </c>
      <c r="E20" s="118" t="s">
        <v>102</v>
      </c>
      <c r="F20" s="8" t="s">
        <v>103</v>
      </c>
      <c r="G20" s="1" t="s">
        <v>99</v>
      </c>
      <c r="J20" s="104" t="n">
        <f aca="false">B20-L20</f>
        <v>-17552000</v>
      </c>
      <c r="K20" s="96"/>
      <c r="L20" s="97" t="n">
        <f aca="false">'6-30-99'!D17*1000</f>
        <v>17552000</v>
      </c>
      <c r="M20" s="98"/>
      <c r="O20" s="105" t="n">
        <f aca="false">B20-R20</f>
        <v>-10399000</v>
      </c>
      <c r="P20" s="106"/>
      <c r="Q20" s="97"/>
      <c r="R20" s="99" t="n">
        <f aca="false">1000*'3-31-99 and 98 end'!E36</f>
        <v>10399000</v>
      </c>
    </row>
    <row r="21" customFormat="false" ht="11.25" hidden="false" customHeight="false" outlineLevel="0" collapsed="false">
      <c r="A21" s="100" t="s">
        <v>33</v>
      </c>
      <c r="B21" s="101" t="n">
        <v>1649441</v>
      </c>
      <c r="C21" s="102" t="s">
        <v>101</v>
      </c>
      <c r="D21" s="102" t="s">
        <v>75</v>
      </c>
      <c r="E21" s="118" t="s">
        <v>76</v>
      </c>
      <c r="F21" s="8" t="s">
        <v>104</v>
      </c>
      <c r="G21" s="1" t="s">
        <v>105</v>
      </c>
      <c r="J21" s="104" t="n">
        <f aca="false">B21-L21</f>
        <v>-1477477</v>
      </c>
      <c r="K21" s="96"/>
      <c r="L21" s="97" t="n">
        <f aca="false">'6-30-99'!D18*1000</f>
        <v>3126918</v>
      </c>
      <c r="M21" s="98"/>
      <c r="O21" s="105" t="n">
        <f aca="false">B21-R21</f>
        <v>1186441</v>
      </c>
      <c r="P21" s="106"/>
      <c r="Q21" s="97"/>
      <c r="R21" s="99" t="n">
        <f aca="false">1000*'3-31-99 and 98 end'!E37</f>
        <v>463000</v>
      </c>
    </row>
    <row r="22" customFormat="false" ht="11.25" hidden="false" customHeight="false" outlineLevel="0" collapsed="false">
      <c r="A22" s="100" t="s">
        <v>36</v>
      </c>
      <c r="B22" s="101" t="n">
        <v>267043</v>
      </c>
      <c r="C22" s="102" t="s">
        <v>101</v>
      </c>
      <c r="D22" s="102" t="s">
        <v>75</v>
      </c>
      <c r="E22" s="119" t="s">
        <v>106</v>
      </c>
      <c r="F22" s="8" t="s">
        <v>107</v>
      </c>
      <c r="G22" s="1" t="s">
        <v>108</v>
      </c>
      <c r="J22" s="104"/>
      <c r="K22" s="96"/>
      <c r="L22" s="97" t="s">
        <v>109</v>
      </c>
      <c r="M22" s="98"/>
      <c r="N22" s="1" t="s">
        <v>23</v>
      </c>
      <c r="O22" s="105" t="n">
        <f aca="false">B22-R22</f>
        <v>267043</v>
      </c>
      <c r="P22" s="106"/>
      <c r="Q22" s="97"/>
      <c r="R22" s="99"/>
    </row>
    <row r="23" customFormat="false" ht="11.25" hidden="false" customHeight="false" outlineLevel="0" collapsed="false">
      <c r="A23" s="100" t="s">
        <v>38</v>
      </c>
      <c r="B23" s="101" t="n">
        <v>4272190.53</v>
      </c>
      <c r="C23" s="102" t="s">
        <v>101</v>
      </c>
      <c r="D23" s="102" t="s">
        <v>16</v>
      </c>
      <c r="E23" s="119" t="s">
        <v>110</v>
      </c>
      <c r="F23" s="8"/>
      <c r="G23" s="1" t="s">
        <v>111</v>
      </c>
      <c r="H23" s="1" t="s">
        <v>112</v>
      </c>
      <c r="J23" s="104" t="n">
        <f aca="false">B23-L23</f>
        <v>1570190.53</v>
      </c>
      <c r="K23" s="96"/>
      <c r="L23" s="97" t="n">
        <f aca="false">'6-30-99'!D20*1000</f>
        <v>2702000</v>
      </c>
      <c r="M23" s="98"/>
      <c r="O23" s="105" t="n">
        <f aca="false">B23-R23</f>
        <v>3875190.53</v>
      </c>
      <c r="P23" s="106"/>
      <c r="Q23" s="97"/>
      <c r="R23" s="99" t="n">
        <f aca="false">1000*'3-31-99 and 98 end'!E39</f>
        <v>397000</v>
      </c>
    </row>
    <row r="24" customFormat="false" ht="11.25" hidden="false" customHeight="false" outlineLevel="0" collapsed="false">
      <c r="A24" s="100" t="s">
        <v>39</v>
      </c>
      <c r="B24" s="101" t="n">
        <v>4736824.84</v>
      </c>
      <c r="C24" s="102" t="s">
        <v>101</v>
      </c>
      <c r="D24" s="102" t="s">
        <v>17</v>
      </c>
      <c r="E24" s="119" t="s">
        <v>110</v>
      </c>
      <c r="F24" s="8"/>
      <c r="G24" s="1" t="s">
        <v>111</v>
      </c>
      <c r="H24" s="1" t="s">
        <v>113</v>
      </c>
      <c r="J24" s="104" t="n">
        <f aca="false">B24-L24</f>
        <v>4736824.84</v>
      </c>
      <c r="K24" s="96"/>
      <c r="L24" s="97" t="n">
        <f aca="false">'6-30-99'!D19*1000</f>
        <v>0</v>
      </c>
      <c r="M24" s="98"/>
      <c r="O24" s="105" t="n">
        <f aca="false">B24-R24</f>
        <v>4736824.84</v>
      </c>
      <c r="P24" s="106"/>
      <c r="Q24" s="97"/>
      <c r="R24" s="99" t="n">
        <f aca="false">1000*'3-31-99 and 98 end'!E38</f>
        <v>0</v>
      </c>
    </row>
    <row r="25" customFormat="false" ht="11.25" hidden="false" customHeight="false" outlineLevel="0" collapsed="false">
      <c r="J25" s="95"/>
      <c r="K25" s="96"/>
      <c r="L25" s="120"/>
      <c r="M25" s="98"/>
      <c r="O25" s="105"/>
      <c r="P25" s="106"/>
      <c r="Q25" s="97"/>
      <c r="R25" s="99"/>
    </row>
    <row r="26" customFormat="false" ht="11.25" hidden="false" customHeight="false" outlineLevel="0" collapsed="false">
      <c r="J26" s="95"/>
      <c r="K26" s="96"/>
      <c r="L26" s="120"/>
      <c r="M26" s="98"/>
      <c r="O26" s="105"/>
      <c r="P26" s="106"/>
      <c r="Q26" s="97"/>
      <c r="R26" s="99"/>
    </row>
    <row r="27" customFormat="false" ht="11.25" hidden="false" customHeight="false" outlineLevel="0" collapsed="false">
      <c r="J27" s="95"/>
      <c r="K27" s="96"/>
      <c r="L27" s="120"/>
      <c r="M27" s="98"/>
      <c r="O27" s="105"/>
      <c r="P27" s="106"/>
      <c r="Q27" s="97"/>
      <c r="R27" s="99"/>
    </row>
    <row r="28" customFormat="false" ht="11.25" hidden="false" customHeight="false" outlineLevel="0" collapsed="false">
      <c r="J28" s="95"/>
      <c r="K28" s="96"/>
      <c r="L28" s="120"/>
      <c r="M28" s="98"/>
      <c r="O28" s="105"/>
      <c r="P28" s="106"/>
      <c r="Q28" s="97"/>
      <c r="R28" s="99"/>
    </row>
    <row r="29" customFormat="false" ht="11.25" hidden="false" customHeight="false" outlineLevel="0" collapsed="false">
      <c r="J29" s="95"/>
      <c r="K29" s="96"/>
      <c r="L29" s="120"/>
      <c r="M29" s="98"/>
      <c r="O29" s="105"/>
      <c r="P29" s="106"/>
      <c r="Q29" s="97"/>
      <c r="R29" s="99"/>
    </row>
    <row r="30" customFormat="false" ht="11.25" hidden="false" customHeight="false" outlineLevel="0" collapsed="false">
      <c r="J30" s="95"/>
      <c r="K30" s="96"/>
      <c r="L30" s="120"/>
      <c r="M30" s="98"/>
      <c r="O30" s="105"/>
      <c r="P30" s="106"/>
      <c r="Q30" s="97"/>
      <c r="R30" s="99"/>
    </row>
    <row r="31" customFormat="false" ht="11.25" hidden="false" customHeight="false" outlineLevel="0" collapsed="false">
      <c r="J31" s="95"/>
      <c r="K31" s="96"/>
      <c r="L31" s="120"/>
      <c r="M31" s="98"/>
      <c r="O31" s="105"/>
      <c r="P31" s="106"/>
      <c r="Q31" s="97"/>
      <c r="R31" s="99"/>
    </row>
    <row r="32" customFormat="false" ht="12.75" hidden="false" customHeight="false" outlineLevel="0" collapsed="false">
      <c r="A32" s="3" t="s">
        <v>114</v>
      </c>
      <c r="F32" s="121"/>
      <c r="H32" s="122"/>
      <c r="I32" s="122"/>
      <c r="J32" s="123"/>
      <c r="K32" s="96"/>
      <c r="L32" s="120"/>
      <c r="M32" s="98"/>
      <c r="O32" s="124"/>
      <c r="P32" s="106"/>
      <c r="Q32" s="97"/>
      <c r="R32" s="99"/>
    </row>
    <row r="33" customFormat="false" ht="11.25" hidden="false" customHeight="false" outlineLevel="0" collapsed="false">
      <c r="F33" s="125"/>
      <c r="G33" s="126"/>
      <c r="H33" s="125"/>
      <c r="I33" s="125"/>
      <c r="J33" s="104" t="n">
        <f aca="false">B35-'6-30-99'!C28*1000</f>
        <v>-13202656.3597904</v>
      </c>
      <c r="K33" s="96" t="n">
        <f aca="false">C35-'6-30-99'!D28*1000</f>
        <v>-16157439.0087564</v>
      </c>
      <c r="L33" s="97" t="n">
        <f aca="false">'6-30-99'!C28*1000</f>
        <v>36606187.8994143</v>
      </c>
      <c r="M33" s="99" t="n">
        <f aca="false">'6-30-99'!D28*1000</f>
        <v>17828357.1923698</v>
      </c>
      <c r="O33" s="105" t="n">
        <f aca="false">B35-Q33</f>
        <v>2918531.53962392</v>
      </c>
      <c r="P33" s="106" t="n">
        <f aca="false">C35-R33</f>
        <v>-8791081.81638657</v>
      </c>
      <c r="Q33" s="97" t="n">
        <f aca="false">'3-31-99 and 98 end'!D57*1000</f>
        <v>20485000</v>
      </c>
      <c r="R33" s="99" t="n">
        <f aca="false">'3-31-99 and 98 end'!E57*1000</f>
        <v>10462000</v>
      </c>
    </row>
    <row r="34" customFormat="false" ht="11.25" hidden="false" customHeight="false" outlineLevel="0" collapsed="false">
      <c r="B34" s="88" t="s">
        <v>74</v>
      </c>
      <c r="C34" s="87" t="s">
        <v>101</v>
      </c>
      <c r="F34" s="127"/>
      <c r="G34" s="126"/>
      <c r="H34" s="125"/>
      <c r="I34" s="125"/>
      <c r="J34" s="104" t="n">
        <f aca="false">B36-'6-30-99'!C29*1000</f>
        <v>272253.905078859</v>
      </c>
      <c r="K34" s="96" t="n">
        <f aca="false">C36-'6-30-99'!D29*1000</f>
        <v>1570190.53</v>
      </c>
      <c r="L34" s="97" t="n">
        <f aca="false">'6-30-99'!C29*1000</f>
        <v>139000</v>
      </c>
      <c r="M34" s="99" t="n">
        <f aca="false">'6-30-99'!D29*1000</f>
        <v>2702000</v>
      </c>
      <c r="O34" s="105" t="n">
        <f aca="false">B36-Q34</f>
        <v>334253.905078859</v>
      </c>
      <c r="P34" s="106" t="n">
        <f aca="false">C36-R34</f>
        <v>3875190.53</v>
      </c>
      <c r="Q34" s="97" t="n">
        <f aca="false">'3-31-99 and 98 end'!D59*1000</f>
        <v>77000</v>
      </c>
      <c r="R34" s="99" t="n">
        <f aca="false">'3-31-99 and 98 end'!E59*1000</f>
        <v>397000</v>
      </c>
    </row>
    <row r="35" customFormat="false" ht="11.25" hidden="false" customHeight="false" outlineLevel="0" collapsed="false">
      <c r="A35" s="87" t="s">
        <v>75</v>
      </c>
      <c r="B35" s="128" t="n">
        <f aca="false">SQRT(SUMSQ(SUM(B4:B5),B6:B11))</f>
        <v>23403531.5396239</v>
      </c>
      <c r="C35" s="129" t="n">
        <f aca="false">SQRT(SUMSQ(B20:B22))</f>
        <v>1670918.18361343</v>
      </c>
      <c r="F35" s="127"/>
      <c r="G35" s="130"/>
      <c r="H35" s="125"/>
      <c r="I35" s="125"/>
      <c r="J35" s="104" t="n">
        <f aca="false">B37-'6-30-99'!C30*1000</f>
        <v>-9193.85816694078</v>
      </c>
      <c r="K35" s="96" t="n">
        <f aca="false">C37-'6-30-99'!D30*1000</f>
        <v>4736824.84</v>
      </c>
      <c r="L35" s="97" t="n">
        <f aca="false">'6-30-99'!C30*1000</f>
        <v>26000</v>
      </c>
      <c r="M35" s="99" t="n">
        <f aca="false">'6-30-99'!D30*1000</f>
        <v>0</v>
      </c>
      <c r="O35" s="105" t="n">
        <f aca="false">B37-Q35</f>
        <v>-27193.8581669408</v>
      </c>
      <c r="P35" s="106" t="n">
        <f aca="false">C37-R35</f>
        <v>4736824.84</v>
      </c>
      <c r="Q35" s="97" t="n">
        <f aca="false">'3-31-99 and 98 end'!D58*1000</f>
        <v>44000</v>
      </c>
      <c r="R35" s="99" t="n">
        <f aca="false">'3-31-99 and 98 end'!E58*1000</f>
        <v>0</v>
      </c>
    </row>
    <row r="36" customFormat="false" ht="11.25" hidden="false" customHeight="false" outlineLevel="0" collapsed="false">
      <c r="A36" s="87" t="s">
        <v>115</v>
      </c>
      <c r="B36" s="131" t="n">
        <f aca="false">B12</f>
        <v>411253.905078859</v>
      </c>
      <c r="C36" s="129" t="n">
        <f aca="false">B23</f>
        <v>4272190.53</v>
      </c>
      <c r="F36" s="127"/>
      <c r="G36" s="126"/>
      <c r="H36" s="125"/>
      <c r="I36" s="125"/>
      <c r="J36" s="104" t="n">
        <f aca="false">B38-'6-30-99'!C31*1000</f>
        <v>-2041024.99020045</v>
      </c>
      <c r="K36" s="96" t="n">
        <f aca="false">C38-'6-30-99'!D31*1000</f>
        <v>0</v>
      </c>
      <c r="L36" s="97" t="n">
        <f aca="false">'6-30-99'!C31*1000</f>
        <v>16215915.6694897</v>
      </c>
      <c r="M36" s="99" t="n">
        <f aca="false">'6-30-99'!D31*1000</f>
        <v>0</v>
      </c>
      <c r="O36" s="105" t="n">
        <f aca="false">B38-Q36</f>
        <v>1770890.6792892</v>
      </c>
      <c r="P36" s="106" t="n">
        <f aca="false">C38-R36</f>
        <v>0</v>
      </c>
      <c r="Q36" s="97" t="n">
        <f aca="false">'3-31-99 and 98 end'!D60*1000</f>
        <v>12404000</v>
      </c>
      <c r="R36" s="99" t="n">
        <f aca="false">'3-31-99 and 98 end'!E60*1000</f>
        <v>0</v>
      </c>
    </row>
    <row r="37" customFormat="false" ht="11.25" hidden="false" customHeight="false" outlineLevel="0" collapsed="false">
      <c r="A37" s="87" t="s">
        <v>116</v>
      </c>
      <c r="B37" s="131" t="n">
        <f aca="false">B13</f>
        <v>16806.1418330592</v>
      </c>
      <c r="C37" s="129" t="n">
        <f aca="false">B24</f>
        <v>4736824.84</v>
      </c>
      <c r="F37" s="127"/>
      <c r="G37" s="126"/>
      <c r="H37" s="125"/>
      <c r="I37" s="125"/>
      <c r="J37" s="132"/>
      <c r="K37" s="96"/>
      <c r="L37" s="97"/>
      <c r="M37" s="99"/>
      <c r="O37" s="133"/>
      <c r="P37" s="106"/>
      <c r="Q37" s="97"/>
      <c r="R37" s="99"/>
    </row>
    <row r="38" customFormat="false" ht="12" hidden="false" customHeight="false" outlineLevel="0" collapsed="false">
      <c r="A38" s="87" t="s">
        <v>86</v>
      </c>
      <c r="B38" s="131" t="n">
        <f aca="false">SQRT(SUMSQ(B14:B19))</f>
        <v>14174890.6792892</v>
      </c>
      <c r="C38" s="129" t="n">
        <v>0</v>
      </c>
      <c r="F38" s="102"/>
      <c r="J38" s="134"/>
      <c r="K38" s="135" t="n">
        <f aca="false">C40-M38</f>
        <v>-15762708.4047227</v>
      </c>
      <c r="L38" s="136"/>
      <c r="M38" s="115" t="n">
        <f aca="false">'6-30-99'!F31*1000</f>
        <v>43910591.3727651</v>
      </c>
      <c r="O38" s="137"/>
      <c r="P38" s="138" t="n">
        <f aca="false">C40-R38</f>
        <v>2011445.58648633</v>
      </c>
      <c r="Q38" s="136"/>
      <c r="R38" s="115" t="n">
        <f aca="false">SQRT(SUMSQ(Q33:R36))</f>
        <v>26136437.381556</v>
      </c>
    </row>
    <row r="39" customFormat="false" ht="11.25" hidden="false" customHeight="false" outlineLevel="0" collapsed="false">
      <c r="A39" s="87"/>
      <c r="C39" s="125"/>
      <c r="F39" s="102"/>
    </row>
    <row r="40" customFormat="false" ht="11.25" hidden="false" customHeight="false" outlineLevel="0" collapsed="false">
      <c r="A40" s="87" t="s">
        <v>50</v>
      </c>
      <c r="C40" s="129" t="n">
        <f aca="false">SQRT(SUMSQ(B35:C38))</f>
        <v>28147882.9680424</v>
      </c>
      <c r="F40" s="102"/>
    </row>
    <row r="41" customFormat="false" ht="12" hidden="false" customHeight="false" outlineLevel="0" collapsed="false">
      <c r="F41" s="102"/>
    </row>
    <row r="42" customFormat="false" ht="11.25" hidden="false" customHeight="false" outlineLevel="0" collapsed="false">
      <c r="C42" s="139" t="s">
        <v>117</v>
      </c>
    </row>
    <row r="43" customFormat="false" ht="12" hidden="false" customHeight="false" outlineLevel="0" collapsed="false">
      <c r="C43" s="140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41" width="10.71"/>
    <col collapsed="false" customWidth="true" hidden="false" outlineLevel="0" max="2" min="2" style="141" width="5.71"/>
    <col collapsed="false" customWidth="true" hidden="false" outlineLevel="0" max="3" min="3" style="141" width="14.85"/>
    <col collapsed="false" customWidth="true" hidden="false" outlineLevel="0" max="4" min="4" style="141" width="10.71"/>
    <col collapsed="false" customWidth="true" hidden="false" outlineLevel="0" max="5" min="5" style="141" width="2.7"/>
    <col collapsed="false" customWidth="true" hidden="false" outlineLevel="0" max="6" min="6" style="141" width="20.56"/>
    <col collapsed="false" customWidth="true" hidden="false" outlineLevel="0" max="7" min="7" style="141" width="6.85"/>
    <col collapsed="false" customWidth="true" hidden="false" outlineLevel="0" max="8" min="8" style="141" width="6.7"/>
    <col collapsed="false" customWidth="true" hidden="false" outlineLevel="0" max="9" min="9" style="142" width="15.56"/>
    <col collapsed="false" customWidth="true" hidden="false" outlineLevel="0" max="10" min="10" style="141" width="23.99"/>
    <col collapsed="false" customWidth="false" hidden="false" outlineLevel="0" max="12" min="11" style="141" width="9.14"/>
    <col collapsed="false" customWidth="true" hidden="false" outlineLevel="0" max="13" min="13" style="141" width="9.85"/>
    <col collapsed="false" customWidth="true" hidden="false" outlineLevel="0" max="14" min="14" style="141" width="11.13"/>
    <col collapsed="false" customWidth="false" hidden="false" outlineLevel="0" max="257" min="15" style="141" width="9.14"/>
  </cols>
  <sheetData>
    <row r="1" customFormat="false" ht="12.75" hidden="false" customHeight="false" outlineLevel="0" collapsed="false">
      <c r="A1" s="143" t="s">
        <v>65</v>
      </c>
    </row>
    <row r="2" customFormat="false" ht="24.95" hidden="false" customHeight="true" outlineLevel="0" collapsed="false">
      <c r="A2" s="87" t="s">
        <v>118</v>
      </c>
      <c r="B2" s="144" t="s">
        <v>66</v>
      </c>
      <c r="C2" s="144"/>
      <c r="D2" s="89" t="s">
        <v>67</v>
      </c>
      <c r="E2" s="89"/>
      <c r="F2" s="145" t="s">
        <v>68</v>
      </c>
      <c r="G2" s="146" t="s">
        <v>119</v>
      </c>
      <c r="H2" s="146" t="s">
        <v>120</v>
      </c>
      <c r="I2" s="146" t="s">
        <v>121</v>
      </c>
      <c r="J2" s="146" t="s">
        <v>122</v>
      </c>
    </row>
    <row r="3" customFormat="false" ht="11.25" hidden="false" customHeight="false" outlineLevel="0" collapsed="false">
      <c r="D3" s="145"/>
      <c r="E3" s="145"/>
    </row>
    <row r="4" customFormat="false" ht="11.25" hidden="false" customHeight="false" outlineLevel="0" collapsed="false">
      <c r="A4" s="142" t="n">
        <v>1</v>
      </c>
      <c r="C4" s="100" t="s">
        <v>4</v>
      </c>
      <c r="D4" s="129" t="n">
        <v>30444</v>
      </c>
      <c r="E4" s="147"/>
      <c r="F4" s="142" t="s">
        <v>123</v>
      </c>
      <c r="G4" s="148" t="s">
        <v>124</v>
      </c>
      <c r="H4" s="148" t="s">
        <v>125</v>
      </c>
      <c r="I4" s="148" t="s">
        <v>126</v>
      </c>
      <c r="J4" s="141" t="s">
        <v>127</v>
      </c>
    </row>
    <row r="5" customFormat="false" ht="11.25" hidden="false" customHeight="false" outlineLevel="0" collapsed="false">
      <c r="A5" s="142" t="n">
        <v>2</v>
      </c>
      <c r="C5" s="100" t="s">
        <v>7</v>
      </c>
      <c r="D5" s="129" t="n">
        <v>5595</v>
      </c>
      <c r="E5" s="147"/>
      <c r="F5" s="142" t="s">
        <v>123</v>
      </c>
      <c r="G5" s="148" t="s">
        <v>124</v>
      </c>
      <c r="H5" s="148" t="s">
        <v>125</v>
      </c>
      <c r="I5" s="148" t="s">
        <v>126</v>
      </c>
      <c r="J5" s="141" t="s">
        <v>127</v>
      </c>
    </row>
    <row r="6" customFormat="false" ht="11.25" hidden="false" customHeight="false" outlineLevel="0" collapsed="false">
      <c r="A6" s="142" t="n">
        <v>3</v>
      </c>
      <c r="C6" s="100" t="s">
        <v>8</v>
      </c>
      <c r="D6" s="129" t="n">
        <v>5982</v>
      </c>
      <c r="E6" s="147"/>
      <c r="F6" s="142" t="s">
        <v>123</v>
      </c>
      <c r="G6" s="148" t="s">
        <v>3</v>
      </c>
      <c r="H6" s="148" t="s">
        <v>125</v>
      </c>
      <c r="I6" s="148" t="s">
        <v>128</v>
      </c>
      <c r="J6" s="141" t="s">
        <v>127</v>
      </c>
    </row>
    <row r="7" customFormat="false" ht="11.25" hidden="false" customHeight="false" outlineLevel="0" collapsed="false">
      <c r="A7" s="142" t="n">
        <v>4</v>
      </c>
      <c r="C7" s="100" t="s">
        <v>129</v>
      </c>
      <c r="D7" s="129" t="n">
        <v>1995</v>
      </c>
      <c r="E7" s="147"/>
      <c r="F7" s="142" t="s">
        <v>123</v>
      </c>
      <c r="G7" s="148" t="s">
        <v>3</v>
      </c>
      <c r="H7" s="148" t="s">
        <v>130</v>
      </c>
      <c r="I7" s="148" t="s">
        <v>128</v>
      </c>
      <c r="J7" s="141" t="s">
        <v>127</v>
      </c>
      <c r="L7" s="141" t="s">
        <v>131</v>
      </c>
      <c r="M7" s="141" t="s">
        <v>132</v>
      </c>
      <c r="N7" s="141" t="s">
        <v>133</v>
      </c>
    </row>
    <row r="8" customFormat="false" ht="11.25" hidden="false" customHeight="false" outlineLevel="0" collapsed="false">
      <c r="A8" s="142" t="n">
        <v>5</v>
      </c>
      <c r="C8" s="100" t="s">
        <v>134</v>
      </c>
      <c r="D8" s="129" t="n">
        <f aca="false">N8</f>
        <v>384.530869347313</v>
      </c>
      <c r="E8" s="147"/>
      <c r="F8" s="142" t="s">
        <v>123</v>
      </c>
      <c r="G8" s="148" t="s">
        <v>135</v>
      </c>
      <c r="H8" s="148" t="s">
        <v>136</v>
      </c>
      <c r="I8" s="148" t="s">
        <v>137</v>
      </c>
      <c r="J8" s="141" t="s">
        <v>127</v>
      </c>
      <c r="L8" s="149" t="n">
        <v>283.309</v>
      </c>
      <c r="M8" s="149" t="n">
        <v>260</v>
      </c>
      <c r="N8" s="149" t="n">
        <f aca="false">SQRT(SUMSQ(L8:M8))</f>
        <v>384.530869347313</v>
      </c>
    </row>
    <row r="9" customFormat="false" ht="11.25" hidden="false" customHeight="false" outlineLevel="0" collapsed="false">
      <c r="A9" s="142" t="n">
        <v>6</v>
      </c>
      <c r="C9" s="100" t="s">
        <v>138</v>
      </c>
      <c r="D9" s="129" t="n">
        <v>717.588</v>
      </c>
      <c r="E9" s="147"/>
      <c r="F9" s="142" t="s">
        <v>123</v>
      </c>
      <c r="G9" s="148" t="s">
        <v>135</v>
      </c>
      <c r="H9" s="148" t="s">
        <v>136</v>
      </c>
      <c r="I9" s="148" t="s">
        <v>137</v>
      </c>
      <c r="J9" s="141" t="s">
        <v>127</v>
      </c>
      <c r="L9" s="100" t="s">
        <v>139</v>
      </c>
      <c r="M9" s="100" t="s">
        <v>140</v>
      </c>
      <c r="N9" s="100" t="s">
        <v>133</v>
      </c>
    </row>
    <row r="10" customFormat="false" ht="11.25" hidden="false" customHeight="false" outlineLevel="0" collapsed="false">
      <c r="A10" s="142" t="n">
        <v>7</v>
      </c>
      <c r="C10" s="100" t="s">
        <v>81</v>
      </c>
      <c r="D10" s="129" t="n">
        <f aca="false">N10</f>
        <v>881.093638610562</v>
      </c>
      <c r="E10" s="147"/>
      <c r="F10" s="142" t="s">
        <v>123</v>
      </c>
      <c r="G10" s="148" t="s">
        <v>135</v>
      </c>
      <c r="H10" s="148" t="s">
        <v>136</v>
      </c>
      <c r="I10" s="148" t="s">
        <v>137</v>
      </c>
      <c r="J10" s="141" t="s">
        <v>141</v>
      </c>
      <c r="L10" s="149" t="n">
        <f aca="false">SQRT(SUMSQ(114000,853000))/1000</f>
        <v>860.584103966603</v>
      </c>
      <c r="M10" s="149" t="n">
        <v>189</v>
      </c>
      <c r="N10" s="149" t="n">
        <f aca="false">SQRT(SUMSQ(L10:M10))</f>
        <v>881.093638610562</v>
      </c>
    </row>
    <row r="11" customFormat="false" ht="11.25" hidden="false" customHeight="false" outlineLevel="0" collapsed="false">
      <c r="A11" s="142" t="n">
        <v>8</v>
      </c>
      <c r="C11" s="100" t="s">
        <v>16</v>
      </c>
      <c r="D11" s="129" t="n">
        <v>139</v>
      </c>
      <c r="E11" s="147"/>
      <c r="F11" s="142" t="s">
        <v>142</v>
      </c>
      <c r="G11" s="148" t="s">
        <v>135</v>
      </c>
      <c r="H11" s="148" t="s">
        <v>136</v>
      </c>
      <c r="I11" s="148" t="s">
        <v>128</v>
      </c>
      <c r="J11" s="141" t="s">
        <v>143</v>
      </c>
    </row>
    <row r="12" customFormat="false" ht="11.25" hidden="false" customHeight="false" outlineLevel="0" collapsed="false">
      <c r="A12" s="142" t="n">
        <v>9</v>
      </c>
      <c r="C12" s="100" t="s">
        <v>17</v>
      </c>
      <c r="D12" s="129" t="n">
        <v>26</v>
      </c>
      <c r="E12" s="147"/>
      <c r="F12" s="142" t="s">
        <v>144</v>
      </c>
      <c r="G12" s="148" t="s">
        <v>135</v>
      </c>
      <c r="H12" s="148" t="s">
        <v>136</v>
      </c>
      <c r="I12" s="148" t="s">
        <v>128</v>
      </c>
      <c r="J12" s="141" t="s">
        <v>143</v>
      </c>
    </row>
    <row r="13" customFormat="false" ht="11.25" hidden="false" customHeight="false" outlineLevel="0" collapsed="false">
      <c r="A13" s="142" t="n">
        <v>10</v>
      </c>
      <c r="C13" s="100" t="s">
        <v>145</v>
      </c>
      <c r="D13" s="129" t="n">
        <f aca="false">5559.999+3735.856</f>
        <v>9295.855</v>
      </c>
      <c r="F13" s="142" t="s">
        <v>146</v>
      </c>
      <c r="G13" s="142" t="s">
        <v>135</v>
      </c>
      <c r="H13" s="142" t="s">
        <v>147</v>
      </c>
      <c r="I13" s="148" t="s">
        <v>128</v>
      </c>
      <c r="J13" s="141" t="s">
        <v>148</v>
      </c>
    </row>
    <row r="14" customFormat="false" ht="11.25" hidden="false" customHeight="false" outlineLevel="0" collapsed="false">
      <c r="A14" s="142" t="n">
        <v>11</v>
      </c>
      <c r="C14" s="100" t="s">
        <v>86</v>
      </c>
      <c r="D14" s="129" t="n">
        <v>1582</v>
      </c>
      <c r="E14" s="147"/>
      <c r="F14" s="142" t="s">
        <v>146</v>
      </c>
      <c r="G14" s="148" t="s">
        <v>3</v>
      </c>
      <c r="H14" s="148" t="s">
        <v>147</v>
      </c>
      <c r="I14" s="148" t="s">
        <v>128</v>
      </c>
      <c r="J14" s="141" t="s">
        <v>127</v>
      </c>
    </row>
    <row r="15" customFormat="false" ht="11.25" hidden="false" customHeight="false" outlineLevel="0" collapsed="false">
      <c r="A15" s="142" t="n">
        <v>12</v>
      </c>
      <c r="C15" s="100" t="s">
        <v>149</v>
      </c>
      <c r="D15" s="129" t="n">
        <v>15846</v>
      </c>
      <c r="E15" s="147"/>
      <c r="F15" s="142" t="s">
        <v>146</v>
      </c>
      <c r="G15" s="148" t="s">
        <v>135</v>
      </c>
      <c r="H15" s="148" t="s">
        <v>147</v>
      </c>
      <c r="I15" s="148" t="s">
        <v>150</v>
      </c>
      <c r="J15" s="141" t="s">
        <v>151</v>
      </c>
      <c r="L15" s="100" t="s">
        <v>152</v>
      </c>
      <c r="M15" s="100" t="s">
        <v>153</v>
      </c>
      <c r="N15" s="100" t="s">
        <v>133</v>
      </c>
    </row>
    <row r="16" customFormat="false" ht="11.25" hidden="false" customHeight="false" outlineLevel="0" collapsed="false">
      <c r="A16" s="142" t="n">
        <v>13</v>
      </c>
      <c r="C16" s="100" t="s">
        <v>154</v>
      </c>
      <c r="D16" s="129" t="n">
        <v>3059</v>
      </c>
      <c r="E16" s="147"/>
      <c r="F16" s="142" t="s">
        <v>146</v>
      </c>
      <c r="G16" s="148" t="s">
        <v>135</v>
      </c>
      <c r="H16" s="148" t="s">
        <v>147</v>
      </c>
      <c r="I16" s="148" t="s">
        <v>155</v>
      </c>
      <c r="J16" s="141" t="s">
        <v>127</v>
      </c>
      <c r="L16" s="149" t="n">
        <v>0</v>
      </c>
      <c r="M16" s="149" t="n">
        <v>0</v>
      </c>
      <c r="N16" s="149" t="n">
        <f aca="false">SQRT(SUMSQ(L16:M16))</f>
        <v>0</v>
      </c>
    </row>
    <row r="17" customFormat="false" ht="11.25" hidden="false" customHeight="false" outlineLevel="0" collapsed="false">
      <c r="A17" s="142" t="n">
        <v>14</v>
      </c>
      <c r="C17" s="100" t="s">
        <v>30</v>
      </c>
      <c r="D17" s="129" t="n">
        <v>17552</v>
      </c>
      <c r="E17" s="147"/>
      <c r="F17" s="150" t="s">
        <v>156</v>
      </c>
      <c r="G17" s="148" t="s">
        <v>124</v>
      </c>
      <c r="H17" s="148" t="s">
        <v>125</v>
      </c>
      <c r="I17" s="142" t="s">
        <v>157</v>
      </c>
      <c r="J17" s="141" t="s">
        <v>158</v>
      </c>
      <c r="L17" s="100" t="s">
        <v>159</v>
      </c>
      <c r="M17" s="100" t="s">
        <v>160</v>
      </c>
      <c r="N17" s="100" t="s">
        <v>133</v>
      </c>
    </row>
    <row r="18" customFormat="false" ht="11.25" hidden="false" customHeight="false" outlineLevel="0" collapsed="false">
      <c r="A18" s="142" t="n">
        <v>15</v>
      </c>
      <c r="C18" s="100" t="s">
        <v>33</v>
      </c>
      <c r="D18" s="129" t="n">
        <f aca="false">N18</f>
        <v>3126.918</v>
      </c>
      <c r="F18" s="150" t="s">
        <v>156</v>
      </c>
      <c r="G18" s="148" t="s">
        <v>135</v>
      </c>
      <c r="H18" s="148" t="s">
        <v>136</v>
      </c>
      <c r="I18" s="142" t="s">
        <v>161</v>
      </c>
      <c r="J18" s="141" t="s">
        <v>161</v>
      </c>
      <c r="L18" s="151" t="n">
        <v>3163.741</v>
      </c>
      <c r="M18" s="151" t="n">
        <v>169.963</v>
      </c>
      <c r="N18" s="149" t="n">
        <v>3126.918</v>
      </c>
    </row>
    <row r="19" customFormat="false" ht="11.25" hidden="false" customHeight="false" outlineLevel="0" collapsed="false">
      <c r="A19" s="142" t="n">
        <v>16</v>
      </c>
      <c r="B19" s="145"/>
      <c r="C19" s="100" t="s">
        <v>162</v>
      </c>
      <c r="D19" s="129" t="n">
        <v>0</v>
      </c>
      <c r="F19" s="150" t="s">
        <v>163</v>
      </c>
      <c r="G19" s="148" t="s">
        <v>135</v>
      </c>
      <c r="H19" s="148" t="s">
        <v>136</v>
      </c>
      <c r="I19" s="148" t="s">
        <v>128</v>
      </c>
      <c r="J19" s="141" t="s">
        <v>164</v>
      </c>
      <c r="N19" s="152"/>
    </row>
    <row r="20" customFormat="false" ht="11.25" hidden="false" customHeight="false" outlineLevel="0" collapsed="false">
      <c r="A20" s="142" t="n">
        <v>17</v>
      </c>
      <c r="C20" s="100" t="s">
        <v>165</v>
      </c>
      <c r="D20" s="129" t="n">
        <v>2702</v>
      </c>
      <c r="F20" s="150" t="s">
        <v>166</v>
      </c>
      <c r="G20" s="142" t="s">
        <v>135</v>
      </c>
      <c r="H20" s="142" t="s">
        <v>147</v>
      </c>
      <c r="I20" s="148" t="s">
        <v>128</v>
      </c>
      <c r="J20" s="141" t="s">
        <v>164</v>
      </c>
    </row>
    <row r="21" customFormat="false" ht="11.25" hidden="false" customHeight="false" outlineLevel="0" collapsed="false">
      <c r="A21" s="142"/>
      <c r="I21" s="141"/>
    </row>
    <row r="22" customFormat="false" ht="11.25" hidden="false" customHeight="false" outlineLevel="0" collapsed="false">
      <c r="A22" s="142"/>
    </row>
    <row r="23" customFormat="false" ht="11.25" hidden="false" customHeight="false" outlineLevel="0" collapsed="false">
      <c r="A23" s="142"/>
    </row>
    <row r="24" customFormat="false" ht="11.25" hidden="false" customHeight="false" outlineLevel="0" collapsed="false">
      <c r="A24" s="142"/>
    </row>
    <row r="25" customFormat="false" ht="12.75" hidden="false" customHeight="false" outlineLevel="0" collapsed="false">
      <c r="A25" s="143" t="s">
        <v>167</v>
      </c>
    </row>
    <row r="26" customFormat="false" ht="11.25" hidden="false" customHeight="false" outlineLevel="0" collapsed="false">
      <c r="A26" s="142"/>
    </row>
    <row r="27" customFormat="false" ht="11.25" hidden="false" customHeight="false" outlineLevel="0" collapsed="false">
      <c r="A27" s="142"/>
      <c r="C27" s="87" t="s">
        <v>74</v>
      </c>
      <c r="D27" s="87" t="s">
        <v>101</v>
      </c>
      <c r="G27" s="147"/>
      <c r="H27" s="122"/>
      <c r="I27" s="122"/>
      <c r="J27" s="147"/>
    </row>
    <row r="28" customFormat="false" ht="11.25" hidden="false" customHeight="false" outlineLevel="0" collapsed="false">
      <c r="B28" s="87" t="s">
        <v>75</v>
      </c>
      <c r="C28" s="129" t="n">
        <f aca="false">SQRT(SUMSQ((D4+D5),D6:D10))</f>
        <v>36606.1878994143</v>
      </c>
      <c r="D28" s="129" t="n">
        <f aca="false">SQRT(SUMSQ(D17:D18))</f>
        <v>17828.3571923698</v>
      </c>
      <c r="F28" s="153"/>
      <c r="G28" s="122"/>
      <c r="H28" s="125"/>
      <c r="I28" s="125"/>
      <c r="J28" s="147"/>
    </row>
    <row r="29" customFormat="false" ht="11.25" hidden="false" customHeight="false" outlineLevel="0" collapsed="false">
      <c r="B29" s="87" t="s">
        <v>115</v>
      </c>
      <c r="C29" s="154" t="n">
        <f aca="false">D11</f>
        <v>139</v>
      </c>
      <c r="D29" s="129" t="n">
        <f aca="false">D20</f>
        <v>2702</v>
      </c>
      <c r="F29" s="153"/>
      <c r="G29" s="122"/>
      <c r="H29" s="125"/>
      <c r="I29" s="125"/>
      <c r="J29" s="147"/>
    </row>
    <row r="30" customFormat="false" ht="11.25" hidden="false" customHeight="false" outlineLevel="0" collapsed="false">
      <c r="B30" s="87" t="s">
        <v>116</v>
      </c>
      <c r="C30" s="154" t="n">
        <f aca="false">D12</f>
        <v>26</v>
      </c>
      <c r="D30" s="129" t="n">
        <f aca="false">D19</f>
        <v>0</v>
      </c>
      <c r="F30" s="155" t="s">
        <v>168</v>
      </c>
      <c r="G30" s="122"/>
      <c r="H30" s="156"/>
      <c r="I30" s="125"/>
      <c r="J30" s="147"/>
    </row>
    <row r="31" customFormat="false" ht="11.25" hidden="false" customHeight="false" outlineLevel="0" collapsed="false">
      <c r="B31" s="87" t="s">
        <v>86</v>
      </c>
      <c r="C31" s="154" t="n">
        <f aca="false">SQRT(SUMSQ(D14:D16))</f>
        <v>16215.9156694897</v>
      </c>
      <c r="D31" s="129" t="n">
        <v>0</v>
      </c>
      <c r="F31" s="129" t="n">
        <f aca="false">SQRT(SUMSQ(C28:D31))</f>
        <v>43910.5913727651</v>
      </c>
      <c r="G31" s="122"/>
      <c r="H31" s="156"/>
      <c r="I31" s="125"/>
      <c r="J31" s="147"/>
    </row>
    <row r="32" customFormat="false" ht="11.25" hidden="false" customHeight="false" outlineLevel="0" collapsed="false">
      <c r="B32" s="87"/>
      <c r="C32" s="156"/>
      <c r="D32" s="125"/>
      <c r="F32" s="153"/>
      <c r="G32" s="122"/>
      <c r="H32" s="156"/>
      <c r="I32" s="125"/>
      <c r="J32" s="147"/>
    </row>
    <row r="33" customFormat="false" ht="32.25" hidden="false" customHeight="false" outlineLevel="0" collapsed="false">
      <c r="B33" s="157"/>
      <c r="C33" s="158" t="s">
        <v>169</v>
      </c>
      <c r="D33" s="158" t="s">
        <v>170</v>
      </c>
      <c r="F33" s="153"/>
      <c r="G33" s="87"/>
      <c r="H33" s="156"/>
      <c r="I33" s="125"/>
    </row>
    <row r="34" customFormat="false" ht="11.25" hidden="false" customHeight="false" outlineLevel="0" collapsed="false">
      <c r="B34" s="159" t="s">
        <v>75</v>
      </c>
      <c r="C34" s="160" t="n">
        <f aca="false">C28-C44</f>
        <v>11827.2193852297</v>
      </c>
      <c r="D34" s="160" t="n">
        <f aca="false">D28-D44</f>
        <v>8698.80287685144</v>
      </c>
      <c r="F34" s="153"/>
      <c r="G34" s="87"/>
      <c r="H34" s="156"/>
      <c r="I34" s="125"/>
    </row>
    <row r="35" customFormat="false" ht="11.25" hidden="false" customHeight="false" outlineLevel="0" collapsed="false">
      <c r="B35" s="159" t="s">
        <v>116</v>
      </c>
      <c r="C35" s="161" t="n">
        <f aca="false">C30-C45</f>
        <v>-39.631</v>
      </c>
      <c r="D35" s="160" t="n">
        <f aca="false">D30-D45</f>
        <v>0</v>
      </c>
      <c r="F35" s="153"/>
      <c r="G35" s="87"/>
      <c r="H35" s="156"/>
      <c r="I35" s="125"/>
    </row>
    <row r="36" customFormat="false" ht="11.25" hidden="false" customHeight="false" outlineLevel="0" collapsed="false">
      <c r="B36" s="159" t="s">
        <v>115</v>
      </c>
      <c r="C36" s="161" t="n">
        <f aca="false">C29-C46</f>
        <v>37.567</v>
      </c>
      <c r="D36" s="160" t="n">
        <f aca="false">D29-D46</f>
        <v>1830</v>
      </c>
      <c r="F36" s="153"/>
      <c r="G36" s="87"/>
      <c r="H36" s="156"/>
      <c r="I36" s="125"/>
    </row>
    <row r="37" customFormat="false" ht="11.25" hidden="false" customHeight="false" outlineLevel="0" collapsed="false">
      <c r="B37" s="159" t="s">
        <v>86</v>
      </c>
      <c r="C37" s="161" t="n">
        <f aca="false">C31-C47</f>
        <v>2096.2731929984</v>
      </c>
      <c r="D37" s="160" t="n">
        <f aca="false">D31-D47</f>
        <v>0</v>
      </c>
      <c r="F37" s="153"/>
      <c r="G37" s="87"/>
      <c r="H37" s="156"/>
      <c r="I37" s="125"/>
    </row>
    <row r="38" customFormat="false" ht="11.25" hidden="false" customHeight="false" outlineLevel="0" collapsed="false">
      <c r="B38" s="87"/>
      <c r="C38" s="156"/>
      <c r="D38" s="125"/>
      <c r="F38" s="153"/>
    </row>
    <row r="39" customFormat="false" ht="11.25" hidden="false" customHeight="false" outlineLevel="0" collapsed="false">
      <c r="B39" s="87"/>
      <c r="C39" s="156"/>
      <c r="D39" s="125"/>
      <c r="F39" s="153"/>
    </row>
    <row r="40" customFormat="false" ht="11.25" hidden="false" customHeight="false" outlineLevel="0" collapsed="false">
      <c r="A40" s="142"/>
      <c r="F40" s="153"/>
    </row>
    <row r="41" customFormat="false" ht="12.75" hidden="false" customHeight="false" outlineLevel="0" collapsed="false">
      <c r="A41" s="143" t="s">
        <v>171</v>
      </c>
    </row>
    <row r="42" customFormat="false" ht="11.25" hidden="false" customHeight="false" outlineLevel="0" collapsed="false">
      <c r="A42" s="142"/>
    </row>
    <row r="43" customFormat="false" ht="11.25" hidden="false" customHeight="false" outlineLevel="0" collapsed="false">
      <c r="A43" s="142"/>
      <c r="C43" s="87" t="s">
        <v>74</v>
      </c>
      <c r="D43" s="87" t="s">
        <v>101</v>
      </c>
    </row>
    <row r="44" customFormat="false" ht="11.25" hidden="false" customHeight="false" outlineLevel="0" collapsed="false">
      <c r="B44" s="87" t="s">
        <v>75</v>
      </c>
      <c r="C44" s="129" t="n">
        <v>24778.9685141846</v>
      </c>
      <c r="D44" s="129" t="n">
        <v>9129.55431551836</v>
      </c>
      <c r="F44" s="153"/>
    </row>
    <row r="45" customFormat="false" ht="11.25" hidden="false" customHeight="false" outlineLevel="0" collapsed="false">
      <c r="B45" s="87" t="s">
        <v>116</v>
      </c>
      <c r="C45" s="154" t="n">
        <v>65.631</v>
      </c>
      <c r="D45" s="129" t="n">
        <v>0</v>
      </c>
      <c r="F45" s="155" t="s">
        <v>172</v>
      </c>
    </row>
    <row r="46" customFormat="false" ht="11.25" hidden="false" customHeight="false" outlineLevel="0" collapsed="false">
      <c r="B46" s="87" t="s">
        <v>115</v>
      </c>
      <c r="C46" s="154" t="n">
        <v>101.433</v>
      </c>
      <c r="D46" s="129" t="n">
        <v>872</v>
      </c>
    </row>
    <row r="47" customFormat="false" ht="11.25" hidden="false" customHeight="false" outlineLevel="0" collapsed="false">
      <c r="B47" s="87" t="s">
        <v>86</v>
      </c>
      <c r="C47" s="154" t="n">
        <v>14119.6424764913</v>
      </c>
      <c r="D47" s="129" t="n">
        <v>0</v>
      </c>
      <c r="F47" s="153"/>
    </row>
    <row r="48" customFormat="false" ht="11.25" hidden="false" customHeight="false" outlineLevel="0" collapsed="false">
      <c r="A48" s="142"/>
      <c r="F48" s="153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43" t="s">
        <v>173</v>
      </c>
      <c r="B1" s="141"/>
      <c r="C1" s="141"/>
      <c r="D1" s="141"/>
      <c r="E1" s="141"/>
      <c r="F1" s="141"/>
      <c r="G1" s="141"/>
      <c r="H1" s="141"/>
      <c r="I1" s="141"/>
      <c r="J1" s="142"/>
      <c r="K1" s="141"/>
    </row>
    <row r="2" customFormat="false" ht="13.5" hidden="false" customHeight="false" outlineLevel="0" collapsed="false">
      <c r="A2" s="141"/>
      <c r="B2" s="143"/>
      <c r="C2" s="141"/>
      <c r="D2" s="141"/>
      <c r="E2" s="141"/>
      <c r="F2" s="141"/>
      <c r="G2" s="141"/>
      <c r="H2" s="141"/>
      <c r="I2" s="141"/>
      <c r="J2" s="142"/>
      <c r="K2" s="141"/>
    </row>
    <row r="3" customFormat="false" ht="13.5" hidden="false" customHeight="false" outlineLevel="0" collapsed="false">
      <c r="A3" s="141"/>
      <c r="B3" s="162" t="n">
        <v>36250</v>
      </c>
      <c r="C3" s="162"/>
      <c r="D3" s="162"/>
      <c r="E3" s="162"/>
      <c r="F3" s="162"/>
      <c r="G3" s="162"/>
      <c r="H3" s="162"/>
      <c r="I3" s="162"/>
      <c r="J3" s="162"/>
      <c r="K3" s="162"/>
    </row>
    <row r="4" customFormat="false" ht="22.5" hidden="false" customHeight="false" outlineLevel="0" collapsed="false">
      <c r="A4" s="141"/>
      <c r="B4" s="163" t="s">
        <v>118</v>
      </c>
      <c r="C4" s="164" t="s">
        <v>66</v>
      </c>
      <c r="D4" s="164"/>
      <c r="E4" s="164" t="s">
        <v>67</v>
      </c>
      <c r="F4" s="164"/>
      <c r="G4" s="165" t="s">
        <v>68</v>
      </c>
      <c r="H4" s="166" t="s">
        <v>119</v>
      </c>
      <c r="I4" s="166" t="s">
        <v>120</v>
      </c>
      <c r="J4" s="166" t="s">
        <v>121</v>
      </c>
      <c r="K4" s="167" t="s">
        <v>122</v>
      </c>
    </row>
    <row r="5" customFormat="false" ht="12.75" hidden="false" customHeight="false" outlineLevel="0" collapsed="false">
      <c r="A5" s="141"/>
      <c r="B5" s="168"/>
      <c r="C5" s="147"/>
      <c r="D5" s="147"/>
      <c r="E5" s="169"/>
      <c r="F5" s="169"/>
      <c r="G5" s="147"/>
      <c r="H5" s="147"/>
      <c r="I5" s="147"/>
      <c r="J5" s="150"/>
      <c r="K5" s="170"/>
    </row>
    <row r="6" customFormat="false" ht="12.75" hidden="false" customHeight="false" outlineLevel="0" collapsed="false">
      <c r="A6" s="141"/>
      <c r="B6" s="171" t="n">
        <v>1</v>
      </c>
      <c r="C6" s="147"/>
      <c r="D6" s="172" t="s">
        <v>4</v>
      </c>
      <c r="E6" s="129" t="n">
        <v>16643.6147787183</v>
      </c>
      <c r="F6" s="147"/>
      <c r="G6" s="150" t="s">
        <v>123</v>
      </c>
      <c r="H6" s="173" t="s">
        <v>124</v>
      </c>
      <c r="I6" s="173" t="s">
        <v>125</v>
      </c>
      <c r="J6" s="173" t="s">
        <v>126</v>
      </c>
      <c r="K6" s="170" t="s">
        <v>127</v>
      </c>
    </row>
    <row r="7" customFormat="false" ht="12.75" hidden="false" customHeight="false" outlineLevel="0" collapsed="false">
      <c r="A7" s="141"/>
      <c r="B7" s="171" t="n">
        <v>2</v>
      </c>
      <c r="C7" s="147"/>
      <c r="D7" s="172" t="s">
        <v>7</v>
      </c>
      <c r="E7" s="129" t="n">
        <v>6935.7935782248</v>
      </c>
      <c r="F7" s="147"/>
      <c r="G7" s="150" t="s">
        <v>123</v>
      </c>
      <c r="H7" s="173" t="s">
        <v>124</v>
      </c>
      <c r="I7" s="173" t="s">
        <v>125</v>
      </c>
      <c r="J7" s="173" t="s">
        <v>126</v>
      </c>
      <c r="K7" s="170" t="s">
        <v>127</v>
      </c>
    </row>
    <row r="8" customFormat="false" ht="12.75" hidden="false" customHeight="false" outlineLevel="0" collapsed="false">
      <c r="A8" s="141"/>
      <c r="B8" s="171" t="n">
        <v>3</v>
      </c>
      <c r="C8" s="147"/>
      <c r="D8" s="172" t="s">
        <v>8</v>
      </c>
      <c r="E8" s="129" t="n">
        <v>7378</v>
      </c>
      <c r="F8" s="147"/>
      <c r="G8" s="150" t="s">
        <v>123</v>
      </c>
      <c r="H8" s="173" t="s">
        <v>3</v>
      </c>
      <c r="I8" s="173" t="s">
        <v>125</v>
      </c>
      <c r="J8" s="173" t="s">
        <v>128</v>
      </c>
      <c r="K8" s="170" t="s">
        <v>127</v>
      </c>
    </row>
    <row r="9" customFormat="false" ht="12.75" hidden="false" customHeight="false" outlineLevel="0" collapsed="false">
      <c r="A9" s="141"/>
      <c r="B9" s="171" t="n">
        <v>4</v>
      </c>
      <c r="C9" s="147"/>
      <c r="D9" s="172" t="s">
        <v>129</v>
      </c>
      <c r="E9" s="129" t="n">
        <v>1225</v>
      </c>
      <c r="F9" s="147"/>
      <c r="G9" s="150" t="s">
        <v>123</v>
      </c>
      <c r="H9" s="173" t="s">
        <v>174</v>
      </c>
      <c r="I9" s="173" t="s">
        <v>130</v>
      </c>
      <c r="J9" s="173" t="s">
        <v>128</v>
      </c>
      <c r="K9" s="170" t="s">
        <v>127</v>
      </c>
    </row>
    <row r="10" customFormat="false" ht="12.75" hidden="false" customHeight="false" outlineLevel="0" collapsed="false">
      <c r="A10" s="141"/>
      <c r="B10" s="171" t="n">
        <v>5</v>
      </c>
      <c r="C10" s="147"/>
      <c r="D10" s="172" t="s">
        <v>81</v>
      </c>
      <c r="E10" s="129" t="n">
        <f aca="false">O10</f>
        <v>0</v>
      </c>
      <c r="F10" s="147"/>
      <c r="G10" s="150" t="s">
        <v>123</v>
      </c>
      <c r="H10" s="173" t="s">
        <v>135</v>
      </c>
      <c r="I10" s="173" t="s">
        <v>136</v>
      </c>
      <c r="J10" s="150" t="s">
        <v>157</v>
      </c>
      <c r="K10" s="170" t="s">
        <v>141</v>
      </c>
    </row>
    <row r="11" customFormat="false" ht="12.75" hidden="false" customHeight="false" outlineLevel="0" collapsed="false">
      <c r="A11" s="141"/>
      <c r="B11" s="171" t="n">
        <v>6</v>
      </c>
      <c r="C11" s="147"/>
      <c r="D11" s="172" t="s">
        <v>16</v>
      </c>
      <c r="E11" s="129" t="n">
        <v>101.433</v>
      </c>
      <c r="F11" s="147"/>
      <c r="G11" s="150" t="s">
        <v>142</v>
      </c>
      <c r="H11" s="173" t="s">
        <v>135</v>
      </c>
      <c r="I11" s="173" t="s">
        <v>136</v>
      </c>
      <c r="J11" s="173" t="s">
        <v>175</v>
      </c>
      <c r="K11" s="170" t="s">
        <v>143</v>
      </c>
    </row>
    <row r="12" customFormat="false" ht="12.75" hidden="false" customHeight="false" outlineLevel="0" collapsed="false">
      <c r="A12" s="141"/>
      <c r="B12" s="171" t="n">
        <v>7</v>
      </c>
      <c r="C12" s="147"/>
      <c r="D12" s="172" t="s">
        <v>17</v>
      </c>
      <c r="E12" s="129" t="n">
        <v>65.631</v>
      </c>
      <c r="F12" s="147"/>
      <c r="G12" s="150" t="s">
        <v>144</v>
      </c>
      <c r="H12" s="173" t="s">
        <v>135</v>
      </c>
      <c r="I12" s="173" t="s">
        <v>136</v>
      </c>
      <c r="J12" s="173" t="s">
        <v>175</v>
      </c>
      <c r="K12" s="170" t="s">
        <v>143</v>
      </c>
    </row>
    <row r="13" customFormat="false" ht="12.75" hidden="false" customHeight="false" outlineLevel="0" collapsed="false">
      <c r="A13" s="141"/>
      <c r="B13" s="171" t="n">
        <v>8</v>
      </c>
      <c r="C13" s="147"/>
      <c r="D13" s="172" t="s">
        <v>86</v>
      </c>
      <c r="E13" s="129" t="n">
        <v>855</v>
      </c>
      <c r="F13" s="147"/>
      <c r="G13" s="150" t="s">
        <v>146</v>
      </c>
      <c r="H13" s="173" t="s">
        <v>3</v>
      </c>
      <c r="I13" s="173" t="s">
        <v>147</v>
      </c>
      <c r="J13" s="173" t="s">
        <v>128</v>
      </c>
      <c r="K13" s="170" t="s">
        <v>127</v>
      </c>
    </row>
    <row r="14" customFormat="false" ht="12.75" hidden="false" customHeight="false" outlineLevel="0" collapsed="false">
      <c r="A14" s="141"/>
      <c r="B14" s="171" t="n">
        <v>9</v>
      </c>
      <c r="C14" s="147"/>
      <c r="D14" s="172" t="s">
        <v>149</v>
      </c>
      <c r="E14" s="129" t="n">
        <v>12427</v>
      </c>
      <c r="F14" s="147"/>
      <c r="G14" s="150" t="s">
        <v>146</v>
      </c>
      <c r="H14" s="173" t="s">
        <v>135</v>
      </c>
      <c r="I14" s="173" t="s">
        <v>147</v>
      </c>
      <c r="J14" s="173" t="s">
        <v>150</v>
      </c>
      <c r="K14" s="170" t="s">
        <v>151</v>
      </c>
    </row>
    <row r="15" customFormat="false" ht="12.75" hidden="false" customHeight="false" outlineLevel="0" collapsed="false">
      <c r="A15" s="141"/>
      <c r="B15" s="171" t="n">
        <v>10</v>
      </c>
      <c r="C15" s="147"/>
      <c r="D15" s="172" t="s">
        <v>154</v>
      </c>
      <c r="E15" s="129" t="n">
        <v>10186.544</v>
      </c>
      <c r="F15" s="147"/>
      <c r="G15" s="150" t="s">
        <v>146</v>
      </c>
      <c r="H15" s="173" t="s">
        <v>135</v>
      </c>
      <c r="I15" s="173" t="s">
        <v>147</v>
      </c>
      <c r="J15" s="173" t="s">
        <v>155</v>
      </c>
      <c r="K15" s="170" t="s">
        <v>151</v>
      </c>
    </row>
    <row r="16" customFormat="false" ht="12.75" hidden="false" customHeight="false" outlineLevel="0" collapsed="false">
      <c r="A16" s="141"/>
      <c r="B16" s="171" t="n">
        <v>11</v>
      </c>
      <c r="C16" s="147"/>
      <c r="D16" s="172" t="s">
        <v>30</v>
      </c>
      <c r="E16" s="129" t="n">
        <v>9129</v>
      </c>
      <c r="F16" s="147"/>
      <c r="G16" s="150" t="s">
        <v>156</v>
      </c>
      <c r="H16" s="173" t="s">
        <v>124</v>
      </c>
      <c r="I16" s="173" t="s">
        <v>125</v>
      </c>
      <c r="J16" s="150" t="s">
        <v>157</v>
      </c>
      <c r="K16" s="170" t="s">
        <v>127</v>
      </c>
    </row>
    <row r="17" customFormat="false" ht="12.75" hidden="false" customHeight="false" outlineLevel="0" collapsed="false">
      <c r="A17" s="141"/>
      <c r="B17" s="171" t="n">
        <v>12</v>
      </c>
      <c r="C17" s="147"/>
      <c r="D17" s="172" t="s">
        <v>33</v>
      </c>
      <c r="E17" s="129" t="n">
        <f aca="false">O17</f>
        <v>0</v>
      </c>
      <c r="F17" s="147"/>
      <c r="G17" s="150" t="s">
        <v>156</v>
      </c>
      <c r="H17" s="173" t="s">
        <v>135</v>
      </c>
      <c r="I17" s="173" t="s">
        <v>136</v>
      </c>
      <c r="J17" s="150" t="s">
        <v>161</v>
      </c>
      <c r="K17" s="174" t="s">
        <v>161</v>
      </c>
    </row>
    <row r="18" customFormat="false" ht="12.75" hidden="false" customHeight="false" outlineLevel="0" collapsed="false">
      <c r="A18" s="141"/>
      <c r="B18" s="171" t="n">
        <v>13</v>
      </c>
      <c r="C18" s="169"/>
      <c r="D18" s="172" t="s">
        <v>162</v>
      </c>
      <c r="E18" s="129" t="n">
        <v>0</v>
      </c>
      <c r="F18" s="147"/>
      <c r="G18" s="150" t="s">
        <v>163</v>
      </c>
      <c r="H18" s="173" t="s">
        <v>135</v>
      </c>
      <c r="I18" s="173" t="s">
        <v>136</v>
      </c>
      <c r="J18" s="150" t="s">
        <v>176</v>
      </c>
      <c r="K18" s="174" t="s">
        <v>177</v>
      </c>
    </row>
    <row r="19" customFormat="false" ht="12.75" hidden="false" customHeight="false" outlineLevel="0" collapsed="false">
      <c r="A19" s="141"/>
      <c r="B19" s="171" t="n">
        <v>14</v>
      </c>
      <c r="C19" s="147"/>
      <c r="D19" s="172" t="s">
        <v>165</v>
      </c>
      <c r="E19" s="129" t="n">
        <v>872</v>
      </c>
      <c r="F19" s="147"/>
      <c r="G19" s="150" t="s">
        <v>166</v>
      </c>
      <c r="H19" s="150" t="s">
        <v>135</v>
      </c>
      <c r="I19" s="150" t="s">
        <v>147</v>
      </c>
      <c r="J19" s="150" t="s">
        <v>176</v>
      </c>
      <c r="K19" s="174" t="s">
        <v>177</v>
      </c>
    </row>
    <row r="20" customFormat="false" ht="13.5" hidden="false" customHeight="false" outlineLevel="0" collapsed="false">
      <c r="A20" s="141"/>
      <c r="B20" s="175"/>
      <c r="C20" s="176"/>
      <c r="D20" s="177"/>
      <c r="E20" s="178"/>
      <c r="F20" s="176"/>
      <c r="G20" s="179"/>
      <c r="H20" s="179"/>
      <c r="I20" s="179"/>
      <c r="J20" s="179"/>
      <c r="K20" s="180"/>
    </row>
    <row r="21" customFormat="false" ht="12.75" hidden="false" customHeight="false" outlineLevel="0" collapsed="false">
      <c r="A21" s="141"/>
      <c r="B21" s="142"/>
      <c r="C21" s="141"/>
      <c r="D21" s="100"/>
      <c r="E21" s="125"/>
      <c r="F21" s="141"/>
      <c r="G21" s="150"/>
      <c r="H21" s="142"/>
      <c r="I21" s="142"/>
      <c r="J21" s="142"/>
      <c r="K21" s="142"/>
    </row>
    <row r="22" customFormat="false" ht="13.5" hidden="false" customHeight="false" outlineLevel="0" collapsed="false">
      <c r="A22" s="141"/>
      <c r="B22" s="142"/>
      <c r="C22" s="141"/>
      <c r="D22" s="100"/>
      <c r="E22" s="125"/>
      <c r="F22" s="141"/>
      <c r="G22" s="150"/>
      <c r="H22" s="142"/>
      <c r="I22" s="142"/>
      <c r="J22" s="142"/>
      <c r="K22" s="142"/>
    </row>
    <row r="23" customFormat="false" ht="13.5" hidden="false" customHeight="false" outlineLevel="0" collapsed="false">
      <c r="A23" s="141"/>
      <c r="B23" s="162" t="n">
        <v>36160</v>
      </c>
      <c r="C23" s="162"/>
      <c r="D23" s="162"/>
      <c r="E23" s="162"/>
      <c r="F23" s="162"/>
      <c r="G23" s="162"/>
      <c r="H23" s="162"/>
      <c r="I23" s="162"/>
      <c r="J23" s="162"/>
      <c r="K23" s="162"/>
    </row>
    <row r="24" customFormat="false" ht="22.5" hidden="false" customHeight="false" outlineLevel="0" collapsed="false">
      <c r="A24" s="141"/>
      <c r="B24" s="163" t="s">
        <v>118</v>
      </c>
      <c r="C24" s="164" t="s">
        <v>66</v>
      </c>
      <c r="D24" s="164"/>
      <c r="E24" s="164" t="s">
        <v>67</v>
      </c>
      <c r="F24" s="164"/>
      <c r="G24" s="165" t="s">
        <v>68</v>
      </c>
      <c r="H24" s="166" t="s">
        <v>119</v>
      </c>
      <c r="I24" s="166" t="s">
        <v>120</v>
      </c>
      <c r="J24" s="166" t="s">
        <v>121</v>
      </c>
      <c r="K24" s="167" t="s">
        <v>122</v>
      </c>
    </row>
    <row r="25" customFormat="false" ht="12.75" hidden="false" customHeight="false" outlineLevel="0" collapsed="false">
      <c r="A25" s="141"/>
      <c r="B25" s="168"/>
      <c r="C25" s="147"/>
      <c r="D25" s="147"/>
      <c r="E25" s="169"/>
      <c r="F25" s="169"/>
      <c r="G25" s="147"/>
      <c r="H25" s="147"/>
      <c r="I25" s="147"/>
      <c r="J25" s="150"/>
      <c r="K25" s="170"/>
    </row>
    <row r="26" customFormat="false" ht="12.75" hidden="false" customHeight="false" outlineLevel="0" collapsed="false">
      <c r="A26" s="141"/>
      <c r="B26" s="171" t="n">
        <v>1</v>
      </c>
      <c r="C26" s="147"/>
      <c r="D26" s="172" t="s">
        <v>4</v>
      </c>
      <c r="E26" s="129" t="n">
        <f aca="false">7670143.95733098/1000</f>
        <v>7670.14395733098</v>
      </c>
      <c r="F26" s="147"/>
      <c r="G26" s="150" t="s">
        <v>123</v>
      </c>
      <c r="H26" s="173" t="s">
        <v>124</v>
      </c>
      <c r="I26" s="173" t="s">
        <v>125</v>
      </c>
      <c r="J26" s="173" t="s">
        <v>178</v>
      </c>
      <c r="K26" s="170" t="s">
        <v>127</v>
      </c>
    </row>
    <row r="27" customFormat="false" ht="12.75" hidden="false" customHeight="false" outlineLevel="0" collapsed="false">
      <c r="A27" s="141"/>
      <c r="B27" s="171" t="n">
        <v>2</v>
      </c>
      <c r="C27" s="147"/>
      <c r="D27" s="172" t="s">
        <v>7</v>
      </c>
      <c r="E27" s="129" t="n">
        <f aca="false">4486332.97924044/1000</f>
        <v>4486.33297924044</v>
      </c>
      <c r="F27" s="147"/>
      <c r="G27" s="150" t="s">
        <v>123</v>
      </c>
      <c r="H27" s="173" t="s">
        <v>124</v>
      </c>
      <c r="I27" s="173" t="s">
        <v>125</v>
      </c>
      <c r="J27" s="173" t="s">
        <v>178</v>
      </c>
      <c r="K27" s="170" t="s">
        <v>127</v>
      </c>
    </row>
    <row r="28" customFormat="false" ht="12.75" hidden="false" customHeight="false" outlineLevel="0" collapsed="false">
      <c r="A28" s="141"/>
      <c r="B28" s="171" t="n">
        <v>3</v>
      </c>
      <c r="C28" s="147"/>
      <c r="D28" s="172" t="s">
        <v>8</v>
      </c>
      <c r="E28" s="129" t="n">
        <v>7943</v>
      </c>
      <c r="F28" s="147"/>
      <c r="G28" s="150" t="s">
        <v>123</v>
      </c>
      <c r="H28" s="173" t="s">
        <v>3</v>
      </c>
      <c r="I28" s="173" t="s">
        <v>125</v>
      </c>
      <c r="J28" s="173" t="s">
        <v>128</v>
      </c>
      <c r="K28" s="170" t="s">
        <v>127</v>
      </c>
    </row>
    <row r="29" customFormat="false" ht="12.75" hidden="false" customHeight="false" outlineLevel="0" collapsed="false">
      <c r="A29" s="141"/>
      <c r="B29" s="171" t="n">
        <v>4</v>
      </c>
      <c r="C29" s="147"/>
      <c r="D29" s="172" t="s">
        <v>129</v>
      </c>
      <c r="E29" s="129" t="n">
        <v>1721</v>
      </c>
      <c r="F29" s="147"/>
      <c r="G29" s="150" t="s">
        <v>123</v>
      </c>
      <c r="H29" s="173" t="s">
        <v>174</v>
      </c>
      <c r="I29" s="173" t="s">
        <v>130</v>
      </c>
      <c r="J29" s="173" t="s">
        <v>128</v>
      </c>
      <c r="K29" s="170" t="s">
        <v>127</v>
      </c>
    </row>
    <row r="30" customFormat="false" ht="12.75" hidden="false" customHeight="false" outlineLevel="0" collapsed="false">
      <c r="A30" s="141"/>
      <c r="B30" s="171" t="n">
        <v>5</v>
      </c>
      <c r="C30" s="147"/>
      <c r="D30" s="172" t="s">
        <v>81</v>
      </c>
      <c r="E30" s="129" t="n">
        <v>1068</v>
      </c>
      <c r="F30" s="147"/>
      <c r="G30" s="150" t="s">
        <v>123</v>
      </c>
      <c r="H30" s="173" t="s">
        <v>135</v>
      </c>
      <c r="I30" s="173" t="s">
        <v>136</v>
      </c>
      <c r="J30" s="173" t="s">
        <v>178</v>
      </c>
      <c r="K30" s="170" t="s">
        <v>141</v>
      </c>
    </row>
    <row r="31" customFormat="false" ht="12.75" hidden="false" customHeight="false" outlineLevel="0" collapsed="false">
      <c r="A31" s="141"/>
      <c r="B31" s="171" t="n">
        <v>6</v>
      </c>
      <c r="C31" s="147"/>
      <c r="D31" s="172" t="s">
        <v>16</v>
      </c>
      <c r="E31" s="129" t="n">
        <v>77</v>
      </c>
      <c r="F31" s="147"/>
      <c r="G31" s="150" t="s">
        <v>142</v>
      </c>
      <c r="H31" s="173" t="s">
        <v>135</v>
      </c>
      <c r="I31" s="173" t="s">
        <v>136</v>
      </c>
      <c r="J31" s="173" t="s">
        <v>179</v>
      </c>
      <c r="K31" s="170" t="s">
        <v>143</v>
      </c>
    </row>
    <row r="32" customFormat="false" ht="12.75" hidden="false" customHeight="false" outlineLevel="0" collapsed="false">
      <c r="A32" s="141"/>
      <c r="B32" s="171" t="n">
        <v>7</v>
      </c>
      <c r="C32" s="147"/>
      <c r="D32" s="172" t="s">
        <v>17</v>
      </c>
      <c r="E32" s="129" t="n">
        <v>44</v>
      </c>
      <c r="F32" s="147"/>
      <c r="G32" s="150" t="s">
        <v>144</v>
      </c>
      <c r="H32" s="173" t="s">
        <v>135</v>
      </c>
      <c r="I32" s="173" t="s">
        <v>136</v>
      </c>
      <c r="J32" s="173" t="s">
        <v>179</v>
      </c>
      <c r="K32" s="170" t="s">
        <v>143</v>
      </c>
    </row>
    <row r="33" customFormat="false" ht="12.75" hidden="false" customHeight="false" outlineLevel="0" collapsed="false">
      <c r="A33" s="141"/>
      <c r="B33" s="171" t="n">
        <v>8</v>
      </c>
      <c r="C33" s="147"/>
      <c r="D33" s="172" t="s">
        <v>86</v>
      </c>
      <c r="E33" s="129" t="n">
        <v>530</v>
      </c>
      <c r="F33" s="147"/>
      <c r="G33" s="150" t="s">
        <v>146</v>
      </c>
      <c r="H33" s="173" t="s">
        <v>3</v>
      </c>
      <c r="I33" s="173" t="s">
        <v>147</v>
      </c>
      <c r="J33" s="173" t="s">
        <v>179</v>
      </c>
      <c r="K33" s="170" t="s">
        <v>127</v>
      </c>
    </row>
    <row r="34" customFormat="false" ht="12.75" hidden="false" customHeight="false" outlineLevel="0" collapsed="false">
      <c r="A34" s="141"/>
      <c r="B34" s="171" t="n">
        <v>9</v>
      </c>
      <c r="C34" s="147"/>
      <c r="D34" s="172" t="s">
        <v>149</v>
      </c>
      <c r="E34" s="129" t="n">
        <v>8793</v>
      </c>
      <c r="F34" s="147"/>
      <c r="G34" s="150" t="s">
        <v>146</v>
      </c>
      <c r="H34" s="173" t="s">
        <v>135</v>
      </c>
      <c r="I34" s="173" t="s">
        <v>147</v>
      </c>
      <c r="J34" s="173" t="s">
        <v>150</v>
      </c>
      <c r="K34" s="170" t="s">
        <v>179</v>
      </c>
    </row>
    <row r="35" customFormat="false" ht="12.75" hidden="false" customHeight="false" outlineLevel="0" collapsed="false">
      <c r="A35" s="141"/>
      <c r="B35" s="171" t="n">
        <v>10</v>
      </c>
      <c r="C35" s="147"/>
      <c r="D35" s="172" t="s">
        <v>154</v>
      </c>
      <c r="E35" s="129" t="n">
        <v>8732</v>
      </c>
      <c r="F35" s="147"/>
      <c r="G35" s="150" t="s">
        <v>146</v>
      </c>
      <c r="H35" s="173" t="s">
        <v>135</v>
      </c>
      <c r="I35" s="173" t="s">
        <v>147</v>
      </c>
      <c r="J35" s="173" t="s">
        <v>155</v>
      </c>
      <c r="K35" s="170" t="s">
        <v>179</v>
      </c>
    </row>
    <row r="36" customFormat="false" ht="12.75" hidden="false" customHeight="false" outlineLevel="0" collapsed="false">
      <c r="A36" s="141"/>
      <c r="B36" s="171" t="n">
        <v>11</v>
      </c>
      <c r="C36" s="147"/>
      <c r="D36" s="172" t="s">
        <v>30</v>
      </c>
      <c r="E36" s="129" t="n">
        <v>10399</v>
      </c>
      <c r="F36" s="147"/>
      <c r="G36" s="150" t="s">
        <v>156</v>
      </c>
      <c r="H36" s="173" t="s">
        <v>124</v>
      </c>
      <c r="I36" s="173" t="s">
        <v>125</v>
      </c>
      <c r="J36" s="173" t="s">
        <v>178</v>
      </c>
      <c r="K36" s="170" t="s">
        <v>127</v>
      </c>
    </row>
    <row r="37" customFormat="false" ht="12.75" hidden="false" customHeight="false" outlineLevel="0" collapsed="false">
      <c r="A37" s="141"/>
      <c r="B37" s="171" t="n">
        <v>12</v>
      </c>
      <c r="C37" s="147"/>
      <c r="D37" s="172" t="s">
        <v>33</v>
      </c>
      <c r="E37" s="129" t="n">
        <v>463</v>
      </c>
      <c r="F37" s="147"/>
      <c r="G37" s="150" t="s">
        <v>156</v>
      </c>
      <c r="H37" s="173" t="s">
        <v>135</v>
      </c>
      <c r="I37" s="173" t="s">
        <v>136</v>
      </c>
      <c r="J37" s="150" t="s">
        <v>161</v>
      </c>
      <c r="K37" s="174" t="s">
        <v>161</v>
      </c>
    </row>
    <row r="38" customFormat="false" ht="12.75" hidden="false" customHeight="false" outlineLevel="0" collapsed="false">
      <c r="A38" s="141"/>
      <c r="B38" s="171" t="n">
        <v>13</v>
      </c>
      <c r="C38" s="169"/>
      <c r="D38" s="172" t="s">
        <v>162</v>
      </c>
      <c r="E38" s="129" t="n">
        <v>0</v>
      </c>
      <c r="F38" s="147"/>
      <c r="G38" s="150" t="s">
        <v>163</v>
      </c>
      <c r="H38" s="173" t="s">
        <v>135</v>
      </c>
      <c r="I38" s="173" t="s">
        <v>136</v>
      </c>
      <c r="J38" s="150" t="s">
        <v>179</v>
      </c>
      <c r="K38" s="174" t="s">
        <v>177</v>
      </c>
    </row>
    <row r="39" customFormat="false" ht="12.75" hidden="false" customHeight="false" outlineLevel="0" collapsed="false">
      <c r="A39" s="141"/>
      <c r="B39" s="171" t="n">
        <v>14</v>
      </c>
      <c r="C39" s="147"/>
      <c r="D39" s="172" t="s">
        <v>165</v>
      </c>
      <c r="E39" s="129" t="n">
        <v>397</v>
      </c>
      <c r="F39" s="147"/>
      <c r="G39" s="150" t="s">
        <v>166</v>
      </c>
      <c r="H39" s="150" t="s">
        <v>135</v>
      </c>
      <c r="I39" s="150" t="s">
        <v>147</v>
      </c>
      <c r="J39" s="150" t="s">
        <v>179</v>
      </c>
      <c r="K39" s="174" t="s">
        <v>177</v>
      </c>
    </row>
    <row r="40" customFormat="false" ht="13.5" hidden="false" customHeight="false" outlineLevel="0" collapsed="false">
      <c r="A40" s="141"/>
      <c r="B40" s="175"/>
      <c r="C40" s="176"/>
      <c r="D40" s="177"/>
      <c r="E40" s="178"/>
      <c r="F40" s="176"/>
      <c r="G40" s="179"/>
      <c r="H40" s="179"/>
      <c r="I40" s="179"/>
      <c r="J40" s="179"/>
      <c r="K40" s="180"/>
    </row>
    <row r="41" customFormat="false" ht="12.75" hidden="false" customHeight="false" outlineLevel="0" collapsed="false">
      <c r="A41" s="141"/>
      <c r="B41" s="142"/>
      <c r="C41" s="141"/>
      <c r="D41" s="141"/>
      <c r="E41" s="141"/>
      <c r="F41" s="141"/>
      <c r="G41" s="141"/>
      <c r="H41" s="141"/>
      <c r="I41" s="141"/>
      <c r="J41" s="142"/>
      <c r="K41" s="141"/>
    </row>
    <row r="42" customFormat="false" ht="12.75" hidden="false" customHeight="false" outlineLevel="0" collapsed="false">
      <c r="A42" s="141"/>
      <c r="B42" s="142"/>
      <c r="C42" s="141"/>
      <c r="D42" s="141"/>
      <c r="E42" s="141"/>
      <c r="F42" s="141"/>
      <c r="G42" s="141"/>
      <c r="H42" s="141"/>
      <c r="I42" s="141"/>
      <c r="J42" s="142"/>
      <c r="K42" s="141"/>
    </row>
    <row r="43" customFormat="false" ht="12.75" hidden="false" customHeight="false" outlineLevel="0" collapsed="false">
      <c r="A43" s="141"/>
      <c r="B43" s="142"/>
      <c r="C43" s="141"/>
      <c r="D43" s="141"/>
      <c r="E43" s="141"/>
      <c r="F43" s="141"/>
      <c r="G43" s="141"/>
      <c r="H43" s="141"/>
      <c r="I43" s="141"/>
      <c r="J43" s="142"/>
      <c r="K43" s="141"/>
    </row>
    <row r="44" customFormat="false" ht="12.75" hidden="false" customHeight="false" outlineLevel="0" collapsed="false">
      <c r="A44" s="141"/>
      <c r="B44" s="143" t="s">
        <v>171</v>
      </c>
      <c r="C44" s="141"/>
      <c r="D44" s="141"/>
      <c r="E44" s="141"/>
      <c r="F44" s="141"/>
      <c r="G44" s="141"/>
      <c r="H44" s="141"/>
      <c r="I44" s="141"/>
      <c r="J44" s="142"/>
      <c r="K44" s="141"/>
    </row>
    <row r="45" customFormat="false" ht="12.75" hidden="false" customHeight="false" outlineLevel="0" collapsed="false">
      <c r="A45" s="141"/>
      <c r="B45" s="142"/>
      <c r="C45" s="141"/>
      <c r="D45" s="141"/>
      <c r="E45" s="141"/>
      <c r="F45" s="141"/>
      <c r="G45" s="141"/>
      <c r="H45" s="141"/>
      <c r="I45" s="141"/>
      <c r="J45" s="142"/>
      <c r="K45" s="141"/>
    </row>
    <row r="46" customFormat="false" ht="12.75" hidden="false" customHeight="false" outlineLevel="0" collapsed="false">
      <c r="A46" s="141"/>
      <c r="B46" s="142"/>
      <c r="C46" s="141"/>
      <c r="D46" s="87" t="s">
        <v>74</v>
      </c>
      <c r="E46" s="87" t="s">
        <v>101</v>
      </c>
      <c r="F46" s="141"/>
      <c r="G46" s="141"/>
      <c r="H46" s="141"/>
      <c r="I46" s="141"/>
      <c r="J46" s="142"/>
      <c r="K46" s="141"/>
    </row>
    <row r="47" customFormat="false" ht="12.75" hidden="false" customHeight="false" outlineLevel="0" collapsed="false">
      <c r="A47" s="141"/>
      <c r="B47" s="141"/>
      <c r="C47" s="87" t="s">
        <v>75</v>
      </c>
      <c r="D47" s="129" t="n">
        <f aca="false">SQRT(SUMSQ((E6+E7),E8:E10))</f>
        <v>24737.0977979123</v>
      </c>
      <c r="E47" s="129" t="n">
        <f aca="false">SQRT(SUMSQ(E16:E17))</f>
        <v>9129</v>
      </c>
      <c r="F47" s="141"/>
      <c r="G47" s="153"/>
      <c r="H47" s="141"/>
      <c r="I47" s="141"/>
      <c r="J47" s="142"/>
      <c r="K47" s="141"/>
    </row>
    <row r="48" customFormat="false" ht="12.75" hidden="false" customHeight="false" outlineLevel="0" collapsed="false">
      <c r="A48" s="141"/>
      <c r="B48" s="141"/>
      <c r="C48" s="87" t="s">
        <v>116</v>
      </c>
      <c r="D48" s="154" t="n">
        <f aca="false">E12</f>
        <v>65.631</v>
      </c>
      <c r="E48" s="129" t="n">
        <f aca="false">E18</f>
        <v>0</v>
      </c>
      <c r="F48" s="141"/>
      <c r="G48" s="155" t="s">
        <v>172</v>
      </c>
      <c r="H48" s="141"/>
      <c r="I48" s="141"/>
      <c r="J48" s="142"/>
      <c r="K48" s="141"/>
    </row>
    <row r="49" customFormat="false" ht="12.75" hidden="false" customHeight="false" outlineLevel="0" collapsed="false">
      <c r="A49" s="141"/>
      <c r="B49" s="141"/>
      <c r="C49" s="87" t="s">
        <v>115</v>
      </c>
      <c r="D49" s="154" t="n">
        <f aca="false">E11</f>
        <v>101.433</v>
      </c>
      <c r="E49" s="129" t="n">
        <f aca="false">E19</f>
        <v>872</v>
      </c>
      <c r="F49" s="141"/>
      <c r="G49" s="153"/>
      <c r="H49" s="141"/>
      <c r="I49" s="141"/>
      <c r="J49" s="142"/>
      <c r="K49" s="141"/>
    </row>
    <row r="50" customFormat="false" ht="12.75" hidden="false" customHeight="false" outlineLevel="0" collapsed="false">
      <c r="A50" s="141"/>
      <c r="B50" s="141"/>
      <c r="C50" s="87" t="s">
        <v>86</v>
      </c>
      <c r="D50" s="154" t="n">
        <f aca="false">SQRT(SUMSQ(E13:E15))</f>
        <v>16091.209794914</v>
      </c>
      <c r="E50" s="129" t="n">
        <v>0</v>
      </c>
      <c r="F50" s="141"/>
      <c r="G50" s="153"/>
      <c r="H50" s="141"/>
      <c r="I50" s="141"/>
      <c r="J50" s="142"/>
      <c r="K50" s="141"/>
    </row>
    <row r="51" customFormat="false" ht="12.75" hidden="false" customHeight="false" outlineLevel="0" collapsed="false">
      <c r="A51" s="141"/>
      <c r="B51" s="141"/>
      <c r="C51" s="87"/>
      <c r="D51" s="156"/>
      <c r="E51" s="125"/>
      <c r="F51" s="141"/>
      <c r="G51" s="153"/>
      <c r="H51" s="141"/>
      <c r="I51" s="141"/>
      <c r="J51" s="142"/>
      <c r="K51" s="141"/>
    </row>
    <row r="52" customFormat="false" ht="12.75" hidden="false" customHeight="false" outlineLevel="0" collapsed="false">
      <c r="A52" s="141"/>
      <c r="B52" s="141"/>
      <c r="C52" s="87"/>
      <c r="D52" s="156"/>
      <c r="E52" s="125"/>
      <c r="F52" s="141"/>
      <c r="G52" s="153"/>
      <c r="H52" s="141"/>
      <c r="I52" s="141"/>
      <c r="J52" s="142"/>
      <c r="K52" s="141"/>
    </row>
    <row r="53" customFormat="false" ht="12.75" hidden="false" customHeight="false" outlineLevel="0" collapsed="false">
      <c r="A53" s="141"/>
      <c r="B53" s="142"/>
      <c r="C53" s="141"/>
      <c r="D53" s="141"/>
      <c r="E53" s="141"/>
      <c r="F53" s="141"/>
      <c r="G53" s="153"/>
      <c r="H53" s="141"/>
      <c r="I53" s="141"/>
      <c r="J53" s="142"/>
      <c r="K53" s="141"/>
    </row>
    <row r="54" customFormat="false" ht="12.75" hidden="false" customHeight="false" outlineLevel="0" collapsed="false">
      <c r="A54" s="141"/>
      <c r="B54" s="143" t="s">
        <v>180</v>
      </c>
      <c r="C54" s="141"/>
      <c r="D54" s="141"/>
      <c r="E54" s="141"/>
      <c r="F54" s="141"/>
      <c r="G54" s="141"/>
      <c r="H54" s="141"/>
      <c r="I54" s="141"/>
      <c r="J54" s="142"/>
      <c r="K54" s="141"/>
    </row>
    <row r="55" customFormat="false" ht="12.75" hidden="false" customHeight="false" outlineLevel="0" collapsed="false">
      <c r="A55" s="141"/>
      <c r="B55" s="142"/>
      <c r="C55" s="141"/>
      <c r="D55" s="141"/>
      <c r="E55" s="141"/>
      <c r="F55" s="141"/>
      <c r="G55" s="141"/>
      <c r="H55" s="141"/>
      <c r="I55" s="141"/>
      <c r="J55" s="142"/>
      <c r="K55" s="141"/>
    </row>
    <row r="56" customFormat="false" ht="12.75" hidden="false" customHeight="false" outlineLevel="0" collapsed="false">
      <c r="A56" s="141"/>
      <c r="B56" s="142"/>
      <c r="C56" s="141"/>
      <c r="D56" s="87" t="s">
        <v>74</v>
      </c>
      <c r="E56" s="87" t="s">
        <v>101</v>
      </c>
      <c r="F56" s="141"/>
      <c r="G56" s="141"/>
      <c r="H56" s="141"/>
      <c r="I56" s="141"/>
      <c r="J56" s="142"/>
      <c r="K56" s="141"/>
    </row>
    <row r="57" customFormat="false" ht="12.75" hidden="false" customHeight="false" outlineLevel="0" collapsed="false">
      <c r="A57" s="141"/>
      <c r="B57" s="141"/>
      <c r="C57" s="87" t="s">
        <v>75</v>
      </c>
      <c r="D57" s="129" t="n">
        <v>20485</v>
      </c>
      <c r="E57" s="129" t="n">
        <v>10462</v>
      </c>
      <c r="F57" s="141"/>
      <c r="G57" s="153"/>
      <c r="H57" s="141"/>
      <c r="I57" s="141"/>
      <c r="J57" s="142"/>
      <c r="K57" s="141"/>
    </row>
    <row r="58" customFormat="false" ht="12.75" hidden="false" customHeight="false" outlineLevel="0" collapsed="false">
      <c r="A58" s="141"/>
      <c r="B58" s="141"/>
      <c r="C58" s="87" t="s">
        <v>116</v>
      </c>
      <c r="D58" s="154" t="n">
        <v>44</v>
      </c>
      <c r="E58" s="129" t="n">
        <v>0</v>
      </c>
      <c r="F58" s="141"/>
      <c r="G58" s="155" t="s">
        <v>172</v>
      </c>
      <c r="H58" s="141"/>
      <c r="I58" s="141"/>
      <c r="J58" s="142"/>
      <c r="K58" s="141"/>
    </row>
    <row r="59" customFormat="false" ht="12.75" hidden="false" customHeight="false" outlineLevel="0" collapsed="false">
      <c r="A59" s="141"/>
      <c r="B59" s="141"/>
      <c r="C59" s="87" t="s">
        <v>115</v>
      </c>
      <c r="D59" s="154" t="n">
        <v>77</v>
      </c>
      <c r="E59" s="129" t="n">
        <v>397</v>
      </c>
      <c r="F59" s="141"/>
      <c r="G59" s="141"/>
      <c r="H59" s="141"/>
      <c r="I59" s="141"/>
      <c r="J59" s="142"/>
      <c r="K59" s="141"/>
    </row>
    <row r="60" customFormat="false" ht="12.75" hidden="false" customHeight="false" outlineLevel="0" collapsed="false">
      <c r="A60" s="141"/>
      <c r="B60" s="141"/>
      <c r="C60" s="87" t="s">
        <v>86</v>
      </c>
      <c r="D60" s="154" t="n">
        <v>12404</v>
      </c>
      <c r="E60" s="129" t="n">
        <v>0</v>
      </c>
      <c r="F60" s="141"/>
      <c r="G60" s="153"/>
      <c r="H60" s="141"/>
      <c r="I60" s="141"/>
      <c r="J60" s="142"/>
      <c r="K60" s="141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8.71"/>
  </cols>
  <sheetData>
    <row r="1" customFormat="false" ht="12.75" hidden="false" customHeight="false" outlineLevel="0" collapsed="false">
      <c r="A1" s="0" t="s">
        <v>181</v>
      </c>
    </row>
    <row r="4" customFormat="false" ht="12.75" hidden="false" customHeight="false" outlineLevel="0" collapsed="false">
      <c r="A4" s="181" t="s">
        <v>182</v>
      </c>
    </row>
    <row r="5" customFormat="false" ht="25.5" hidden="false" customHeight="false" outlineLevel="0" collapsed="false">
      <c r="A5" s="182" t="s">
        <v>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/>
  <dc:language>en-US</dc:language>
  <cp:lastModifiedBy>Eugenio Perez</cp:lastModifiedBy>
  <cp:lastPrinted>2001-01-22T16:36:37Z</cp:lastPrinted>
  <cp:revision>0</cp:revision>
  <dc:subject/>
  <dc:title/>
</cp:coreProperties>
</file>