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drawing1.xml" ContentType="application/vnd.openxmlformats-officedocument.drawing+xml"/>
  <Override PartName="/xl/drawings/vmlDrawing4.vml" ContentType="application/vnd.openxmlformats-officedocument.vmlDrawing"/>
  <Override PartName="/xl/comments2.xml" ContentType="application/vnd.openxmlformats-officedocument.spreadsheetml.comments+xml"/>
  <Override PartName="/xl/comments6.xml" ContentType="application/vnd.openxmlformats-officedocument.spreadsheetml.comment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999" sheetId="1" state="visible" r:id="rId3"/>
    <sheet name="2000" sheetId="2" state="visible" r:id="rId4"/>
    <sheet name="9-30-99" sheetId="3" state="hidden" r:id="rId5"/>
    <sheet name="6-30-99" sheetId="4" state="hidden" r:id="rId6"/>
    <sheet name="3-31-99 and 98 end" sheetId="5" state="hidden" r:id="rId7"/>
    <sheet name="2001" sheetId="6" state="visible" r:id="rId8"/>
    <sheet name="Chart 2000" sheetId="7" state="hidden" r:id="rId9"/>
    <sheet name="Notes" sheetId="8" state="visible" r:id="rId10"/>
  </sheets>
  <definedNames>
    <definedName function="false" hidden="false" localSheetId="0" name="_xlnm.Print_Area" vbProcedure="false">'1999'!$A$1:$W$40</definedName>
    <definedName function="false" hidden="false" localSheetId="1" name="_xlnm.Print_Area" vbProcedure="false">'2000'!$A$1:$U$39</definedName>
    <definedName function="false" hidden="false" localSheetId="5" name="_xlnm.Print_Area" vbProcedure="false">'2001'!$A$1:$U$39</definedName>
    <definedName function="false" hidden="false" localSheetId="2" name="_xlnm.Print_Area" vbProcedure="false">'9-30-99'!$A$1:$M$38</definedName>
    <definedName function="false" hidden="false" name="correl" vbProcedure="false">#REF!</definedName>
    <definedName function="false" hidden="false" name="var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6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350</xdr:colOff>
                <xdr:row>4</xdr:row>
                <xdr:rowOff>5</xdr:rowOff>
              </xdr:from>
              <xdr:to>
                <xdr:col>4</xdr:col>
                <xdr:colOff>51</xdr:colOff>
                <xdr:row>8</xdr:row>
                <xdr:rowOff>16</xdr:rowOff>
              </xdr:to>
            </anchor>
          </commentPr>
        </mc:Choice>
        <mc:Fallback/>
      </mc:AlternateContent>
    </comment>
    <comment ref="E7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350</xdr:colOff>
                <xdr:row>5</xdr:row>
                <xdr:rowOff>5</xdr:rowOff>
              </xdr:from>
              <xdr:to>
                <xdr:col>4</xdr:col>
                <xdr:colOff>51</xdr:colOff>
                <xdr:row>9</xdr:row>
                <xdr:rowOff>16</xdr:rowOff>
              </xdr:to>
            </anchor>
          </commentPr>
        </mc:Choice>
        <mc:Fallback/>
      </mc:AlternateContent>
    </comment>
    <comment ref="E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Data not calculated at the time, assume it is the same as June (when the number was first calculated).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46</xdr:colOff>
                <xdr:row>6</xdr:row>
                <xdr:rowOff>5</xdr:rowOff>
              </xdr:from>
              <xdr:to>
                <xdr:col>8</xdr:col>
                <xdr:colOff>1</xdr:colOff>
                <xdr:row>12</xdr:row>
                <xdr:rowOff>12</xdr:rowOff>
              </xdr:to>
            </anchor>
          </commentPr>
        </mc:Choice>
        <mc:Fallback/>
      </mc:AlternateContent>
    </comment>
    <comment ref="E1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Georganne Hodges confirmed that there were no positions before April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46</xdr:colOff>
                <xdr:row>13</xdr:row>
                <xdr:rowOff>5</xdr:rowOff>
              </xdr:from>
              <xdr:to>
                <xdr:col>8</xdr:col>
                <xdr:colOff>2</xdr:colOff>
                <xdr:row>17</xdr:row>
                <xdr:rowOff>16</xdr:rowOff>
              </xdr:to>
            </anchor>
          </commentPr>
        </mc:Choice>
        <mc:Fallback/>
      </mc:AlternateContent>
    </comment>
    <comment ref="E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no risk assumed until May 99 per Debbie Moseley 1/6/2000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12</xdr:colOff>
                <xdr:row>22</xdr:row>
                <xdr:rowOff>11</xdr:rowOff>
              </xdr:from>
              <xdr:to>
                <xdr:col>8</xdr:col>
                <xdr:colOff>55</xdr:colOff>
                <xdr:row>27</xdr:row>
                <xdr:rowOff>4</xdr:rowOff>
              </xdr:to>
            </anchor>
          </commentPr>
        </mc:Choice>
        <mc:Fallback/>
      </mc:AlternateContent>
    </comment>
    <comment ref="E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24</xdr:row>
                <xdr:rowOff>5</xdr:rowOff>
              </xdr:from>
              <xdr:to>
                <xdr:col>8</xdr:col>
                <xdr:colOff>1</xdr:colOff>
                <xdr:row>28</xdr:row>
                <xdr:rowOff>7</xdr:rowOff>
              </xdr:to>
            </anchor>
          </commentPr>
        </mc:Choice>
        <mc:Fallback/>
      </mc:AlternateContent>
    </comment>
    <comment ref="E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351</xdr:colOff>
                <xdr:row>26</xdr:row>
                <xdr:rowOff>5</xdr:rowOff>
              </xdr:from>
              <xdr:to>
                <xdr:col>6</xdr:col>
                <xdr:colOff>33</xdr:colOff>
                <xdr:row>34</xdr:row>
                <xdr:rowOff>7</xdr:rowOff>
              </xdr:to>
            </anchor>
          </commentPr>
        </mc:Choice>
        <mc:Fallback/>
      </mc:AlternateContent>
    </comment>
    <comment ref="G2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GUESS; data archived, request for access put in 1/28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47</xdr:colOff>
                <xdr:row>0</xdr:row>
                <xdr:rowOff>5</xdr:rowOff>
              </xdr:from>
              <xdr:to>
                <xdr:col>6</xdr:col>
                <xdr:colOff>65</xdr:colOff>
                <xdr:row>4</xdr:row>
                <xdr:rowOff>16</xdr:rowOff>
              </xdr:to>
            </anchor>
          </commentPr>
        </mc:Choice>
        <mc:Fallback/>
      </mc:AlternateContent>
    </comment>
    <comment ref="G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GUESS; data archived, request for access put in 1/28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24</xdr:colOff>
                <xdr:row>1</xdr:row>
                <xdr:rowOff>5</xdr:rowOff>
              </xdr:from>
              <xdr:to>
                <xdr:col>9</xdr:col>
                <xdr:colOff>68</xdr:colOff>
                <xdr:row>5</xdr:row>
                <xdr:rowOff>16</xdr:rowOff>
              </xdr:to>
            </anchor>
          </commentPr>
        </mc:Choice>
        <mc:Fallback/>
      </mc:AlternateContent>
    </comment>
    <comment ref="G6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47</xdr:colOff>
                <xdr:row>4</xdr:row>
                <xdr:rowOff>5</xdr:rowOff>
              </xdr:from>
              <xdr:to>
                <xdr:col>6</xdr:col>
                <xdr:colOff>65</xdr:colOff>
                <xdr:row>8</xdr:row>
                <xdr:rowOff>16</xdr:rowOff>
              </xdr:to>
            </anchor>
          </commentPr>
        </mc:Choice>
        <mc:Fallback/>
      </mc:AlternateContent>
    </comment>
    <comment ref="G7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47</xdr:colOff>
                <xdr:row>5</xdr:row>
                <xdr:rowOff>5</xdr:rowOff>
              </xdr:from>
              <xdr:to>
                <xdr:col>6</xdr:col>
                <xdr:colOff>65</xdr:colOff>
                <xdr:row>9</xdr:row>
                <xdr:rowOff>16</xdr:rowOff>
              </xdr:to>
            </anchor>
          </commentPr>
        </mc:Choice>
        <mc:Fallback/>
      </mc:AlternateContent>
    </comment>
    <comment ref="G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Data not calculated at the time, assume it is the same as June (when the number was first calculated).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13</xdr:colOff>
                <xdr:row>6</xdr:row>
                <xdr:rowOff>5</xdr:rowOff>
              </xdr:from>
              <xdr:to>
                <xdr:col>10</xdr:col>
                <xdr:colOff>56</xdr:colOff>
                <xdr:row>12</xdr:row>
                <xdr:rowOff>12</xdr:rowOff>
              </xdr:to>
            </anchor>
          </commentPr>
        </mc:Choice>
        <mc:Fallback/>
      </mc:AlternateContent>
    </comment>
    <comment ref="G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Michael Kim (1/18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25</xdr:colOff>
                <xdr:row>8</xdr:row>
                <xdr:rowOff>3</xdr:rowOff>
              </xdr:from>
              <xdr:to>
                <xdr:col>9</xdr:col>
                <xdr:colOff>69</xdr:colOff>
                <xdr:row>12</xdr:row>
                <xdr:rowOff>11</xdr:rowOff>
              </xdr:to>
            </anchor>
          </commentPr>
        </mc:Choice>
        <mc:Fallback/>
      </mc:AlternateContent>
    </comment>
    <comment ref="G11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Split from the combined value reported in the DPR using August's implied correlation and proportion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47</xdr:colOff>
                <xdr:row>9</xdr:row>
                <xdr:rowOff>5</xdr:rowOff>
              </xdr:from>
              <xdr:to>
                <xdr:col>6</xdr:col>
                <xdr:colOff>65</xdr:colOff>
                <xdr:row>17</xdr:row>
                <xdr:rowOff>3</xdr:rowOff>
              </xdr:to>
            </anchor>
          </commentPr>
        </mc:Choice>
        <mc:Fallback/>
      </mc:AlternateContent>
    </comment>
    <comment ref="G12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Split from the combined value reported in the DPR using August's implied correlation and proportion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47</xdr:colOff>
                <xdr:row>10</xdr:row>
                <xdr:rowOff>5</xdr:rowOff>
              </xdr:from>
              <xdr:to>
                <xdr:col>6</xdr:col>
                <xdr:colOff>65</xdr:colOff>
                <xdr:row>18</xdr:row>
                <xdr:rowOff>3</xdr:rowOff>
              </xdr:to>
            </anchor>
          </commentPr>
        </mc:Choice>
        <mc:Fallback/>
      </mc:AlternateContent>
    </comment>
    <comment ref="G1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Georganne Hodges confirmed that there were no positions before April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13</xdr:colOff>
                <xdr:row>13</xdr:row>
                <xdr:rowOff>5</xdr:rowOff>
              </xdr:from>
              <xdr:to>
                <xdr:col>10</xdr:col>
                <xdr:colOff>56</xdr:colOff>
                <xdr:row>17</xdr:row>
                <xdr:rowOff>16</xdr:rowOff>
              </xdr:to>
            </anchor>
          </commentPr>
        </mc:Choice>
        <mc:Fallback/>
      </mc:AlternateContent>
    </comment>
    <comment ref="G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80</xdr:colOff>
                <xdr:row>15</xdr:row>
                <xdr:rowOff>5</xdr:rowOff>
              </xdr:from>
              <xdr:to>
                <xdr:col>7</xdr:col>
                <xdr:colOff>7</xdr:colOff>
                <xdr:row>24</xdr:row>
                <xdr:rowOff>3</xdr:rowOff>
              </xdr:to>
            </anchor>
          </commentPr>
        </mc:Choice>
        <mc:Fallback/>
      </mc:AlternateContent>
    </comment>
    <comment ref="G20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STRAIGHT LINE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18</xdr:row>
                <xdr:rowOff>5</xdr:rowOff>
              </xdr:from>
              <xdr:to>
                <xdr:col>8</xdr:col>
                <xdr:colOff>59</xdr:colOff>
                <xdr:row>22</xdr:row>
                <xdr:rowOff>16</xdr:rowOff>
              </xdr:to>
            </anchor>
          </commentPr>
        </mc:Choice>
        <mc:Fallback/>
      </mc:AlternateContent>
    </comment>
    <comment ref="G21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per Terri Peschka's e-mail 1/31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33</xdr:colOff>
                <xdr:row>19</xdr:row>
                <xdr:rowOff>5</xdr:rowOff>
              </xdr:from>
              <xdr:to>
                <xdr:col>6</xdr:col>
                <xdr:colOff>51</xdr:colOff>
                <xdr:row>23</xdr:row>
                <xdr:rowOff>16</xdr:rowOff>
              </xdr:to>
            </anchor>
          </commentPr>
        </mc:Choice>
        <mc:Fallback/>
      </mc:AlternateContent>
    </comment>
    <comment ref="G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no risk assumed until May 99 per Debbie Moseley 1/6/2000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25</xdr:colOff>
                <xdr:row>22</xdr:row>
                <xdr:rowOff>11</xdr:rowOff>
              </xdr:from>
              <xdr:to>
                <xdr:col>9</xdr:col>
                <xdr:colOff>69</xdr:colOff>
                <xdr:row>27</xdr:row>
                <xdr:rowOff>4</xdr:rowOff>
              </xdr:to>
            </anchor>
          </commentPr>
        </mc:Choice>
        <mc:Fallback/>
      </mc:AlternateContent>
    </comment>
    <comment ref="G24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STRAIGHT LINE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47</xdr:colOff>
                <xdr:row>22</xdr:row>
                <xdr:rowOff>5</xdr:rowOff>
              </xdr:from>
              <xdr:to>
                <xdr:col>6</xdr:col>
                <xdr:colOff>65</xdr:colOff>
                <xdr:row>26</xdr:row>
                <xdr:rowOff>16</xdr:rowOff>
              </xdr:to>
            </anchor>
          </commentPr>
        </mc:Choice>
        <mc:Fallback/>
      </mc:AlternateContent>
    </comment>
    <comment ref="G2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STRAIGHT LINE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23</xdr:row>
                <xdr:rowOff>5</xdr:rowOff>
              </xdr:from>
              <xdr:to>
                <xdr:col>8</xdr:col>
                <xdr:colOff>59</xdr:colOff>
                <xdr:row>27</xdr:row>
                <xdr:rowOff>16</xdr:rowOff>
              </xdr:to>
            </anchor>
          </commentPr>
        </mc:Choice>
        <mc:Fallback/>
      </mc:AlternateContent>
    </comment>
    <comment ref="G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24</xdr:row>
                <xdr:rowOff>5</xdr:rowOff>
              </xdr:from>
              <xdr:to>
                <xdr:col>9</xdr:col>
                <xdr:colOff>27</xdr:colOff>
                <xdr:row>28</xdr:row>
                <xdr:rowOff>7</xdr:rowOff>
              </xdr:to>
            </anchor>
          </commentPr>
        </mc:Choice>
        <mc:Fallback/>
      </mc:AlternateContent>
    </comment>
    <comment ref="G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47</xdr:colOff>
                <xdr:row>26</xdr:row>
                <xdr:rowOff>5</xdr:rowOff>
              </xdr:from>
              <xdr:to>
                <xdr:col>7</xdr:col>
                <xdr:colOff>72</xdr:colOff>
                <xdr:row>34</xdr:row>
                <xdr:rowOff>7</xdr:rowOff>
              </xdr:to>
            </anchor>
          </commentPr>
        </mc:Choice>
        <mc:Fallback/>
      </mc:AlternateContent>
    </comment>
    <comment ref="H6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21</xdr:colOff>
                <xdr:row>4</xdr:row>
                <xdr:rowOff>5</xdr:rowOff>
              </xdr:from>
              <xdr:to>
                <xdr:col>7</xdr:col>
                <xdr:colOff>65</xdr:colOff>
                <xdr:row>8</xdr:row>
                <xdr:rowOff>16</xdr:rowOff>
              </xdr:to>
            </anchor>
          </commentPr>
        </mc:Choice>
        <mc:Fallback/>
      </mc:AlternateContent>
    </comment>
    <comment ref="H7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21</xdr:colOff>
                <xdr:row>5</xdr:row>
                <xdr:rowOff>5</xdr:rowOff>
              </xdr:from>
              <xdr:to>
                <xdr:col>7</xdr:col>
                <xdr:colOff>65</xdr:colOff>
                <xdr:row>9</xdr:row>
                <xdr:rowOff>16</xdr:rowOff>
              </xdr:to>
            </anchor>
          </commentPr>
        </mc:Choice>
        <mc:Fallback/>
      </mc:AlternateContent>
    </comment>
    <comment ref="H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Data not calculated at the time, assume it is the same as June (when the number was first calculated).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13</xdr:colOff>
                <xdr:row>6</xdr:row>
                <xdr:rowOff>5</xdr:rowOff>
              </xdr:from>
              <xdr:to>
                <xdr:col>11</xdr:col>
                <xdr:colOff>56</xdr:colOff>
                <xdr:row>12</xdr:row>
                <xdr:rowOff>12</xdr:rowOff>
              </xdr:to>
            </anchor>
          </commentPr>
        </mc:Choice>
        <mc:Fallback/>
      </mc:AlternateContent>
    </comment>
    <comment ref="H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Michael Kim (1/18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30</xdr:colOff>
                <xdr:row>8</xdr:row>
                <xdr:rowOff>3</xdr:rowOff>
              </xdr:from>
              <xdr:to>
                <xdr:col>10</xdr:col>
                <xdr:colOff>73</xdr:colOff>
                <xdr:row>12</xdr:row>
                <xdr:rowOff>11</xdr:rowOff>
              </xdr:to>
            </anchor>
          </commentPr>
        </mc:Choice>
        <mc:Fallback/>
      </mc:AlternateContent>
    </commen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Split from the combined value reported in the DPR using August's implied correlation and proportion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21</xdr:colOff>
                <xdr:row>9</xdr:row>
                <xdr:rowOff>5</xdr:rowOff>
              </xdr:from>
              <xdr:to>
                <xdr:col>7</xdr:col>
                <xdr:colOff>65</xdr:colOff>
                <xdr:row>17</xdr:row>
                <xdr:rowOff>3</xdr:rowOff>
              </xdr:to>
            </anchor>
          </commentPr>
        </mc:Choice>
        <mc:Fallback/>
      </mc:AlternateContent>
    </comment>
    <comment ref="H12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Split from the combined value reported in the DPR using August's implied correlation and proportion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21</xdr:colOff>
                <xdr:row>10</xdr:row>
                <xdr:rowOff>5</xdr:rowOff>
              </xdr:from>
              <xdr:to>
                <xdr:col>7</xdr:col>
                <xdr:colOff>65</xdr:colOff>
                <xdr:row>18</xdr:row>
                <xdr:rowOff>3</xdr:rowOff>
              </xdr:to>
            </anchor>
          </commentPr>
        </mc:Choice>
        <mc:Fallback/>
      </mc:AlternateContent>
    </comment>
    <comment ref="H1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Georganne Hodges confirmed that there were no positions before April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13</xdr:colOff>
                <xdr:row>13</xdr:row>
                <xdr:rowOff>5</xdr:rowOff>
              </xdr:from>
              <xdr:to>
                <xdr:col>11</xdr:col>
                <xdr:colOff>56</xdr:colOff>
                <xdr:row>17</xdr:row>
                <xdr:rowOff>16</xdr:rowOff>
              </xdr:to>
            </anchor>
          </commentPr>
        </mc:Choice>
        <mc:Fallback/>
      </mc:AlternateContent>
    </comment>
    <comment ref="H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55</xdr:colOff>
                <xdr:row>15</xdr:row>
                <xdr:rowOff>5</xdr:rowOff>
              </xdr:from>
              <xdr:to>
                <xdr:col>8</xdr:col>
                <xdr:colOff>7</xdr:colOff>
                <xdr:row>24</xdr:row>
                <xdr:rowOff>3</xdr:rowOff>
              </xdr:to>
            </anchor>
          </commentPr>
        </mc:Choice>
        <mc:Fallback/>
      </mc:AlternateContent>
    </comment>
    <comment ref="H20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STRAIGHT LINE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18</xdr:row>
                <xdr:rowOff>5</xdr:rowOff>
              </xdr:from>
              <xdr:to>
                <xdr:col>9</xdr:col>
                <xdr:colOff>59</xdr:colOff>
                <xdr:row>22</xdr:row>
                <xdr:rowOff>16</xdr:rowOff>
              </xdr:to>
            </anchor>
          </commentPr>
        </mc:Choice>
        <mc:Fallback/>
      </mc:AlternateContent>
    </comment>
    <comment ref="H21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per Terri Peschka's e-mail 1/31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7</xdr:colOff>
                <xdr:row>19</xdr:row>
                <xdr:rowOff>5</xdr:rowOff>
              </xdr:from>
              <xdr:to>
                <xdr:col>7</xdr:col>
                <xdr:colOff>51</xdr:colOff>
                <xdr:row>23</xdr:row>
                <xdr:rowOff>16</xdr:rowOff>
              </xdr:to>
            </anchor>
          </commentPr>
        </mc:Choice>
        <mc:Fallback/>
      </mc:AlternateContent>
    </comment>
    <comment ref="H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no risk assumed until May 99 per Debbie Moseley 1/6/2000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30</xdr:colOff>
                <xdr:row>22</xdr:row>
                <xdr:rowOff>11</xdr:rowOff>
              </xdr:from>
              <xdr:to>
                <xdr:col>10</xdr:col>
                <xdr:colOff>73</xdr:colOff>
                <xdr:row>27</xdr:row>
                <xdr:rowOff>4</xdr:rowOff>
              </xdr:to>
            </anchor>
          </commentPr>
        </mc:Choice>
        <mc:Fallback/>
      </mc:AlternateContent>
    </comment>
    <comment ref="H24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STRAIGHT LINE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21</xdr:colOff>
                <xdr:row>22</xdr:row>
                <xdr:rowOff>5</xdr:rowOff>
              </xdr:from>
              <xdr:to>
                <xdr:col>7</xdr:col>
                <xdr:colOff>65</xdr:colOff>
                <xdr:row>26</xdr:row>
                <xdr:rowOff>16</xdr:rowOff>
              </xdr:to>
            </anchor>
          </commentPr>
        </mc:Choice>
        <mc:Fallback/>
      </mc:AlternateContent>
    </comment>
    <comment ref="H2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STRAIGHT LINE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23</xdr:row>
                <xdr:rowOff>5</xdr:rowOff>
              </xdr:from>
              <xdr:to>
                <xdr:col>9</xdr:col>
                <xdr:colOff>59</xdr:colOff>
                <xdr:row>27</xdr:row>
                <xdr:rowOff>16</xdr:rowOff>
              </xdr:to>
            </anchor>
          </commentPr>
        </mc:Choice>
        <mc:Fallback/>
      </mc:AlternateContent>
    </comment>
    <comment ref="H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24</xdr:row>
                <xdr:rowOff>5</xdr:rowOff>
              </xdr:from>
              <xdr:to>
                <xdr:col>10</xdr:col>
                <xdr:colOff>27</xdr:colOff>
                <xdr:row>28</xdr:row>
                <xdr:rowOff>7</xdr:rowOff>
              </xdr:to>
            </anchor>
          </commentPr>
        </mc:Choice>
        <mc:Fallback/>
      </mc:AlternateContent>
    </comment>
    <comment ref="H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21</xdr:colOff>
                <xdr:row>26</xdr:row>
                <xdr:rowOff>5</xdr:rowOff>
              </xdr:from>
              <xdr:to>
                <xdr:col>8</xdr:col>
                <xdr:colOff>72</xdr:colOff>
                <xdr:row>34</xdr:row>
                <xdr:rowOff>7</xdr:rowOff>
              </xdr:to>
            </anchor>
          </commentPr>
        </mc:Choice>
        <mc:Fallback/>
      </mc:AlternateContent>
    </comment>
    <comment ref="I7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21</xdr:colOff>
                <xdr:row>5</xdr:row>
                <xdr:rowOff>5</xdr:rowOff>
              </xdr:from>
              <xdr:to>
                <xdr:col>8</xdr:col>
                <xdr:colOff>65</xdr:colOff>
                <xdr:row>9</xdr:row>
                <xdr:rowOff>16</xdr:rowOff>
              </xdr:to>
            </anchor>
          </commentPr>
        </mc:Choice>
        <mc:Fallback/>
      </mc:AlternateContent>
    </comment>
    <comment ref="I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Data not calculated at the time, assume it is the same as June (when the number was first calculated).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13</xdr:colOff>
                <xdr:row>6</xdr:row>
                <xdr:rowOff>5</xdr:rowOff>
              </xdr:from>
              <xdr:to>
                <xdr:col>12</xdr:col>
                <xdr:colOff>56</xdr:colOff>
                <xdr:row>12</xdr:row>
                <xdr:rowOff>12</xdr:rowOff>
              </xdr:to>
            </anchor>
          </commentPr>
        </mc:Choice>
        <mc:Fallback/>
      </mc:AlternateContent>
    </comment>
    <comment ref="I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Michael Kim (1/18 e-mail), REPLACING THE 0 THAT WAS REPORTED IN MARCH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30</xdr:colOff>
                <xdr:row>8</xdr:row>
                <xdr:rowOff>3</xdr:rowOff>
              </xdr:from>
              <xdr:to>
                <xdr:col>11</xdr:col>
                <xdr:colOff>73</xdr:colOff>
                <xdr:row>12</xdr:row>
                <xdr:rowOff>11</xdr:rowOff>
              </xdr:to>
            </anchor>
          </commentPr>
        </mc:Choice>
        <mc:Fallback/>
      </mc:AlternateContent>
    </comment>
    <comment ref="I1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Georganne Hodges confirmed that there were no positions before April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13</xdr:colOff>
                <xdr:row>13</xdr:row>
                <xdr:rowOff>5</xdr:rowOff>
              </xdr:from>
              <xdr:to>
                <xdr:col>12</xdr:col>
                <xdr:colOff>56</xdr:colOff>
                <xdr:row>17</xdr:row>
                <xdr:rowOff>16</xdr:rowOff>
              </xdr:to>
            </anchor>
          </commentPr>
        </mc:Choice>
        <mc:Fallback/>
      </mc:AlternateContent>
    </comment>
    <comment ref="I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55</xdr:colOff>
                <xdr:row>15</xdr:row>
                <xdr:rowOff>5</xdr:rowOff>
              </xdr:from>
              <xdr:to>
                <xdr:col>9</xdr:col>
                <xdr:colOff>7</xdr:colOff>
                <xdr:row>24</xdr:row>
                <xdr:rowOff>3</xdr:rowOff>
              </xdr:to>
            </anchor>
          </commentPr>
        </mc:Choice>
        <mc:Fallback/>
      </mc:AlternateContent>
    </comment>
    <comment ref="I21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per Terri Peschka's e-mail 2/1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7</xdr:colOff>
                <xdr:row>19</xdr:row>
                <xdr:rowOff>5</xdr:rowOff>
              </xdr:from>
              <xdr:to>
                <xdr:col>8</xdr:col>
                <xdr:colOff>51</xdr:colOff>
                <xdr:row>23</xdr:row>
                <xdr:rowOff>16</xdr:rowOff>
              </xdr:to>
            </anchor>
          </commentPr>
        </mc:Choice>
        <mc:Fallback/>
      </mc:AlternateContent>
    </comment>
    <comment ref="I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no risk assumed until May 99 per Debbie Moseley 1/6/2000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30</xdr:colOff>
                <xdr:row>22</xdr:row>
                <xdr:rowOff>11</xdr:rowOff>
              </xdr:from>
              <xdr:to>
                <xdr:col>11</xdr:col>
                <xdr:colOff>73</xdr:colOff>
                <xdr:row>27</xdr:row>
                <xdr:rowOff>4</xdr:rowOff>
              </xdr:to>
            </anchor>
          </commentPr>
        </mc:Choice>
        <mc:Fallback/>
      </mc:AlternateContent>
    </comment>
    <comment ref="I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24</xdr:row>
                <xdr:rowOff>5</xdr:rowOff>
              </xdr:from>
              <xdr:to>
                <xdr:col>11</xdr:col>
                <xdr:colOff>27</xdr:colOff>
                <xdr:row>28</xdr:row>
                <xdr:rowOff>7</xdr:rowOff>
              </xdr:to>
            </anchor>
          </commentPr>
        </mc:Choice>
        <mc:Fallback/>
      </mc:AlternateContent>
    </comment>
    <comment ref="I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21</xdr:colOff>
                <xdr:row>26</xdr:row>
                <xdr:rowOff>5</xdr:rowOff>
              </xdr:from>
              <xdr:to>
                <xdr:col>9</xdr:col>
                <xdr:colOff>72</xdr:colOff>
                <xdr:row>34</xdr:row>
                <xdr:rowOff>7</xdr:rowOff>
              </xdr:to>
            </anchor>
          </commentPr>
        </mc:Choice>
        <mc:Fallback/>
      </mc:AlternateContent>
    </comment>
    <comment ref="J7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21</xdr:colOff>
                <xdr:row>5</xdr:row>
                <xdr:rowOff>5</xdr:rowOff>
              </xdr:from>
              <xdr:to>
                <xdr:col>9</xdr:col>
                <xdr:colOff>64</xdr:colOff>
                <xdr:row>9</xdr:row>
                <xdr:rowOff>16</xdr:rowOff>
              </xdr:to>
            </anchor>
          </commentPr>
        </mc:Choice>
        <mc:Fallback/>
      </mc:AlternateContent>
    </comment>
    <comment ref="J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Data not calculated at the time, assume it is the same as June (when the number was first calculated).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13</xdr:colOff>
                <xdr:row>6</xdr:row>
                <xdr:rowOff>5</xdr:rowOff>
              </xdr:from>
              <xdr:to>
                <xdr:col>13</xdr:col>
                <xdr:colOff>56</xdr:colOff>
                <xdr:row>12</xdr:row>
                <xdr:rowOff>12</xdr:rowOff>
              </xdr:to>
            </anchor>
          </commentPr>
        </mc:Choice>
        <mc:Fallback/>
      </mc:AlternateContent>
    </comment>
    <comment ref="J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Michael Kim (1/18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30</xdr:colOff>
                <xdr:row>8</xdr:row>
                <xdr:rowOff>3</xdr:rowOff>
              </xdr:from>
              <xdr:to>
                <xdr:col>12</xdr:col>
                <xdr:colOff>73</xdr:colOff>
                <xdr:row>12</xdr:row>
                <xdr:rowOff>11</xdr:rowOff>
              </xdr:to>
            </anchor>
          </commentPr>
        </mc:Choice>
        <mc:Fallback/>
      </mc:AlternateContent>
    </comment>
    <comment ref="J11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Split from the combined value reported in the DPR using August's implied correlation and proportion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21</xdr:colOff>
                <xdr:row>9</xdr:row>
                <xdr:rowOff>5</xdr:rowOff>
              </xdr:from>
              <xdr:to>
                <xdr:col>9</xdr:col>
                <xdr:colOff>64</xdr:colOff>
                <xdr:row>17</xdr:row>
                <xdr:rowOff>3</xdr:rowOff>
              </xdr:to>
            </anchor>
          </commentPr>
        </mc:Choice>
        <mc:Fallback/>
      </mc:AlternateContent>
    </comment>
    <comment ref="J12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Split from the combined value reported in the DPR using August's implied correlation and proportion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21</xdr:colOff>
                <xdr:row>10</xdr:row>
                <xdr:rowOff>5</xdr:rowOff>
              </xdr:from>
              <xdr:to>
                <xdr:col>9</xdr:col>
                <xdr:colOff>64</xdr:colOff>
                <xdr:row>18</xdr:row>
                <xdr:rowOff>3</xdr:rowOff>
              </xdr:to>
            </anchor>
          </commentPr>
        </mc:Choice>
        <mc:Fallback/>
      </mc:AlternateContent>
    </comment>
    <comment ref="J1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Georganne Hodges confirmed that there was very little activity so we can assume VaR was close to 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13</xdr:colOff>
                <xdr:row>13</xdr:row>
                <xdr:rowOff>5</xdr:rowOff>
              </xdr:from>
              <xdr:to>
                <xdr:col>13</xdr:col>
                <xdr:colOff>56</xdr:colOff>
                <xdr:row>20</xdr:row>
                <xdr:rowOff>13</xdr:rowOff>
              </xdr:to>
            </anchor>
          </commentPr>
        </mc:Choice>
        <mc:Fallback/>
      </mc:AlternateContent>
    </comment>
    <comment ref="J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55</xdr:colOff>
                <xdr:row>15</xdr:row>
                <xdr:rowOff>5</xdr:rowOff>
              </xdr:from>
              <xdr:to>
                <xdr:col>10</xdr:col>
                <xdr:colOff>7</xdr:colOff>
                <xdr:row>24</xdr:row>
                <xdr:rowOff>3</xdr:rowOff>
              </xdr:to>
            </anchor>
          </commentPr>
        </mc:Choice>
        <mc:Fallback/>
      </mc:AlternateContent>
    </comment>
    <comment ref="J20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STRAIGHT LINE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18</xdr:row>
                <xdr:rowOff>5</xdr:rowOff>
              </xdr:from>
              <xdr:to>
                <xdr:col>11</xdr:col>
                <xdr:colOff>59</xdr:colOff>
                <xdr:row>22</xdr:row>
                <xdr:rowOff>16</xdr:rowOff>
              </xdr:to>
            </anchor>
          </commentPr>
        </mc:Choice>
        <mc:Fallback/>
      </mc:AlternateContent>
    </comment>
    <comment ref="J2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Daniel Falcone's 1/17 E-Mail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30</xdr:colOff>
                <xdr:row>20</xdr:row>
                <xdr:rowOff>11</xdr:rowOff>
              </xdr:from>
              <xdr:to>
                <xdr:col>12</xdr:col>
                <xdr:colOff>73</xdr:colOff>
                <xdr:row>25</xdr:row>
                <xdr:rowOff>3</xdr:rowOff>
              </xdr:to>
            </anchor>
          </commentPr>
        </mc:Choice>
        <mc:Fallback/>
      </mc:AlternateContent>
    </comment>
    <comment ref="J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no risk assumed until May 99 per Debbie Moseley 1/6/2000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79</xdr:colOff>
                <xdr:row>22</xdr:row>
                <xdr:rowOff>9</xdr:rowOff>
              </xdr:from>
              <xdr:to>
                <xdr:col>13</xdr:col>
                <xdr:colOff>33</xdr:colOff>
                <xdr:row>27</xdr:row>
                <xdr:rowOff>3</xdr:rowOff>
              </xdr:to>
            </anchor>
          </commentPr>
        </mc:Choice>
        <mc:Fallback/>
      </mc:AlternateContent>
    </comment>
    <comment ref="J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24</xdr:row>
                <xdr:rowOff>5</xdr:rowOff>
              </xdr:from>
              <xdr:to>
                <xdr:col>12</xdr:col>
                <xdr:colOff>27</xdr:colOff>
                <xdr:row>28</xdr:row>
                <xdr:rowOff>7</xdr:rowOff>
              </xdr:to>
            </anchor>
          </commentPr>
        </mc:Choice>
        <mc:Fallback/>
      </mc:AlternateContent>
    </comment>
    <comment ref="J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21</xdr:colOff>
                <xdr:row>26</xdr:row>
                <xdr:rowOff>5</xdr:rowOff>
              </xdr:from>
              <xdr:to>
                <xdr:col>10</xdr:col>
                <xdr:colOff>72</xdr:colOff>
                <xdr:row>34</xdr:row>
                <xdr:rowOff>7</xdr:rowOff>
              </xdr:to>
            </anchor>
          </commentPr>
        </mc:Choice>
        <mc:Fallback/>
      </mc:AlternateContent>
    </comment>
    <comment ref="K7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21</xdr:colOff>
                <xdr:row>5</xdr:row>
                <xdr:rowOff>5</xdr:rowOff>
              </xdr:from>
              <xdr:to>
                <xdr:col>10</xdr:col>
                <xdr:colOff>65</xdr:colOff>
                <xdr:row>9</xdr:row>
                <xdr:rowOff>16</xdr:rowOff>
              </xdr:to>
            </anchor>
          </commentPr>
        </mc:Choice>
        <mc:Fallback/>
      </mc:AlternateContent>
    </comment>
    <comment ref="K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Data not calculated at the time, assume it is the same as June (when the number was first calculated).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13</xdr:colOff>
                <xdr:row>6</xdr:row>
                <xdr:rowOff>5</xdr:rowOff>
              </xdr:from>
              <xdr:to>
                <xdr:col>14</xdr:col>
                <xdr:colOff>56</xdr:colOff>
                <xdr:row>12</xdr:row>
                <xdr:rowOff>12</xdr:rowOff>
              </xdr:to>
            </anchor>
          </commentPr>
        </mc:Choice>
        <mc:Fallback/>
      </mc:AlternateContent>
    </comment>
    <comment ref="K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Michael Kim (1/18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30</xdr:colOff>
                <xdr:row>8</xdr:row>
                <xdr:rowOff>3</xdr:rowOff>
              </xdr:from>
              <xdr:to>
                <xdr:col>13</xdr:col>
                <xdr:colOff>73</xdr:colOff>
                <xdr:row>12</xdr:row>
                <xdr:rowOff>11</xdr:rowOff>
              </xdr:to>
            </anchor>
          </commentPr>
        </mc:Choice>
        <mc:Fallback/>
      </mc:AlternateContent>
    </comment>
    <comment ref="K11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Split from the combined value reported in the DPR using August's implied correlation and proportion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21</xdr:colOff>
                <xdr:row>9</xdr:row>
                <xdr:rowOff>5</xdr:rowOff>
              </xdr:from>
              <xdr:to>
                <xdr:col>10</xdr:col>
                <xdr:colOff>65</xdr:colOff>
                <xdr:row>17</xdr:row>
                <xdr:rowOff>3</xdr:rowOff>
              </xdr:to>
            </anchor>
          </commentPr>
        </mc:Choice>
        <mc:Fallback/>
      </mc:AlternateContent>
    </comment>
    <comment ref="K12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Split from the combined value reported in the DPR using August's implied correlation and proportion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21</xdr:colOff>
                <xdr:row>10</xdr:row>
                <xdr:rowOff>5</xdr:rowOff>
              </xdr:from>
              <xdr:to>
                <xdr:col>10</xdr:col>
                <xdr:colOff>65</xdr:colOff>
                <xdr:row>18</xdr:row>
                <xdr:rowOff>3</xdr:rowOff>
              </xdr:to>
            </anchor>
          </commentPr>
        </mc:Choice>
        <mc:Fallback/>
      </mc:AlternateContent>
    </comment>
    <comment ref="K1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Georganne Hodges confirmed that there was very little activity so we can assume VaR was close to 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13</xdr:colOff>
                <xdr:row>13</xdr:row>
                <xdr:rowOff>5</xdr:rowOff>
              </xdr:from>
              <xdr:to>
                <xdr:col>14</xdr:col>
                <xdr:colOff>56</xdr:colOff>
                <xdr:row>20</xdr:row>
                <xdr:rowOff>13</xdr:rowOff>
              </xdr:to>
            </anchor>
          </commentPr>
        </mc:Choice>
        <mc:Fallback/>
      </mc:AlternateContent>
    </comment>
    <comment ref="K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55</xdr:colOff>
                <xdr:row>15</xdr:row>
                <xdr:rowOff>5</xdr:rowOff>
              </xdr:from>
              <xdr:to>
                <xdr:col>11</xdr:col>
                <xdr:colOff>7</xdr:colOff>
                <xdr:row>24</xdr:row>
                <xdr:rowOff>3</xdr:rowOff>
              </xdr:to>
            </anchor>
          </commentPr>
        </mc:Choice>
        <mc:Fallback/>
      </mc:AlternateContent>
    </comment>
    <comment ref="K20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STRAIGHT LINE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18</xdr:row>
                <xdr:rowOff>5</xdr:rowOff>
              </xdr:from>
              <xdr:to>
                <xdr:col>12</xdr:col>
                <xdr:colOff>59</xdr:colOff>
                <xdr:row>22</xdr:row>
                <xdr:rowOff>16</xdr:rowOff>
              </xdr:to>
            </anchor>
          </commentPr>
        </mc:Choice>
        <mc:Fallback/>
      </mc:AlternateContent>
    </comment>
    <comment ref="K2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Daniel Falcone's 1/17 E-Mail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30</xdr:colOff>
                <xdr:row>20</xdr:row>
                <xdr:rowOff>11</xdr:rowOff>
              </xdr:from>
              <xdr:to>
                <xdr:col>13</xdr:col>
                <xdr:colOff>73</xdr:colOff>
                <xdr:row>25</xdr:row>
                <xdr:rowOff>3</xdr:rowOff>
              </xdr:to>
            </anchor>
          </commentPr>
        </mc:Choice>
        <mc:Fallback/>
      </mc:AlternateContent>
    </comment>
    <comment ref="K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figure obtained from Matthew Adams on 1/5/2000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79</xdr:colOff>
                <xdr:row>22</xdr:row>
                <xdr:rowOff>9</xdr:rowOff>
              </xdr:from>
              <xdr:to>
                <xdr:col>14</xdr:col>
                <xdr:colOff>33</xdr:colOff>
                <xdr:row>27</xdr:row>
                <xdr:rowOff>3</xdr:rowOff>
              </xdr:to>
            </anchor>
          </commentPr>
        </mc:Choice>
        <mc:Fallback/>
      </mc:AlternateContent>
    </comment>
    <comment ref="K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24</xdr:row>
                <xdr:rowOff>5</xdr:rowOff>
              </xdr:from>
              <xdr:to>
                <xdr:col>13</xdr:col>
                <xdr:colOff>27</xdr:colOff>
                <xdr:row>28</xdr:row>
                <xdr:rowOff>7</xdr:rowOff>
              </xdr:to>
            </anchor>
          </commentPr>
        </mc:Choice>
        <mc:Fallback/>
      </mc:AlternateContent>
    </comment>
    <comment ref="K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21</xdr:colOff>
                <xdr:row>26</xdr:row>
                <xdr:rowOff>5</xdr:rowOff>
              </xdr:from>
              <xdr:to>
                <xdr:col>11</xdr:col>
                <xdr:colOff>72</xdr:colOff>
                <xdr:row>34</xdr:row>
                <xdr:rowOff>7</xdr:rowOff>
              </xdr:to>
            </anchor>
          </commentPr>
        </mc:Choice>
        <mc:Fallback/>
      </mc:AlternateContent>
    </comment>
    <comment ref="L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Got from Mike Kim on 12/28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79</xdr:colOff>
                <xdr:row>7</xdr:row>
                <xdr:rowOff>15</xdr:rowOff>
              </xdr:from>
              <xdr:to>
                <xdr:col>15</xdr:col>
                <xdr:colOff>33</xdr:colOff>
                <xdr:row>12</xdr:row>
                <xdr:rowOff>7</xdr:rowOff>
              </xdr:to>
            </anchor>
          </commentPr>
        </mc:Choice>
        <mc:Fallback/>
      </mc:AlternateContent>
    </comment>
    <comment ref="L1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Georganne Hodges confirmed that there was very little activity so we can assume VaR was close to 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13</xdr:colOff>
                <xdr:row>13</xdr:row>
                <xdr:rowOff>5</xdr:rowOff>
              </xdr:from>
              <xdr:to>
                <xdr:col>15</xdr:col>
                <xdr:colOff>56</xdr:colOff>
                <xdr:row>20</xdr:row>
                <xdr:rowOff>13</xdr:rowOff>
              </xdr:to>
            </anchor>
          </commentPr>
        </mc:Choice>
        <mc:Fallback/>
      </mc:AlternateContent>
    </comment>
    <comment ref="L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55</xdr:colOff>
                <xdr:row>15</xdr:row>
                <xdr:rowOff>5</xdr:rowOff>
              </xdr:from>
              <xdr:to>
                <xdr:col>12</xdr:col>
                <xdr:colOff>7</xdr:colOff>
                <xdr:row>24</xdr:row>
                <xdr:rowOff>3</xdr:rowOff>
              </xdr:to>
            </anchor>
          </commentPr>
        </mc:Choice>
        <mc:Fallback/>
      </mc:AlternateContent>
    </comment>
    <comment ref="L1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calculation from model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79</xdr:colOff>
                <xdr:row>17</xdr:row>
                <xdr:rowOff>5</xdr:rowOff>
              </xdr:from>
              <xdr:to>
                <xdr:col>15</xdr:col>
                <xdr:colOff>33</xdr:colOff>
                <xdr:row>21</xdr:row>
                <xdr:rowOff>15</xdr:rowOff>
              </xdr:to>
            </anchor>
          </commentPr>
        </mc:Choice>
        <mc:Fallback/>
      </mc:AlternateContent>
    </comment>
    <comment ref="L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figure obtained from Matthew Adams on 1/5/2000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79</xdr:colOff>
                <xdr:row>22</xdr:row>
                <xdr:rowOff>9</xdr:rowOff>
              </xdr:from>
              <xdr:to>
                <xdr:col>15</xdr:col>
                <xdr:colOff>33</xdr:colOff>
                <xdr:row>27</xdr:row>
                <xdr:rowOff>3</xdr:rowOff>
              </xdr:to>
            </anchor>
          </commentPr>
        </mc:Choice>
        <mc:Fallback/>
      </mc:AlternateContent>
    </comment>
    <comment ref="L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16</xdr:colOff>
                <xdr:row>24</xdr:row>
                <xdr:rowOff>5</xdr:rowOff>
              </xdr:from>
              <xdr:to>
                <xdr:col>14</xdr:col>
                <xdr:colOff>27</xdr:colOff>
                <xdr:row>28</xdr:row>
                <xdr:rowOff>7</xdr:rowOff>
              </xdr:to>
            </anchor>
          </commentPr>
        </mc:Choice>
        <mc:Fallback/>
      </mc:AlternateContent>
    </comment>
    <comment ref="L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21</xdr:colOff>
                <xdr:row>26</xdr:row>
                <xdr:rowOff>5</xdr:rowOff>
              </xdr:from>
              <xdr:to>
                <xdr:col>12</xdr:col>
                <xdr:colOff>72</xdr:colOff>
                <xdr:row>34</xdr:row>
                <xdr:rowOff>7</xdr:rowOff>
              </xdr:to>
            </anchor>
          </commentPr>
        </mc:Choice>
        <mc:Fallback/>
      </mc:AlternateContent>
    </comment>
    <comment ref="M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Data not calculated at the time.  Made straight-line change assumption between June and Sep.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13</xdr:colOff>
                <xdr:row>6</xdr:row>
                <xdr:rowOff>5</xdr:rowOff>
              </xdr:from>
              <xdr:to>
                <xdr:col>16</xdr:col>
                <xdr:colOff>56</xdr:colOff>
                <xdr:row>10</xdr:row>
                <xdr:rowOff>16</xdr:rowOff>
              </xdr:to>
            </anchor>
          </commentPr>
        </mc:Choice>
        <mc:Fallback/>
      </mc:AlternateContent>
    </comment>
    <comment ref="M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Got from Mike Kim on 12/28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79</xdr:colOff>
                <xdr:row>7</xdr:row>
                <xdr:rowOff>15</xdr:rowOff>
              </xdr:from>
              <xdr:to>
                <xdr:col>16</xdr:col>
                <xdr:colOff>33</xdr:colOff>
                <xdr:row>12</xdr:row>
                <xdr:rowOff>7</xdr:rowOff>
              </xdr:to>
            </anchor>
          </commentPr>
        </mc:Choice>
        <mc:Fallback/>
      </mc:AlternateContent>
    </comment>
    <comment ref="M11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Split from the combined value reported in the DPR using August's implied correlation and proportion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21</xdr:colOff>
                <xdr:row>9</xdr:row>
                <xdr:rowOff>5</xdr:rowOff>
              </xdr:from>
              <xdr:to>
                <xdr:col>12</xdr:col>
                <xdr:colOff>65</xdr:colOff>
                <xdr:row>17</xdr:row>
                <xdr:rowOff>3</xdr:rowOff>
              </xdr:to>
            </anchor>
          </commentPr>
        </mc:Choice>
        <mc:Fallback/>
      </mc:AlternateContent>
    </comment>
    <comment ref="M12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Split from the combined value reported in the DPR using August's implied correlation and proportion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21</xdr:colOff>
                <xdr:row>10</xdr:row>
                <xdr:rowOff>5</xdr:rowOff>
              </xdr:from>
              <xdr:to>
                <xdr:col>12</xdr:col>
                <xdr:colOff>65</xdr:colOff>
                <xdr:row>18</xdr:row>
                <xdr:rowOff>3</xdr:rowOff>
              </xdr:to>
            </anchor>
          </commentPr>
        </mc:Choice>
        <mc:Fallback/>
      </mc:AlternateContent>
    </comment>
    <comment ref="M1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Georganne Hodges confirmed that there was very little activity so we can assume VaR was close to 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13</xdr:colOff>
                <xdr:row>13</xdr:row>
                <xdr:rowOff>5</xdr:rowOff>
              </xdr:from>
              <xdr:to>
                <xdr:col>16</xdr:col>
                <xdr:colOff>56</xdr:colOff>
                <xdr:row>20</xdr:row>
                <xdr:rowOff>13</xdr:rowOff>
              </xdr:to>
            </anchor>
          </commentPr>
        </mc:Choice>
        <mc:Fallback/>
      </mc:AlternateContent>
    </comment>
    <comment ref="M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55</xdr:colOff>
                <xdr:row>15</xdr:row>
                <xdr:rowOff>5</xdr:rowOff>
              </xdr:from>
              <xdr:to>
                <xdr:col>13</xdr:col>
                <xdr:colOff>7</xdr:colOff>
                <xdr:row>24</xdr:row>
                <xdr:rowOff>3</xdr:rowOff>
              </xdr:to>
            </anchor>
          </commentPr>
        </mc:Choice>
        <mc:Fallback/>
      </mc:AlternateContent>
    </comment>
    <comment ref="M1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calculation from model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79</xdr:colOff>
                <xdr:row>17</xdr:row>
                <xdr:rowOff>5</xdr:rowOff>
              </xdr:from>
              <xdr:to>
                <xdr:col>16</xdr:col>
                <xdr:colOff>33</xdr:colOff>
                <xdr:row>21</xdr:row>
                <xdr:rowOff>15</xdr:rowOff>
              </xdr:to>
            </anchor>
          </commentPr>
        </mc:Choice>
        <mc:Fallback/>
      </mc:AlternateContent>
    </comment>
    <comment ref="M20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21</xdr:colOff>
                <xdr:row>18</xdr:row>
                <xdr:rowOff>5</xdr:rowOff>
              </xdr:from>
              <xdr:to>
                <xdr:col>12</xdr:col>
                <xdr:colOff>65</xdr:colOff>
                <xdr:row>22</xdr:row>
                <xdr:rowOff>16</xdr:rowOff>
              </xdr:to>
            </anchor>
          </commentPr>
        </mc:Choice>
        <mc:Fallback/>
      </mc:AlternateContent>
    </comment>
    <comment ref="M2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Daniel Falcone's 1/17 E-Mail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30</xdr:colOff>
                <xdr:row>20</xdr:row>
                <xdr:rowOff>11</xdr:rowOff>
              </xdr:from>
              <xdr:to>
                <xdr:col>15</xdr:col>
                <xdr:colOff>73</xdr:colOff>
                <xdr:row>25</xdr:row>
                <xdr:rowOff>3</xdr:rowOff>
              </xdr:to>
            </anchor>
          </commentPr>
        </mc:Choice>
        <mc:Fallback/>
      </mc:AlternateContent>
    </comment>
    <comment ref="M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figure obtained from Matthew Adams on 1/5/2000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79</xdr:colOff>
                <xdr:row>22</xdr:row>
                <xdr:rowOff>9</xdr:rowOff>
              </xdr:from>
              <xdr:to>
                <xdr:col>16</xdr:col>
                <xdr:colOff>33</xdr:colOff>
                <xdr:row>27</xdr:row>
                <xdr:rowOff>3</xdr:rowOff>
              </xdr:to>
            </anchor>
          </commentPr>
        </mc:Choice>
        <mc:Fallback/>
      </mc:AlternateContent>
    </comment>
    <comment ref="M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24</xdr:row>
                <xdr:rowOff>5</xdr:rowOff>
              </xdr:from>
              <xdr:to>
                <xdr:col>15</xdr:col>
                <xdr:colOff>27</xdr:colOff>
                <xdr:row>28</xdr:row>
                <xdr:rowOff>7</xdr:rowOff>
              </xdr:to>
            </anchor>
          </commentPr>
        </mc:Choice>
        <mc:Fallback/>
      </mc:AlternateContent>
    </comment>
    <comment ref="M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21</xdr:colOff>
                <xdr:row>26</xdr:row>
                <xdr:rowOff>5</xdr:rowOff>
              </xdr:from>
              <xdr:to>
                <xdr:col>13</xdr:col>
                <xdr:colOff>72</xdr:colOff>
                <xdr:row>34</xdr:row>
                <xdr:rowOff>7</xdr:rowOff>
              </xdr:to>
            </anchor>
          </commentPr>
        </mc:Choice>
        <mc:Fallback/>
      </mc:AlternateContent>
    </comment>
    <comment ref="N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Data not calculated at the time.  Made straight-line change assumption between June and Sep.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13</xdr:colOff>
                <xdr:row>6</xdr:row>
                <xdr:rowOff>5</xdr:rowOff>
              </xdr:from>
              <xdr:to>
                <xdr:col>17</xdr:col>
                <xdr:colOff>56</xdr:colOff>
                <xdr:row>10</xdr:row>
                <xdr:rowOff>16</xdr:rowOff>
              </xdr:to>
            </anchor>
          </commentPr>
        </mc:Choice>
        <mc:Fallback/>
      </mc:AlternateContent>
    </comment>
    <comment ref="N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Got from Mike Kim on 12/28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79</xdr:colOff>
                <xdr:row>7</xdr:row>
                <xdr:rowOff>15</xdr:rowOff>
              </xdr:from>
              <xdr:to>
                <xdr:col>17</xdr:col>
                <xdr:colOff>34</xdr:colOff>
                <xdr:row>12</xdr:row>
                <xdr:rowOff>7</xdr:rowOff>
              </xdr:to>
            </anchor>
          </commentPr>
        </mc:Choice>
        <mc:Fallback/>
      </mc:AlternateContent>
    </comment>
    <comment ref="N1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Clara Carrington (1/14/2000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79</xdr:colOff>
                <xdr:row>9</xdr:row>
                <xdr:rowOff>15</xdr:rowOff>
              </xdr:from>
              <xdr:to>
                <xdr:col>17</xdr:col>
                <xdr:colOff>34</xdr:colOff>
                <xdr:row>14</xdr:row>
                <xdr:rowOff>8</xdr:rowOff>
              </xdr:to>
            </anchor>
          </commentPr>
        </mc:Choice>
        <mc:Fallback/>
      </mc:AlternateContent>
    </comment>
    <comment ref="N12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Clara Carrington (1/14/2000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79</xdr:colOff>
                <xdr:row>11</xdr:row>
                <xdr:rowOff>0</xdr:rowOff>
              </xdr:from>
              <xdr:to>
                <xdr:col>17</xdr:col>
                <xdr:colOff>34</xdr:colOff>
                <xdr:row>15</xdr:row>
                <xdr:rowOff>9</xdr:rowOff>
              </xdr:to>
            </anchor>
          </commentPr>
        </mc:Choice>
        <mc:Fallback/>
      </mc:AlternateContent>
    </comment>
    <comment ref="N1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Georganne Hodges confirmed that there was very little activity so we can assume VaR was close to 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13</xdr:colOff>
                <xdr:row>13</xdr:row>
                <xdr:rowOff>5</xdr:rowOff>
              </xdr:from>
              <xdr:to>
                <xdr:col>17</xdr:col>
                <xdr:colOff>56</xdr:colOff>
                <xdr:row>20</xdr:row>
                <xdr:rowOff>13</xdr:rowOff>
              </xdr:to>
            </anchor>
          </commentPr>
        </mc:Choice>
        <mc:Fallback/>
      </mc:AlternateContent>
    </comment>
    <comment ref="N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55</xdr:colOff>
                <xdr:row>15</xdr:row>
                <xdr:rowOff>5</xdr:rowOff>
              </xdr:from>
              <xdr:to>
                <xdr:col>14</xdr:col>
                <xdr:colOff>7</xdr:colOff>
                <xdr:row>24</xdr:row>
                <xdr:rowOff>3</xdr:rowOff>
              </xdr:to>
            </anchor>
          </commentPr>
        </mc:Choice>
        <mc:Fallback/>
      </mc:AlternateContent>
    </comment>
    <comment ref="N1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calculation from model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79</xdr:colOff>
                <xdr:row>17</xdr:row>
                <xdr:rowOff>5</xdr:rowOff>
              </xdr:from>
              <xdr:to>
                <xdr:col>17</xdr:col>
                <xdr:colOff>34</xdr:colOff>
                <xdr:row>21</xdr:row>
                <xdr:rowOff>15</xdr:rowOff>
              </xdr:to>
            </anchor>
          </commentPr>
        </mc:Choice>
        <mc:Fallback/>
      </mc:AlternateContent>
    </comment>
    <comment ref="N20" authorId="0">
      <text>
        <r>
          <rPr>
            <b val="true"/>
            <sz val="8"/>
            <color rgb="FF000000"/>
            <rFont val="Tahoma"/>
            <family val="0"/>
          </rPr>
          <t xml:space="preserve">Eugenio Pérez:
</t>
        </r>
        <r>
          <rPr>
            <sz val="8"/>
            <color rgb="FF000000"/>
            <rFont val="Tahoma"/>
            <family val="0"/>
          </rPr>
          <t xml:space="preserve">per Georgeanne Hodges 2/10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55</xdr:colOff>
                <xdr:row>18</xdr:row>
                <xdr:rowOff>5</xdr:rowOff>
              </xdr:from>
              <xdr:to>
                <xdr:col>14</xdr:col>
                <xdr:colOff>7</xdr:colOff>
                <xdr:row>22</xdr:row>
                <xdr:rowOff>16</xdr:rowOff>
              </xdr:to>
            </anchor>
          </commentPr>
        </mc:Choice>
        <mc:Fallback/>
      </mc:AlternateContent>
    </comment>
    <comment ref="N2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Daniel Falcone's 1/17 E-Mail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30</xdr:colOff>
                <xdr:row>20</xdr:row>
                <xdr:rowOff>11</xdr:rowOff>
              </xdr:from>
              <xdr:to>
                <xdr:col>16</xdr:col>
                <xdr:colOff>74</xdr:colOff>
                <xdr:row>25</xdr:row>
                <xdr:rowOff>3</xdr:rowOff>
              </xdr:to>
            </anchor>
          </commentPr>
        </mc:Choice>
        <mc:Fallback/>
      </mc:AlternateContent>
    </comment>
    <comment ref="N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figure obtained from Matthew Adams on 1/5/2000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79</xdr:colOff>
                <xdr:row>22</xdr:row>
                <xdr:rowOff>9</xdr:rowOff>
              </xdr:from>
              <xdr:to>
                <xdr:col>17</xdr:col>
                <xdr:colOff>34</xdr:colOff>
                <xdr:row>27</xdr:row>
                <xdr:rowOff>3</xdr:rowOff>
              </xdr:to>
            </anchor>
          </commentPr>
        </mc:Choice>
        <mc:Fallback/>
      </mc:AlternateContent>
    </comment>
    <comment ref="N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16</xdr:colOff>
                <xdr:row>24</xdr:row>
                <xdr:rowOff>5</xdr:rowOff>
              </xdr:from>
              <xdr:to>
                <xdr:col>16</xdr:col>
                <xdr:colOff>27</xdr:colOff>
                <xdr:row>28</xdr:row>
                <xdr:rowOff>7</xdr:rowOff>
              </xdr:to>
            </anchor>
          </commentPr>
        </mc:Choice>
        <mc:Fallback/>
      </mc:AlternateContent>
    </comment>
    <comment ref="N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21</xdr:colOff>
                <xdr:row>26</xdr:row>
                <xdr:rowOff>5</xdr:rowOff>
              </xdr:from>
              <xdr:to>
                <xdr:col>14</xdr:col>
                <xdr:colOff>72</xdr:colOff>
                <xdr:row>34</xdr:row>
                <xdr:rowOff>7</xdr:rowOff>
              </xdr:to>
            </anchor>
          </commentPr>
        </mc:Choice>
        <mc:Fallback/>
      </mc:AlternateContent>
    </comment>
    <comment ref="O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On 2/9, Mike Kim sent me ammended numbers (to include newly-marked commodity deals) that replace those he sent on 12/28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3</xdr:colOff>
                <xdr:row>7</xdr:row>
                <xdr:rowOff>5</xdr:rowOff>
              </xdr:from>
              <xdr:to>
                <xdr:col>15</xdr:col>
                <xdr:colOff>28</xdr:colOff>
                <xdr:row>15</xdr:row>
                <xdr:rowOff>11</xdr:rowOff>
              </xdr:to>
            </anchor>
          </commentPr>
        </mc:Choice>
        <mc:Fallback/>
      </mc:AlternateContent>
    </comment>
    <comment ref="O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55</xdr:colOff>
                <xdr:row>15</xdr:row>
                <xdr:rowOff>5</xdr:rowOff>
              </xdr:from>
              <xdr:to>
                <xdr:col>15</xdr:col>
                <xdr:colOff>7</xdr:colOff>
                <xdr:row>24</xdr:row>
                <xdr:rowOff>3</xdr:rowOff>
              </xdr:to>
            </anchor>
          </commentPr>
        </mc:Choice>
        <mc:Fallback/>
      </mc:AlternateContent>
    </comment>
    <comment ref="O1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original VaR obtained was $4.05 million, using vol of 61.4%.  Current VaR figure uses vol if 101.861% obtained from Bloomberg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79</xdr:colOff>
                <xdr:row>17</xdr:row>
                <xdr:rowOff>5</xdr:rowOff>
              </xdr:from>
              <xdr:to>
                <xdr:col>19</xdr:col>
                <xdr:colOff>11</xdr:colOff>
                <xdr:row>21</xdr:row>
                <xdr:rowOff>15</xdr:rowOff>
              </xdr:to>
            </anchor>
          </commentPr>
        </mc:Choice>
        <mc:Fallback/>
      </mc:AlternateContent>
    </comment>
    <comment ref="O20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per Tony Harris 1/27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5</xdr:colOff>
                <xdr:row>18</xdr:row>
                <xdr:rowOff>5</xdr:rowOff>
              </xdr:from>
              <xdr:to>
                <xdr:col>16</xdr:col>
                <xdr:colOff>51</xdr:colOff>
                <xdr:row>22</xdr:row>
                <xdr:rowOff>16</xdr:rowOff>
              </xdr:to>
            </anchor>
          </commentPr>
        </mc:Choice>
        <mc:Fallback/>
      </mc:AlternateContent>
    </comment>
    <comment ref="O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figure obtained from Matthew Adams on 1/5/2000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79</xdr:colOff>
                <xdr:row>22</xdr:row>
                <xdr:rowOff>9</xdr:rowOff>
              </xdr:from>
              <xdr:to>
                <xdr:col>19</xdr:col>
                <xdr:colOff>12</xdr:colOff>
                <xdr:row>27</xdr:row>
                <xdr:rowOff>3</xdr:rowOff>
              </xdr:to>
            </anchor>
          </commentPr>
        </mc:Choice>
        <mc:Fallback/>
      </mc:AlternateContent>
    </comment>
    <comment ref="O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24</xdr:row>
                <xdr:rowOff>5</xdr:rowOff>
              </xdr:from>
              <xdr:to>
                <xdr:col>17</xdr:col>
                <xdr:colOff>27</xdr:colOff>
                <xdr:row>28</xdr:row>
                <xdr:rowOff>7</xdr:rowOff>
              </xdr:to>
            </anchor>
          </commentPr>
        </mc:Choice>
        <mc:Fallback/>
      </mc:AlternateContent>
    </comment>
    <comment ref="O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21</xdr:colOff>
                <xdr:row>26</xdr:row>
                <xdr:rowOff>5</xdr:rowOff>
              </xdr:from>
              <xdr:to>
                <xdr:col>15</xdr:col>
                <xdr:colOff>72</xdr:colOff>
                <xdr:row>34</xdr:row>
                <xdr:rowOff>7</xdr:rowOff>
              </xdr:to>
            </anchor>
          </commentPr>
        </mc:Choice>
        <mc:Fallback/>
      </mc:AlternateContent>
    </comment>
    <comment ref="P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On 2/9, Mike Kim sent me ammended numbers (to include newly-marked commodity deals) that replace those he sent on 12/28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79</xdr:colOff>
                <xdr:row>7</xdr:row>
                <xdr:rowOff>15</xdr:rowOff>
              </xdr:from>
              <xdr:to>
                <xdr:col>19</xdr:col>
                <xdr:colOff>80</xdr:colOff>
                <xdr:row>16</xdr:row>
                <xdr:rowOff>4</xdr:rowOff>
              </xdr:to>
            </anchor>
          </commentPr>
        </mc:Choice>
        <mc:Fallback/>
      </mc:AlternateContent>
    </comment>
    <comment ref="P1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Clara Carrington (1/14/2000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79</xdr:colOff>
                <xdr:row>9</xdr:row>
                <xdr:rowOff>15</xdr:rowOff>
              </xdr:from>
              <xdr:to>
                <xdr:col>19</xdr:col>
                <xdr:colOff>80</xdr:colOff>
                <xdr:row>14</xdr:row>
                <xdr:rowOff>8</xdr:rowOff>
              </xdr:to>
            </anchor>
          </commentPr>
        </mc:Choice>
        <mc:Fallback/>
      </mc:AlternateContent>
    </comment>
    <comment ref="P12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Clara Carrington (1/14/2000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79</xdr:colOff>
                <xdr:row>11</xdr:row>
                <xdr:rowOff>0</xdr:rowOff>
              </xdr:from>
              <xdr:to>
                <xdr:col>19</xdr:col>
                <xdr:colOff>80</xdr:colOff>
                <xdr:row>15</xdr:row>
                <xdr:rowOff>9</xdr:rowOff>
              </xdr:to>
            </anchor>
          </commentPr>
        </mc:Choice>
        <mc:Fallback/>
      </mc:AlternateContent>
    </comment>
    <comment ref="P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55</xdr:colOff>
                <xdr:row>15</xdr:row>
                <xdr:rowOff>5</xdr:rowOff>
              </xdr:from>
              <xdr:to>
                <xdr:col>16</xdr:col>
                <xdr:colOff>7</xdr:colOff>
                <xdr:row>24</xdr:row>
                <xdr:rowOff>3</xdr:rowOff>
              </xdr:to>
            </anchor>
          </commentPr>
        </mc:Choice>
        <mc:Fallback/>
      </mc:AlternateContent>
    </comment>
    <comment ref="P1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calculation from model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79</xdr:colOff>
                <xdr:row>17</xdr:row>
                <xdr:rowOff>5</xdr:rowOff>
              </xdr:from>
              <xdr:to>
                <xdr:col>19</xdr:col>
                <xdr:colOff>80</xdr:colOff>
                <xdr:row>21</xdr:row>
                <xdr:rowOff>15</xdr:rowOff>
              </xdr:to>
            </anchor>
          </commentPr>
        </mc:Choice>
        <mc:Fallback/>
      </mc:AlternateContent>
    </comment>
    <comment ref="P20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per Tony Harris 1/27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5</xdr:colOff>
                <xdr:row>18</xdr:row>
                <xdr:rowOff>5</xdr:rowOff>
              </xdr:from>
              <xdr:to>
                <xdr:col>17</xdr:col>
                <xdr:colOff>51</xdr:colOff>
                <xdr:row>22</xdr:row>
                <xdr:rowOff>16</xdr:rowOff>
              </xdr:to>
            </anchor>
          </commentPr>
        </mc:Choice>
        <mc:Fallback/>
      </mc:AlternateContent>
    </comment>
    <comment ref="P2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Daniel Falcone's 1/17 E-Mail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31</xdr:colOff>
                <xdr:row>20</xdr:row>
                <xdr:rowOff>11</xdr:rowOff>
              </xdr:from>
              <xdr:to>
                <xdr:col>19</xdr:col>
                <xdr:colOff>51</xdr:colOff>
                <xdr:row>25</xdr:row>
                <xdr:rowOff>3</xdr:rowOff>
              </xdr:to>
            </anchor>
          </commentPr>
        </mc:Choice>
        <mc:Fallback/>
      </mc:AlternateContent>
    </comment>
    <comment ref="P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figure obtained from Matthew Adams on 1/5/2000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79</xdr:colOff>
                <xdr:row>22</xdr:row>
                <xdr:rowOff>9</xdr:rowOff>
              </xdr:from>
              <xdr:to>
                <xdr:col>19</xdr:col>
                <xdr:colOff>80</xdr:colOff>
                <xdr:row>27</xdr:row>
                <xdr:rowOff>3</xdr:rowOff>
              </xdr:to>
            </anchor>
          </commentPr>
        </mc:Choice>
        <mc:Fallback/>
      </mc:AlternateContent>
    </comment>
    <comment ref="P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16</xdr:colOff>
                <xdr:row>24</xdr:row>
                <xdr:rowOff>5</xdr:rowOff>
              </xdr:from>
              <xdr:to>
                <xdr:col>19</xdr:col>
                <xdr:colOff>3</xdr:colOff>
                <xdr:row>28</xdr:row>
                <xdr:rowOff>7</xdr:rowOff>
              </xdr:to>
            </anchor>
          </commentPr>
        </mc:Choice>
        <mc:Fallback/>
      </mc:AlternateContent>
    </comment>
    <comment ref="P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21</xdr:colOff>
                <xdr:row>26</xdr:row>
                <xdr:rowOff>5</xdr:rowOff>
              </xdr:from>
              <xdr:to>
                <xdr:col>16</xdr:col>
                <xdr:colOff>72</xdr:colOff>
                <xdr:row>34</xdr:row>
                <xdr:rowOff>7</xdr:rowOff>
              </xdr:to>
            </anchor>
          </commentPr>
        </mc:Choice>
        <mc:Fallback/>
      </mc:AlternateContent>
    </comment>
    <comment ref="Q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On 2/9, Mike Kim sent me ammended numbers (to include newly-marked commodity deals) that replace those he sent on 12/28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3</xdr:colOff>
                <xdr:row>7</xdr:row>
                <xdr:rowOff>5</xdr:rowOff>
              </xdr:from>
              <xdr:to>
                <xdr:col>17</xdr:col>
                <xdr:colOff>27</xdr:colOff>
                <xdr:row>15</xdr:row>
                <xdr:rowOff>11</xdr:rowOff>
              </xdr:to>
            </anchor>
          </commentPr>
        </mc:Choice>
        <mc:Fallback/>
      </mc:AlternateContent>
    </comment>
    <comment ref="Q1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Clara Carrington (1/14/2000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56</xdr:colOff>
                <xdr:row>9</xdr:row>
                <xdr:rowOff>15</xdr:rowOff>
              </xdr:from>
              <xdr:to>
                <xdr:col>20</xdr:col>
                <xdr:colOff>59</xdr:colOff>
                <xdr:row>14</xdr:row>
                <xdr:rowOff>8</xdr:rowOff>
              </xdr:to>
            </anchor>
          </commentPr>
        </mc:Choice>
        <mc:Fallback/>
      </mc:AlternateContent>
    </comment>
    <comment ref="Q12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Clara Carrington (1/14/2000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56</xdr:colOff>
                <xdr:row>11</xdr:row>
                <xdr:rowOff>0</xdr:rowOff>
              </xdr:from>
              <xdr:to>
                <xdr:col>20</xdr:col>
                <xdr:colOff>59</xdr:colOff>
                <xdr:row>15</xdr:row>
                <xdr:rowOff>9</xdr:rowOff>
              </xdr:to>
            </anchor>
          </commentPr>
        </mc:Choice>
        <mc:Fallback/>
      </mc:AlternateContent>
    </comment>
    <comment ref="Q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55</xdr:colOff>
                <xdr:row>15</xdr:row>
                <xdr:rowOff>5</xdr:rowOff>
              </xdr:from>
              <xdr:to>
                <xdr:col>17</xdr:col>
                <xdr:colOff>6</xdr:colOff>
                <xdr:row>24</xdr:row>
                <xdr:rowOff>3</xdr:rowOff>
              </xdr:to>
            </anchor>
          </commentPr>
        </mc:Choice>
        <mc:Fallback/>
      </mc:AlternateContent>
    </comment>
    <comment ref="Q1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calculation from model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56</xdr:colOff>
                <xdr:row>17</xdr:row>
                <xdr:rowOff>5</xdr:rowOff>
              </xdr:from>
              <xdr:to>
                <xdr:col>20</xdr:col>
                <xdr:colOff>59</xdr:colOff>
                <xdr:row>21</xdr:row>
                <xdr:rowOff>15</xdr:rowOff>
              </xdr:to>
            </anchor>
          </commentPr>
        </mc:Choice>
        <mc:Fallback/>
      </mc:AlternateContent>
    </comment>
    <comment ref="Q20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per Tony Harris 1/27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5</xdr:colOff>
                <xdr:row>18</xdr:row>
                <xdr:rowOff>5</xdr:rowOff>
              </xdr:from>
              <xdr:to>
                <xdr:col>19</xdr:col>
                <xdr:colOff>28</xdr:colOff>
                <xdr:row>22</xdr:row>
                <xdr:rowOff>16</xdr:rowOff>
              </xdr:to>
            </anchor>
          </commentPr>
        </mc:Choice>
        <mc:Fallback/>
      </mc:AlternateContent>
    </comment>
    <comment ref="Q2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Daniel Falcone's 1/17 E-Mail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7</xdr:colOff>
                <xdr:row>20</xdr:row>
                <xdr:rowOff>11</xdr:rowOff>
              </xdr:from>
              <xdr:to>
                <xdr:col>20</xdr:col>
                <xdr:colOff>11</xdr:colOff>
                <xdr:row>25</xdr:row>
                <xdr:rowOff>3</xdr:rowOff>
              </xdr:to>
            </anchor>
          </commentPr>
        </mc:Choice>
        <mc:Fallback/>
      </mc:AlternateContent>
    </comment>
    <comment ref="Q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figure obtained from Matthew Adams on 1/5/2000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56</xdr:colOff>
                <xdr:row>22</xdr:row>
                <xdr:rowOff>9</xdr:rowOff>
              </xdr:from>
              <xdr:to>
                <xdr:col>20</xdr:col>
                <xdr:colOff>59</xdr:colOff>
                <xdr:row>27</xdr:row>
                <xdr:rowOff>3</xdr:rowOff>
              </xdr:to>
            </anchor>
          </commentPr>
        </mc:Choice>
        <mc:Fallback/>
      </mc:AlternateContent>
    </comment>
    <comment ref="Q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16</xdr:colOff>
                <xdr:row>24</xdr:row>
                <xdr:rowOff>5</xdr:rowOff>
              </xdr:from>
              <xdr:to>
                <xdr:col>20</xdr:col>
                <xdr:colOff>3</xdr:colOff>
                <xdr:row>28</xdr:row>
                <xdr:rowOff>7</xdr:rowOff>
              </xdr:to>
            </anchor>
          </commentPr>
        </mc:Choice>
        <mc:Fallback/>
      </mc:AlternateContent>
    </comment>
    <comment ref="Q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21</xdr:colOff>
                <xdr:row>26</xdr:row>
                <xdr:rowOff>5</xdr:rowOff>
              </xdr:from>
              <xdr:to>
                <xdr:col>17</xdr:col>
                <xdr:colOff>75</xdr:colOff>
                <xdr:row>34</xdr:row>
                <xdr:rowOff>7</xdr:rowOff>
              </xdr:to>
            </anchor>
          </commentPr>
        </mc:Choice>
        <mc:Fallback/>
      </mc:AlternateContent>
    </comment>
    <comment ref="R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On 2/23, Mike Kim sent me ammended numbers (to include newly-marked commodity deals) that replace those he sent on 12/28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3</xdr:colOff>
                <xdr:row>7</xdr:row>
                <xdr:rowOff>5</xdr:rowOff>
              </xdr:from>
              <xdr:to>
                <xdr:col>19</xdr:col>
                <xdr:colOff>3</xdr:colOff>
                <xdr:row>15</xdr:row>
                <xdr:rowOff>11</xdr:rowOff>
              </xdr:to>
            </anchor>
          </commentPr>
        </mc:Choice>
        <mc:Fallback/>
      </mc:AlternateContent>
    </comment>
    <comment ref="R10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Position initiated in December.  Formally included in (presumably AGG_ECT) VaR in January.  It is supposed to be a hedge, but do not have enough information to treat it as one.  Having it here assumes a 0 correlation to the rest of Trading Commodities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55</xdr:colOff>
                <xdr:row>8</xdr:row>
                <xdr:rowOff>5</xdr:rowOff>
              </xdr:from>
              <xdr:to>
                <xdr:col>19</xdr:col>
                <xdr:colOff>47</xdr:colOff>
                <xdr:row>19</xdr:row>
                <xdr:rowOff>1</xdr:rowOff>
              </xdr:to>
            </anchor>
          </commentPr>
        </mc:Choice>
        <mc:Fallback/>
      </mc:AlternateContent>
    </comment>
    <comment ref="R1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Clara Carrington (1/14/2000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21</xdr:col>
                <xdr:colOff>32</xdr:colOff>
                <xdr:row>9</xdr:row>
                <xdr:rowOff>15</xdr:rowOff>
              </xdr:from>
              <xdr:to>
                <xdr:col>23</xdr:col>
                <xdr:colOff>1</xdr:colOff>
                <xdr:row>14</xdr:row>
                <xdr:rowOff>8</xdr:rowOff>
              </xdr:to>
            </anchor>
          </commentPr>
        </mc:Choice>
        <mc:Fallback/>
      </mc:AlternateContent>
    </comment>
    <comment ref="R12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Clara Carrington (1/14/2000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21</xdr:col>
                <xdr:colOff>32</xdr:colOff>
                <xdr:row>11</xdr:row>
                <xdr:rowOff>0</xdr:rowOff>
              </xdr:from>
              <xdr:to>
                <xdr:col>23</xdr:col>
                <xdr:colOff>1</xdr:colOff>
                <xdr:row>15</xdr:row>
                <xdr:rowOff>9</xdr:rowOff>
              </xdr:to>
            </anchor>
          </commentPr>
        </mc:Choice>
        <mc:Fallback/>
      </mc:AlternateContent>
    </comment>
    <comment ref="R1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per Chris Abel 1/27 -- no P&amp;L of VaR reported for Dec 99 b/c got out of positions.  Refer to 12/30/99 DPR for back-up.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5</xdr:colOff>
                <xdr:row>11</xdr:row>
                <xdr:rowOff>5</xdr:rowOff>
              </xdr:from>
              <xdr:to>
                <xdr:col>20</xdr:col>
                <xdr:colOff>25</xdr:colOff>
                <xdr:row>15</xdr:row>
                <xdr:rowOff>16</xdr:rowOff>
              </xdr:to>
            </anchor>
          </commentPr>
        </mc:Choice>
        <mc:Fallback/>
      </mc:AlternateContent>
    </comment>
    <comment ref="R1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Eric Tipp sent me on 2/9 new numbers based on  information from A/A on the Jedi partnership listing the beneficial ownership on Jedi assets as 90.64%.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7</xdr:colOff>
                <xdr:row>14</xdr:row>
                <xdr:rowOff>5</xdr:rowOff>
              </xdr:from>
              <xdr:to>
                <xdr:col>19</xdr:col>
                <xdr:colOff>48</xdr:colOff>
                <xdr:row>25</xdr:row>
                <xdr:rowOff>3</xdr:rowOff>
              </xdr:to>
            </anchor>
          </commentPr>
        </mc:Choice>
        <mc:Fallback/>
      </mc:AlternateContent>
    </comment>
    <comment ref="R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55</xdr:colOff>
                <xdr:row>15</xdr:row>
                <xdr:rowOff>5</xdr:rowOff>
              </xdr:from>
              <xdr:to>
                <xdr:col>18</xdr:col>
                <xdr:colOff>6</xdr:colOff>
                <xdr:row>24</xdr:row>
                <xdr:rowOff>3</xdr:rowOff>
              </xdr:to>
            </anchor>
          </commentPr>
        </mc:Choice>
        <mc:Fallback/>
      </mc:AlternateContent>
    </comment>
    <comment ref="R1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RTHM position was unwound.  Remnants have VaR calculated under the TRS model.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7</xdr:colOff>
                <xdr:row>16</xdr:row>
                <xdr:rowOff>5</xdr:rowOff>
              </xdr:from>
              <xdr:to>
                <xdr:col>23</xdr:col>
                <xdr:colOff>1</xdr:colOff>
                <xdr:row>20</xdr:row>
                <xdr:rowOff>15</xdr:rowOff>
              </xdr:to>
            </anchor>
          </commentPr>
        </mc:Choice>
        <mc:Fallback/>
      </mc:AlternateContent>
    </comment>
    <comment ref="R20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per Tony Harris 1/27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5</xdr:colOff>
                <xdr:row>18</xdr:row>
                <xdr:rowOff>5</xdr:rowOff>
              </xdr:from>
              <xdr:to>
                <xdr:col>20</xdr:col>
                <xdr:colOff>25</xdr:colOff>
                <xdr:row>22</xdr:row>
                <xdr:rowOff>16</xdr:rowOff>
              </xdr:to>
            </anchor>
          </commentPr>
        </mc:Choice>
        <mc:Fallback/>
      </mc:AlternateContent>
    </comment>
    <comment ref="R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figure obtained from Matthew Adams on 1/5/2000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21</xdr:col>
                <xdr:colOff>32</xdr:colOff>
                <xdr:row>22</xdr:row>
                <xdr:rowOff>9</xdr:rowOff>
              </xdr:from>
              <xdr:to>
                <xdr:col>23</xdr:col>
                <xdr:colOff>1</xdr:colOff>
                <xdr:row>31</xdr:row>
                <xdr:rowOff>3</xdr:rowOff>
              </xdr:to>
            </anchor>
          </commentPr>
        </mc:Choice>
        <mc:Fallback/>
      </mc:AlternateContent>
    </comment>
    <comment ref="R24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12</xdr:colOff>
                <xdr:row>22</xdr:row>
                <xdr:rowOff>5</xdr:rowOff>
              </xdr:from>
              <xdr:to>
                <xdr:col>23</xdr:col>
                <xdr:colOff>5</xdr:colOff>
                <xdr:row>26</xdr:row>
                <xdr:rowOff>16</xdr:rowOff>
              </xdr:to>
            </anchor>
          </commentPr>
        </mc:Choice>
        <mc:Fallback/>
      </mc:AlternateContent>
    </comment>
    <comment ref="R25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16</xdr:colOff>
                <xdr:row>23</xdr:row>
                <xdr:rowOff>5</xdr:rowOff>
              </xdr:from>
              <xdr:to>
                <xdr:col>21</xdr:col>
                <xdr:colOff>14</xdr:colOff>
                <xdr:row>27</xdr:row>
                <xdr:rowOff>16</xdr:rowOff>
              </xdr:to>
            </anchor>
          </commentPr>
        </mc:Choice>
        <mc:Fallback/>
      </mc:AlternateContent>
    </comment>
    <comment ref="R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16</xdr:colOff>
                <xdr:row>24</xdr:row>
                <xdr:rowOff>5</xdr:rowOff>
              </xdr:from>
              <xdr:to>
                <xdr:col>21</xdr:col>
                <xdr:colOff>3</xdr:colOff>
                <xdr:row>28</xdr:row>
                <xdr:rowOff>7</xdr:rowOff>
              </xdr:to>
            </anchor>
          </commentPr>
        </mc:Choice>
        <mc:Fallback/>
      </mc:AlternateContent>
    </comment>
    <comment ref="R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21</xdr:colOff>
                <xdr:row>26</xdr:row>
                <xdr:rowOff>5</xdr:rowOff>
              </xdr:from>
              <xdr:to>
                <xdr:col>19</xdr:col>
                <xdr:colOff>51</xdr:colOff>
                <xdr:row>34</xdr:row>
                <xdr:rowOff>7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Per Mike Moscoso, get from VaR spreadsheet; this figure includes European Liquids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378</xdr:colOff>
                <xdr:row>0</xdr:row>
                <xdr:rowOff>5</xdr:rowOff>
              </xdr:from>
              <xdr:to>
                <xdr:col>4</xdr:col>
                <xdr:colOff>84</xdr:colOff>
                <xdr:row>4</xdr:row>
                <xdr:rowOff>16</xdr:rowOff>
              </xdr:to>
            </anchor>
          </commentPr>
        </mc:Choice>
        <mc:Fallback/>
      </mc:AlternateContent>
    </comment>
    <comment ref="A3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Per Mike Moscose, get from VaR spreadsheet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378</xdr:colOff>
                <xdr:row>1</xdr:row>
                <xdr:rowOff>5</xdr:rowOff>
              </xdr:from>
              <xdr:to>
                <xdr:col>4</xdr:col>
                <xdr:colOff>84</xdr:colOff>
                <xdr:row>5</xdr:row>
                <xdr:rowOff>16</xdr:rowOff>
              </xdr:to>
            </anchor>
          </commentPr>
        </mc:Choice>
        <mc:Fallback/>
      </mc:AlternateContent>
    </comment>
    <comment ref="A4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10"/>
            <rFont val="Arial"/>
            <family val="0"/>
          </rPr>
          <t xml:space="preserve">Per Mike Moscoso, get from London Summary spreadsheet on USD format tab; this figure excludes Eupopean Liquids which is already included in AGG_ECT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</xdr:colOff>
                <xdr:row>2</xdr:row>
                <xdr:rowOff>5</xdr:rowOff>
              </xdr:from>
              <xdr:to>
                <xdr:col>5</xdr:col>
                <xdr:colOff>71</xdr:colOff>
                <xdr:row>7</xdr:row>
                <xdr:rowOff>12</xdr:rowOff>
              </xdr:to>
            </anchor>
          </commentPr>
        </mc:Choice>
        <mc:Fallback/>
      </mc:AlternateContent>
    </comment>
    <comment ref="A5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the DPR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</xdr:colOff>
                <xdr:row>3</xdr:row>
                <xdr:rowOff>5</xdr:rowOff>
              </xdr:from>
              <xdr:to>
                <xdr:col>5</xdr:col>
                <xdr:colOff>57</xdr:colOff>
                <xdr:row>7</xdr:row>
                <xdr:rowOff>16</xdr:rowOff>
              </xdr:to>
            </anchor>
          </commentPr>
        </mc:Choice>
        <mc:Fallback/>
      </mc:AlternateContent>
    </comment>
    <comment ref="A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the DPR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378</xdr:colOff>
                <xdr:row>4</xdr:row>
                <xdr:rowOff>5</xdr:rowOff>
              </xdr:from>
              <xdr:to>
                <xdr:col>4</xdr:col>
                <xdr:colOff>84</xdr:colOff>
                <xdr:row>8</xdr:row>
                <xdr:rowOff>16</xdr:rowOff>
              </xdr:to>
            </anchor>
          </commentPr>
        </mc:Choice>
        <mc:Fallback/>
      </mc:AlternateContent>
    </comment>
    <comment ref="A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the DPR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378</xdr:colOff>
                <xdr:row>5</xdr:row>
                <xdr:rowOff>5</xdr:rowOff>
              </xdr:from>
              <xdr:to>
                <xdr:col>4</xdr:col>
                <xdr:colOff>84</xdr:colOff>
                <xdr:row>9</xdr:row>
                <xdr:rowOff>16</xdr:rowOff>
              </xdr:to>
            </anchor>
          </commentPr>
        </mc:Choice>
        <mc:Fallback/>
      </mc:AlternateContent>
    </comment>
    <comment ref="A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the DPR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378</xdr:colOff>
                <xdr:row>6</xdr:row>
                <xdr:rowOff>5</xdr:rowOff>
              </xdr:from>
              <xdr:to>
                <xdr:col>4</xdr:col>
                <xdr:colOff>84</xdr:colOff>
                <xdr:row>10</xdr:row>
                <xdr:rowOff>16</xdr:rowOff>
              </xdr:to>
            </anchor>
          </commentPr>
        </mc:Choice>
        <mc:Fallback/>
      </mc:AlternateContent>
    </comment>
    <comment ref="A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MIKE KIM 31902 (POWER ONLY; GAS IS ROLLING INTO AGG ECT)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</xdr:colOff>
                <xdr:row>7</xdr:row>
                <xdr:rowOff>5</xdr:rowOff>
              </xdr:from>
              <xdr:to>
                <xdr:col>5</xdr:col>
                <xdr:colOff>71</xdr:colOff>
                <xdr:row>17</xdr:row>
                <xdr:rowOff>15</xdr:rowOff>
              </xdr:to>
            </anchor>
          </commentPr>
        </mc:Choice>
        <mc:Fallback/>
      </mc:AlternateContent>
    </comment>
    <comment ref="A10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get from DPR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</xdr:colOff>
                <xdr:row>8</xdr:row>
                <xdr:rowOff>5</xdr:rowOff>
              </xdr:from>
              <xdr:to>
                <xdr:col>4</xdr:col>
                <xdr:colOff>9</xdr:colOff>
                <xdr:row>12</xdr:row>
                <xdr:rowOff>16</xdr:rowOff>
              </xdr:to>
            </anchor>
          </commentPr>
        </mc:Choice>
        <mc:Fallback/>
      </mc:AlternateContent>
    </comment>
    <comment ref="A11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get from DPR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</xdr:colOff>
                <xdr:row>9</xdr:row>
                <xdr:rowOff>5</xdr:rowOff>
              </xdr:from>
              <xdr:to>
                <xdr:col>4</xdr:col>
                <xdr:colOff>9</xdr:colOff>
                <xdr:row>13</xdr:row>
                <xdr:rowOff>16</xdr:rowOff>
              </xdr:to>
            </anchor>
          </commentPr>
        </mc:Choice>
        <mc:Fallback/>
      </mc:AlternateContent>
    </comment>
    <comment ref="A13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the DPR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378</xdr:colOff>
                <xdr:row>11</xdr:row>
                <xdr:rowOff>5</xdr:rowOff>
              </xdr:from>
              <xdr:to>
                <xdr:col>4</xdr:col>
                <xdr:colOff>84</xdr:colOff>
                <xdr:row>15</xdr:row>
                <xdr:rowOff>16</xdr:rowOff>
              </xdr:to>
            </anchor>
          </commentPr>
        </mc:Choice>
        <mc:Fallback/>
      </mc:AlternateContent>
    </comment>
    <comment ref="A14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the DPR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378</xdr:colOff>
                <xdr:row>12</xdr:row>
                <xdr:rowOff>5</xdr:rowOff>
              </xdr:from>
              <xdr:to>
                <xdr:col>4</xdr:col>
                <xdr:colOff>84</xdr:colOff>
                <xdr:row>16</xdr:row>
                <xdr:rowOff>16</xdr:rowOff>
              </xdr:to>
            </anchor>
          </commentPr>
        </mc:Choice>
        <mc:Fallback/>
      </mc:AlternateContent>
    </comment>
    <comment ref="A15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the DPR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379</xdr:colOff>
                <xdr:row>13</xdr:row>
                <xdr:rowOff>5</xdr:rowOff>
              </xdr:from>
              <xdr:to>
                <xdr:col>4</xdr:col>
                <xdr:colOff>84</xdr:colOff>
                <xdr:row>17</xdr:row>
                <xdr:rowOff>16</xdr:rowOff>
              </xdr:to>
            </anchor>
          </commentPr>
        </mc:Choice>
        <mc:Fallback/>
      </mc:AlternateContent>
    </comment>
    <comment ref="A1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the DPR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379</xdr:colOff>
                <xdr:row>14</xdr:row>
                <xdr:rowOff>5</xdr:rowOff>
              </xdr:from>
              <xdr:to>
                <xdr:col>4</xdr:col>
                <xdr:colOff>84</xdr:colOff>
                <xdr:row>18</xdr:row>
                <xdr:rowOff>16</xdr:rowOff>
              </xdr:to>
            </anchor>
          </commentPr>
        </mc:Choice>
        <mc:Fallback/>
      </mc:AlternateContent>
    </comment>
    <comment ref="A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Husnain Mirza (use the ENA number)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89</xdr:colOff>
                <xdr:row>14</xdr:row>
                <xdr:rowOff>15</xdr:rowOff>
              </xdr:from>
              <xdr:to>
                <xdr:col>10</xdr:col>
                <xdr:colOff>67</xdr:colOff>
                <xdr:row>22</xdr:row>
                <xdr:rowOff>3</xdr:rowOff>
              </xdr:to>
            </anchor>
          </commentPr>
        </mc:Choice>
        <mc:Fallback/>
      </mc:AlternateContent>
    </comment>
    <comment ref="A20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Gary Shaw (503 464 8416) 
or Teri Peshka or Scott Gardner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</xdr:colOff>
                <xdr:row>18</xdr:row>
                <xdr:rowOff>5</xdr:rowOff>
              </xdr:from>
              <xdr:to>
                <xdr:col>6</xdr:col>
                <xdr:colOff>41</xdr:colOff>
                <xdr:row>25</xdr:row>
                <xdr:rowOff>1</xdr:rowOff>
              </xdr:to>
            </anchor>
          </commentPr>
        </mc:Choice>
        <mc:Fallback/>
      </mc:AlternateContent>
    </comment>
    <comment ref="A2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Scott Earnest
3-1746 and Shifali Sharma x3-5170; figures provided by Matthew Adams (see ET&amp;S)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379</xdr:colOff>
                <xdr:row>19</xdr:row>
                <xdr:rowOff>5</xdr:rowOff>
              </xdr:from>
              <xdr:to>
                <xdr:col>3</xdr:col>
                <xdr:colOff>16</xdr:colOff>
                <xdr:row>23</xdr:row>
                <xdr:rowOff>16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Matthew Adams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</xdr:colOff>
                <xdr:row>20</xdr:row>
                <xdr:rowOff>5</xdr:rowOff>
              </xdr:from>
              <xdr:to>
                <xdr:col>7</xdr:col>
                <xdr:colOff>1</xdr:colOff>
                <xdr:row>25</xdr:row>
                <xdr:rowOff>7</xdr:rowOff>
              </xdr:to>
            </anchor>
          </commentPr>
        </mc:Choice>
        <mc:Fallback/>
      </mc:AlternateContent>
    </comment>
    <comment ref="A23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Tanya Tamarchenko &amp; Jeff Nogid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</xdr:colOff>
                <xdr:row>21</xdr:row>
                <xdr:rowOff>5</xdr:rowOff>
              </xdr:from>
              <xdr:to>
                <xdr:col>6</xdr:col>
                <xdr:colOff>12</xdr:colOff>
                <xdr:row>26</xdr:row>
                <xdr:rowOff>11</xdr:rowOff>
              </xdr:to>
            </anchor>
          </commentPr>
        </mc:Choice>
        <mc:Fallback/>
      </mc:AlternateContent>
    </comment>
    <comment ref="A24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Tanya Tamarchenko &amp; Jeff Nogid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</xdr:colOff>
                <xdr:row>22</xdr:row>
                <xdr:rowOff>5</xdr:rowOff>
              </xdr:from>
              <xdr:to>
                <xdr:col>6</xdr:col>
                <xdr:colOff>62</xdr:colOff>
                <xdr:row>28</xdr:row>
                <xdr:rowOff>3</xdr:rowOff>
              </xdr:to>
            </anchor>
          </commentPr>
        </mc:Choice>
        <mc:Fallback/>
      </mc:AlternateContent>
    </comment>
    <comment ref="A25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purposes).  Phantom is composed of 1,061,000 + 378,000 shares (+205,000 from June).  Steve Ross does not calculate VaR so use own model.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14</xdr:colOff>
                <xdr:row>23</xdr:row>
                <xdr:rowOff>15</xdr:rowOff>
              </xdr:from>
              <xdr:to>
                <xdr:col>5</xdr:col>
                <xdr:colOff>54</xdr:colOff>
                <xdr:row>35</xdr:row>
                <xdr:rowOff>12</xdr:rowOff>
              </xdr:to>
            </anchor>
          </commentPr>
        </mc:Choice>
        <mc:Fallback/>
      </mc:AlternateContent>
    </comment>
    <comment ref="C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25</xdr:row>
                <xdr:rowOff>5</xdr:rowOff>
              </xdr:from>
              <xdr:to>
                <xdr:col>9</xdr:col>
                <xdr:colOff>22</xdr:colOff>
                <xdr:row>33</xdr:row>
                <xdr:rowOff>7</xdr:rowOff>
              </xdr:to>
            </anchor>
          </commentPr>
        </mc:Choice>
        <mc:Fallback/>
      </mc:AlternateContent>
    </comment>
    <comment ref="E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25</xdr:row>
                <xdr:rowOff>5</xdr:rowOff>
              </xdr:from>
              <xdr:to>
                <xdr:col>8</xdr:col>
                <xdr:colOff>38</xdr:colOff>
                <xdr:row>33</xdr:row>
                <xdr:rowOff>7</xdr:rowOff>
              </xdr:to>
            </anchor>
          </commentPr>
        </mc:Choice>
        <mc:Fallback/>
      </mc:AlternateContent>
    </comment>
    <comment ref="F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0</xdr:colOff>
                <xdr:row>25</xdr:row>
                <xdr:rowOff>5</xdr:rowOff>
              </xdr:from>
              <xdr:to>
                <xdr:col>7</xdr:col>
                <xdr:colOff>35</xdr:colOff>
                <xdr:row>33</xdr:row>
                <xdr:rowOff>7</xdr:rowOff>
              </xdr:to>
            </anchor>
          </commentPr>
        </mc:Choice>
        <mc:Fallback/>
      </mc:AlternateContent>
    </comment>
    <comment ref="G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83</xdr:colOff>
                <xdr:row>25</xdr:row>
                <xdr:rowOff>5</xdr:rowOff>
              </xdr:from>
              <xdr:to>
                <xdr:col>8</xdr:col>
                <xdr:colOff>33</xdr:colOff>
                <xdr:row>33</xdr:row>
                <xdr:rowOff>7</xdr:rowOff>
              </xdr:to>
            </anchor>
          </commentPr>
        </mc:Choice>
        <mc:Fallback/>
      </mc:AlternateContent>
    </comment>
    <comment ref="H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83</xdr:colOff>
                <xdr:row>25</xdr:row>
                <xdr:rowOff>5</xdr:rowOff>
              </xdr:from>
              <xdr:to>
                <xdr:col>8</xdr:col>
                <xdr:colOff>54</xdr:colOff>
                <xdr:row>33</xdr:row>
                <xdr:rowOff>7</xdr:rowOff>
              </xdr:to>
            </anchor>
          </commentPr>
        </mc:Choice>
        <mc:Fallback/>
      </mc:AlternateContent>
    </comment>
    <comment ref="I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85</xdr:colOff>
                <xdr:row>25</xdr:row>
                <xdr:rowOff>5</xdr:rowOff>
              </xdr:from>
              <xdr:to>
                <xdr:col>9</xdr:col>
                <xdr:colOff>48</xdr:colOff>
                <xdr:row>33</xdr:row>
                <xdr:rowOff>7</xdr:rowOff>
              </xdr:to>
            </anchor>
          </commentPr>
        </mc:Choice>
        <mc:Fallback/>
      </mc:AlternateContent>
    </comment>
    <comment ref="J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0</xdr:colOff>
                <xdr:row>25</xdr:row>
                <xdr:rowOff>5</xdr:rowOff>
              </xdr:from>
              <xdr:to>
                <xdr:col>11</xdr:col>
                <xdr:colOff>54</xdr:colOff>
                <xdr:row>33</xdr:row>
                <xdr:rowOff>7</xdr:rowOff>
              </xdr:to>
            </anchor>
          </commentPr>
        </mc:Choice>
        <mc:Fallback/>
      </mc:AlternateContent>
    </comment>
    <comment ref="K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88</xdr:colOff>
                <xdr:row>25</xdr:row>
                <xdr:rowOff>5</xdr:rowOff>
              </xdr:from>
              <xdr:to>
                <xdr:col>11</xdr:col>
                <xdr:colOff>50</xdr:colOff>
                <xdr:row>33</xdr:row>
                <xdr:rowOff>7</xdr:rowOff>
              </xdr:to>
            </anchor>
          </commentPr>
        </mc:Choice>
        <mc:Fallback/>
      </mc:AlternateContent>
    </comment>
    <comment ref="L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88</xdr:colOff>
                <xdr:row>25</xdr:row>
                <xdr:rowOff>5</xdr:rowOff>
              </xdr:from>
              <xdr:to>
                <xdr:col>12</xdr:col>
                <xdr:colOff>51</xdr:colOff>
                <xdr:row>33</xdr:row>
                <xdr:rowOff>7</xdr:rowOff>
              </xdr:to>
            </anchor>
          </commentPr>
        </mc:Choice>
        <mc:Fallback/>
      </mc:AlternateContent>
    </comment>
    <comment ref="M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89</xdr:colOff>
                <xdr:row>25</xdr:row>
                <xdr:rowOff>5</xdr:rowOff>
              </xdr:from>
              <xdr:to>
                <xdr:col>15</xdr:col>
                <xdr:colOff>13</xdr:colOff>
                <xdr:row>33</xdr:row>
                <xdr:rowOff>7</xdr:rowOff>
              </xdr:to>
            </anchor>
          </commentPr>
        </mc:Choice>
        <mc:Fallback/>
      </mc:AlternateContent>
    </comment>
    <comment ref="N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3</xdr:colOff>
                <xdr:row>25</xdr:row>
                <xdr:rowOff>5</xdr:rowOff>
              </xdr:from>
              <xdr:to>
                <xdr:col>15</xdr:col>
                <xdr:colOff>38</xdr:colOff>
                <xdr:row>33</xdr:row>
                <xdr:rowOff>7</xdr:rowOff>
              </xdr:to>
            </anchor>
          </commentPr>
        </mc:Choice>
        <mc:Fallback/>
      </mc:AlternateContent>
    </comment>
    <comment ref="O22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Matthew told Jennifer that there were no positions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85</xdr:colOff>
                <xdr:row>20</xdr:row>
                <xdr:rowOff>5</xdr:rowOff>
              </xdr:from>
              <xdr:to>
                <xdr:col>17</xdr:col>
                <xdr:colOff>0</xdr:colOff>
                <xdr:row>24</xdr:row>
                <xdr:rowOff>16</xdr:rowOff>
              </xdr:to>
            </anchor>
          </commentPr>
        </mc:Choice>
        <mc:Fallback/>
      </mc:AlternateContent>
    </comment>
    <comment ref="O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</xdr:colOff>
                <xdr:row>25</xdr:row>
                <xdr:rowOff>5</xdr:rowOff>
              </xdr:from>
              <xdr:to>
                <xdr:col>17</xdr:col>
                <xdr:colOff>0</xdr:colOff>
                <xdr:row>33</xdr:row>
                <xdr:rowOff>7</xdr:rowOff>
              </xdr:to>
            </anchor>
          </commentPr>
        </mc:Choice>
        <mc:Fallback/>
      </mc:AlternateContent>
    </comment>
    <comment ref="P16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this figure includes Credit Trading -- Credit and Debt numbers have been consolidated as of December 2000 on the DPR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55</xdr:colOff>
                <xdr:row>14</xdr:row>
                <xdr:rowOff>5</xdr:rowOff>
              </xdr:from>
              <xdr:to>
                <xdr:col>17</xdr:col>
                <xdr:colOff>0</xdr:colOff>
                <xdr:row>22</xdr:row>
                <xdr:rowOff>12</xdr:rowOff>
              </xdr:to>
            </anchor>
          </commentPr>
        </mc:Choice>
        <mc:Fallback/>
      </mc:AlternateContent>
    </comment>
    <comment ref="P22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Matthew told Jennifer that there were no positions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17</xdr:colOff>
                <xdr:row>20</xdr:row>
                <xdr:rowOff>5</xdr:rowOff>
              </xdr:from>
              <xdr:to>
                <xdr:col>13</xdr:col>
                <xdr:colOff>62</xdr:colOff>
                <xdr:row>24</xdr:row>
                <xdr:rowOff>16</xdr:rowOff>
              </xdr:to>
            </anchor>
          </commentPr>
        </mc:Choice>
        <mc:Fallback/>
      </mc:AlternateContent>
    </comment>
    <comment ref="P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71</xdr:colOff>
                <xdr:row>25</xdr:row>
                <xdr:rowOff>5</xdr:rowOff>
              </xdr:from>
              <xdr:to>
                <xdr:col>20</xdr:col>
                <xdr:colOff>3</xdr:colOff>
                <xdr:row>33</xdr:row>
                <xdr:rowOff>7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35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29</xdr:row>
                <xdr:rowOff>13</xdr:rowOff>
              </xdr:from>
              <xdr:to>
                <xdr:col>4</xdr:col>
                <xdr:colOff>73</xdr:colOff>
                <xdr:row>38</xdr:row>
                <xdr:rowOff>8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11</xdr:colOff>
                <xdr:row>25</xdr:row>
                <xdr:rowOff>5</xdr:rowOff>
              </xdr:from>
              <xdr:to>
                <xdr:col>9</xdr:col>
                <xdr:colOff>17</xdr:colOff>
                <xdr:row>33</xdr:row>
                <xdr:rowOff>7</xdr:rowOff>
              </xdr:to>
            </anchor>
          </commentPr>
        </mc:Choice>
        <mc:Fallback/>
      </mc:AlternateContent>
    </comment>
    <comment ref="E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88</xdr:colOff>
                <xdr:row>25</xdr:row>
                <xdr:rowOff>5</xdr:rowOff>
              </xdr:from>
              <xdr:to>
                <xdr:col>8</xdr:col>
                <xdr:colOff>33</xdr:colOff>
                <xdr:row>33</xdr:row>
                <xdr:rowOff>7</xdr:rowOff>
              </xdr:to>
            </anchor>
          </commentPr>
        </mc:Choice>
        <mc:Fallback/>
      </mc:AlternateContent>
    </comment>
    <comment ref="F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14</xdr:colOff>
                <xdr:row>25</xdr:row>
                <xdr:rowOff>5</xdr:rowOff>
              </xdr:from>
              <xdr:to>
                <xdr:col>7</xdr:col>
                <xdr:colOff>30</xdr:colOff>
                <xdr:row>33</xdr:row>
                <xdr:rowOff>7</xdr:rowOff>
              </xdr:to>
            </anchor>
          </commentPr>
        </mc:Choice>
        <mc:Fallback/>
      </mc:AlternateContent>
    </comment>
    <comment ref="G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78</xdr:colOff>
                <xdr:row>25</xdr:row>
                <xdr:rowOff>5</xdr:rowOff>
              </xdr:from>
              <xdr:to>
                <xdr:col>8</xdr:col>
                <xdr:colOff>28</xdr:colOff>
                <xdr:row>33</xdr:row>
                <xdr:rowOff>7</xdr:rowOff>
              </xdr:to>
            </anchor>
          </commentPr>
        </mc:Choice>
        <mc:Fallback/>
      </mc:AlternateContent>
    </comment>
    <comment ref="H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78</xdr:colOff>
                <xdr:row>25</xdr:row>
                <xdr:rowOff>5</xdr:rowOff>
              </xdr:from>
              <xdr:to>
                <xdr:col>8</xdr:col>
                <xdr:colOff>49</xdr:colOff>
                <xdr:row>33</xdr:row>
                <xdr:rowOff>7</xdr:rowOff>
              </xdr:to>
            </anchor>
          </commentPr>
        </mc:Choice>
        <mc:Fallback/>
      </mc:AlternateContent>
    </comment>
    <comment ref="I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79</xdr:colOff>
                <xdr:row>25</xdr:row>
                <xdr:rowOff>5</xdr:rowOff>
              </xdr:from>
              <xdr:to>
                <xdr:col>9</xdr:col>
                <xdr:colOff>42</xdr:colOff>
                <xdr:row>33</xdr:row>
                <xdr:rowOff>7</xdr:rowOff>
              </xdr:to>
            </anchor>
          </commentPr>
        </mc:Choice>
        <mc:Fallback/>
      </mc:AlternateContent>
    </comment>
    <comment ref="J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85</xdr:colOff>
                <xdr:row>25</xdr:row>
                <xdr:rowOff>5</xdr:rowOff>
              </xdr:from>
              <xdr:to>
                <xdr:col>11</xdr:col>
                <xdr:colOff>49</xdr:colOff>
                <xdr:row>33</xdr:row>
                <xdr:rowOff>7</xdr:rowOff>
              </xdr:to>
            </anchor>
          </commentPr>
        </mc:Choice>
        <mc:Fallback/>
      </mc:AlternateContent>
    </comment>
    <comment ref="K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82</xdr:colOff>
                <xdr:row>25</xdr:row>
                <xdr:rowOff>5</xdr:rowOff>
              </xdr:from>
              <xdr:to>
                <xdr:col>11</xdr:col>
                <xdr:colOff>44</xdr:colOff>
                <xdr:row>33</xdr:row>
                <xdr:rowOff>7</xdr:rowOff>
              </xdr:to>
            </anchor>
          </commentPr>
        </mc:Choice>
        <mc:Fallback/>
      </mc:AlternateContent>
    </comment>
    <comment ref="L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82</xdr:colOff>
                <xdr:row>25</xdr:row>
                <xdr:rowOff>5</xdr:rowOff>
              </xdr:from>
              <xdr:to>
                <xdr:col>12</xdr:col>
                <xdr:colOff>46</xdr:colOff>
                <xdr:row>33</xdr:row>
                <xdr:rowOff>7</xdr:rowOff>
              </xdr:to>
            </anchor>
          </commentPr>
        </mc:Choice>
        <mc:Fallback/>
      </mc:AlternateContent>
    </comment>
    <comment ref="M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83</xdr:colOff>
                <xdr:row>25</xdr:row>
                <xdr:rowOff>5</xdr:rowOff>
              </xdr:from>
              <xdr:to>
                <xdr:col>15</xdr:col>
                <xdr:colOff>7</xdr:colOff>
                <xdr:row>33</xdr:row>
                <xdr:rowOff>7</xdr:rowOff>
              </xdr:to>
            </anchor>
          </commentPr>
        </mc:Choice>
        <mc:Fallback/>
      </mc:AlternateContent>
    </comment>
    <comment ref="N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88</xdr:colOff>
                <xdr:row>25</xdr:row>
                <xdr:rowOff>5</xdr:rowOff>
              </xdr:from>
              <xdr:to>
                <xdr:col>15</xdr:col>
                <xdr:colOff>33</xdr:colOff>
                <xdr:row>33</xdr:row>
                <xdr:rowOff>7</xdr:rowOff>
              </xdr:to>
            </anchor>
          </commentPr>
        </mc:Choice>
        <mc:Fallback/>
      </mc:AlternateContent>
    </comment>
    <comment ref="O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86</xdr:colOff>
                <xdr:row>25</xdr:row>
                <xdr:rowOff>5</xdr:rowOff>
              </xdr:from>
              <xdr:to>
                <xdr:col>16</xdr:col>
                <xdr:colOff>11</xdr:colOff>
                <xdr:row>33</xdr:row>
                <xdr:rowOff>7</xdr:rowOff>
              </xdr:to>
            </anchor>
          </commentPr>
        </mc:Choice>
        <mc:Fallback/>
      </mc:AlternateContent>
    </comment>
    <comment ref="P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65</xdr:colOff>
                <xdr:row>25</xdr:row>
                <xdr:rowOff>5</xdr:rowOff>
              </xdr:from>
              <xdr:to>
                <xdr:col>19</xdr:col>
                <xdr:colOff>88</xdr:colOff>
                <xdr:row>33</xdr:row>
                <xdr:rowOff>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<sst xmlns="http://schemas.openxmlformats.org/spreadsheetml/2006/main" count="736" uniqueCount="187">
  <si>
    <t xml:space="preserve">AVERAGE</t>
  </si>
  <si>
    <t xml:space="preserve">HIGH</t>
  </si>
  <si>
    <t xml:space="preserve">LOW</t>
  </si>
  <si>
    <t xml:space="preserve">DPR</t>
  </si>
  <si>
    <t xml:space="preserve">AGG_ECT</t>
  </si>
  <si>
    <t xml:space="preserve">TRADING</t>
  </si>
  <si>
    <t xml:space="preserve">COMMODITIES</t>
  </si>
  <si>
    <t xml:space="preserve">AGG_INDEX</t>
  </si>
  <si>
    <t xml:space="preserve">AGG_EUROPE</t>
  </si>
  <si>
    <t xml:space="preserve">WEATHER</t>
  </si>
  <si>
    <t xml:space="preserve">ENRON SOUTH AMERICA GAS</t>
  </si>
  <si>
    <t xml:space="preserve">ENRON SOUTH AMERICA POWER</t>
  </si>
  <si>
    <t xml:space="preserve">AUSTRALIA</t>
  </si>
  <si>
    <t xml:space="preserve">MIKE KIM 31902 (POWER ONLY; GAS IS ROLLING INTO AGG ECT)</t>
  </si>
  <si>
    <t xml:space="preserve">EES POWER</t>
  </si>
  <si>
    <t xml:space="preserve">MERRILL LYNCH</t>
  </si>
  <si>
    <t xml:space="preserve">IR</t>
  </si>
  <si>
    <t xml:space="preserve">FX</t>
  </si>
  <si>
    <t xml:space="preserve">STEVE ROSS</t>
  </si>
  <si>
    <t xml:space="preserve">ECM EQUITIES</t>
  </si>
  <si>
    <t xml:space="preserve">SECURITIES</t>
  </si>
  <si>
    <t xml:space="preserve">ENRON NORTH AMERICA FINANCIAL TRADING EQUITY</t>
  </si>
  <si>
    <t xml:space="preserve">ENRON NORTH AMERICA FINANCIAL TRADING DEBT</t>
  </si>
  <si>
    <t xml:space="preserve"> </t>
  </si>
  <si>
    <t xml:space="preserve">HUSNAIN MIRZA</t>
  </si>
  <si>
    <t xml:space="preserve">MERCHANT ASSETS</t>
  </si>
  <si>
    <t xml:space="preserve">PALADIN</t>
  </si>
  <si>
    <t xml:space="preserve">RHYTHMS</t>
  </si>
  <si>
    <t xml:space="preserve">TOTAL RETURN SWAPS</t>
  </si>
  <si>
    <t xml:space="preserve">TONY HARRIS</t>
  </si>
  <si>
    <t xml:space="preserve">AFFILIATE</t>
  </si>
  <si>
    <t xml:space="preserve">NON-TRADING</t>
  </si>
  <si>
    <t xml:space="preserve">GARY SHAW 503 464 8416 OR TERRI PESCHKA</t>
  </si>
  <si>
    <t xml:space="preserve">PGE</t>
  </si>
  <si>
    <t xml:space="preserve">BRENT CRUDE COMMODITY POSITIONS</t>
  </si>
  <si>
    <t xml:space="preserve">DAN FANCLER &amp; DEBBIE MOSELY</t>
  </si>
  <si>
    <t xml:space="preserve">ET&amp;S HEDGED AND OPEN POSITION</t>
  </si>
  <si>
    <t xml:space="preserve">TANYA TAMARCHENKO &amp; JEFF NOGID</t>
  </si>
  <si>
    <t xml:space="preserve">ECM IR</t>
  </si>
  <si>
    <t xml:space="preserve">ECM FX</t>
  </si>
  <si>
    <t xml:space="preserve">JILL ERWIN &amp; STEVE ROSS</t>
  </si>
  <si>
    <t xml:space="preserve">PHANTOM, JEDI, CONDOR</t>
  </si>
  <si>
    <t xml:space="preserve">TRADING COMMODITIES</t>
  </si>
  <si>
    <t xml:space="preserve">TRADING INTEREST RATES</t>
  </si>
  <si>
    <t xml:space="preserve">TRADING FOREIGN EXCHANGE</t>
  </si>
  <si>
    <t xml:space="preserve">TRADING SECURITIES</t>
  </si>
  <si>
    <t xml:space="preserve">NON-TRADING COMMODITIES</t>
  </si>
  <si>
    <t xml:space="preserve">NON-TRADING INTEREST RATES</t>
  </si>
  <si>
    <t xml:space="preserve">NON-TRADING FOREIGN EXCHANGE</t>
  </si>
  <si>
    <t xml:space="preserve">NON-TRADING SECURITIES</t>
  </si>
  <si>
    <t xml:space="preserve">TOTAL</t>
  </si>
  <si>
    <t xml:space="preserve">NOTE:  NUMBERS IN GRAY ARE EITHER ESTIMATES OR STRAIGHT-LINE CALCULATIONS.</t>
  </si>
  <si>
    <t xml:space="preserve">TC</t>
  </si>
  <si>
    <t xml:space="preserve">BANDWIDTH</t>
  </si>
  <si>
    <t xml:space="preserve">ENRON METALS</t>
  </si>
  <si>
    <t xml:space="preserve">PGE TRADING</t>
  </si>
  <si>
    <t xml:space="preserve">TI</t>
  </si>
  <si>
    <t xml:space="preserve">TF</t>
  </si>
  <si>
    <t xml:space="preserve">TS</t>
  </si>
  <si>
    <t xml:space="preserve">LEHMAN AND JEDI SWAPS ON ENE STOCK</t>
  </si>
  <si>
    <t xml:space="preserve">PGE NON TRADING</t>
  </si>
  <si>
    <t xml:space="preserve">NC</t>
  </si>
  <si>
    <t xml:space="preserve">NI</t>
  </si>
  <si>
    <t xml:space="preserve">NF</t>
  </si>
  <si>
    <t xml:space="preserve">PHANTOM</t>
  </si>
  <si>
    <t xml:space="preserve">NS</t>
  </si>
  <si>
    <t xml:space="preserve">OLD MERCHANT</t>
  </si>
  <si>
    <t xml:space="preserve">OLD TOTAL TRADING SECURITIES</t>
  </si>
  <si>
    <t xml:space="preserve">SEC VaR Calc and Reporting Template</t>
  </si>
  <si>
    <t xml:space="preserve">Description</t>
  </si>
  <si>
    <t xml:space="preserve">VaR</t>
  </si>
  <si>
    <t xml:space="preserve">Application</t>
  </si>
  <si>
    <t xml:space="preserve">Calc </t>
  </si>
  <si>
    <t xml:space="preserve">Data Provider</t>
  </si>
  <si>
    <t xml:space="preserve">CHANGE</t>
  </si>
  <si>
    <t xml:space="preserve">6/30 NUMBER</t>
  </si>
  <si>
    <t xml:space="preserve">98 NUMBER</t>
  </si>
  <si>
    <t xml:space="preserve">Trading</t>
  </si>
  <si>
    <t xml:space="preserve">Commodities</t>
  </si>
  <si>
    <t xml:space="preserve">NO PROBLEM</t>
  </si>
  <si>
    <t xml:space="preserve">GARY STANDLER GAVE TO ME FROM SOME SPREADSHEET</t>
  </si>
  <si>
    <t xml:space="preserve">GOT FROM DPR</t>
  </si>
  <si>
    <t xml:space="preserve">10/6 NUMBER (SINCE CALCULATED ONCE A WEEK) GOT FROM RUDI</t>
  </si>
  <si>
    <t xml:space="preserve">Rudi, Vlady, &amp; Nick (in Ted Murhphy's group)</t>
  </si>
  <si>
    <t xml:space="preserve">EES</t>
  </si>
  <si>
    <t xml:space="preserve">FROM MAY ON NO PROBLEM; BEFORE MAY NUMBERS MUST BE CALCULATED (WHICH MEANS TRACKING DOWN POSITIONS).  NOBODY SEEMS TO KNOW WELL, BUT I WILL ESTIMATE TWO WEEKS</t>
  </si>
  <si>
    <t xml:space="preserve">MIKE KIM 31902 SENT ME NEW NUMBERS (11/8); POWER ONLY; GAS IS ROLLING INTO AGG ECT</t>
  </si>
  <si>
    <t xml:space="preserve">HAVE FROM MAY; CALCULATIONS WOULD TAKE ABOUT ONE WEEK OF TIME FROM SHEILA'S GROUP; TO COLLECT DATA ANOTHER SIX DAYS.</t>
  </si>
  <si>
    <t xml:space="preserve">HAVE COMBINED VAR FOR 30TH, BUT NO BREAKDOWN, SO USED SAME PROPORTION AND CORRELATION (WHICH I BACKED OUT) AS THE FIRST.</t>
  </si>
  <si>
    <t xml:space="preserve">Securities</t>
  </si>
  <si>
    <t xml:space="preserve">HAVE FROM JUNE.  DOES NOT KNOW WHAT IT WOULD REQUIRE TO GET NUMBERS</t>
  </si>
  <si>
    <t xml:space="preserve">TOTAL VAR INCLUDING HEDGES TAKING THE 60% + 15% (DEREK TOLD ME)</t>
  </si>
  <si>
    <t xml:space="preserve">Steve Ross</t>
  </si>
  <si>
    <t xml:space="preserve">These numbers were combined in 6/30</t>
  </si>
  <si>
    <t xml:space="preserve">CALCULATIONS WOULD TAKE ABOUT FIVE WEEKS OF WORK</t>
  </si>
  <si>
    <t xml:space="preserve">HUSNAIN REVISED NUMBERS 11/8; USED ECONOMIC OWNERSHIP</t>
  </si>
  <si>
    <t xml:space="preserve">Husnain Mirza</t>
  </si>
  <si>
    <t xml:space="preserve">RYTHMS</t>
  </si>
  <si>
    <t xml:space="preserve">ABOUT 2 HOURS OF WORK</t>
  </si>
  <si>
    <t xml:space="preserve">STINSEN GIBNER GAVE ME A MODEL, WHICH I STRESSED IN MONTE CARLO: 8,000 SIMULATIONS STOCHASTIC GEOMETRIC BROWNIAN MOTION.</t>
  </si>
  <si>
    <t xml:space="preserve">ASSUMING HAVE DATA; ONE WEEK.</t>
  </si>
  <si>
    <t xml:space="preserve">INCLUDING BAMMEL 11/8; EXCLUDING ARTEMIS AND FIXING MODEL 11/10</t>
  </si>
  <si>
    <t xml:space="preserve">Rudi, Vlady, &amp; Nick</t>
  </si>
  <si>
    <t xml:space="preserve">Rick Carson</t>
  </si>
  <si>
    <t xml:space="preserve">Non-Trading</t>
  </si>
  <si>
    <t xml:space="preserve">NO PROBLEM; CAN'T FIND TONY ON DIRECTORY SO RUDI WILL CALL ME BACK</t>
  </si>
  <si>
    <t xml:space="preserve">TONY HARRIS CALLED; NO POSITIONS</t>
  </si>
  <si>
    <t xml:space="preserve">GARY SHAW 503 464 8416 (BECAUSE TERRI 8304 IS OUT)</t>
  </si>
  <si>
    <t xml:space="preserve">Terri Peschka</t>
  </si>
  <si>
    <t xml:space="preserve">MATTHEW ADAMS WILL CALC AND GET DATA FROM DAN AND DEBBIE</t>
  </si>
  <si>
    <t xml:space="preserve">DAN FANCLER</t>
  </si>
  <si>
    <t xml:space="preserve">Debbie Moseley</t>
  </si>
  <si>
    <t xml:space="preserve">These books were not included before</t>
  </si>
  <si>
    <t xml:space="preserve">JEFF CAN DO THE DATA (TWO DAYS); TANYA WOULD NEED A WEEK AFTERWARD</t>
  </si>
  <si>
    <t xml:space="preserve">Tanya Tamarchenko</t>
  </si>
  <si>
    <t xml:space="preserve">Jeff Nogid 34782 through Dart Arnaez 36427</t>
  </si>
  <si>
    <t xml:space="preserve">Jeff Nogid 34782 through Dart Arnaez 36426</t>
  </si>
  <si>
    <t xml:space="preserve">SEC VaR Matrix/Reporting Template As Of 9/30/99</t>
  </si>
  <si>
    <t xml:space="preserve">Interest Rates</t>
  </si>
  <si>
    <t xml:space="preserve">Foreign Exchange</t>
  </si>
  <si>
    <t xml:space="preserve">sum squaring all</t>
  </si>
  <si>
    <t xml:space="preserve">Item</t>
  </si>
  <si>
    <t xml:space="preserve">Calc System</t>
  </si>
  <si>
    <t xml:space="preserve">Calc Model</t>
  </si>
  <si>
    <t xml:space="preserve">Calc                         Agent</t>
  </si>
  <si>
    <t xml:space="preserve">Data Contacts</t>
  </si>
  <si>
    <t xml:space="preserve">Trading: Commodities</t>
  </si>
  <si>
    <t xml:space="preserve">GRMS</t>
  </si>
  <si>
    <t xml:space="preserve">vatr 2</t>
  </si>
  <si>
    <t xml:space="preserve">Rudi Zipter</t>
  </si>
  <si>
    <t xml:space="preserve">na</t>
  </si>
  <si>
    <t xml:space="preserve">RM Group</t>
  </si>
  <si>
    <t xml:space="preserve">Weather</t>
  </si>
  <si>
    <t xml:space="preserve">historic</t>
  </si>
  <si>
    <t xml:space="preserve">Arg Power</t>
  </si>
  <si>
    <t xml:space="preserve">Arg Gas</t>
  </si>
  <si>
    <t xml:space="preserve">Combined</t>
  </si>
  <si>
    <t xml:space="preserve">Argentina</t>
  </si>
  <si>
    <t xml:space="preserve">Ad-Hoc</t>
  </si>
  <si>
    <t xml:space="preserve">vatr 1</t>
  </si>
  <si>
    <t xml:space="preserve">Vladimir Gorny</t>
  </si>
  <si>
    <t xml:space="preserve">Australia</t>
  </si>
  <si>
    <t xml:space="preserve">EES Power</t>
  </si>
  <si>
    <t xml:space="preserve">EES Gas</t>
  </si>
  <si>
    <t xml:space="preserve">David Herleth</t>
  </si>
  <si>
    <t xml:space="preserve">Trading: IR</t>
  </si>
  <si>
    <t xml:space="preserve">Niel Hong / Micheal Kim</t>
  </si>
  <si>
    <t xml:space="preserve">Trading: FX</t>
  </si>
  <si>
    <t xml:space="preserve">ECM: Equities</t>
  </si>
  <si>
    <t xml:space="preserve">Trading: Securities</t>
  </si>
  <si>
    <t xml:space="preserve">varcov</t>
  </si>
  <si>
    <t xml:space="preserve">Monty McMahen</t>
  </si>
  <si>
    <t xml:space="preserve">Merchant Assets</t>
  </si>
  <si>
    <t xml:space="preserve">Samantha Davidson</t>
  </si>
  <si>
    <t xml:space="preserve">Rick Carson / Lynn Bellinghausen</t>
  </si>
  <si>
    <t xml:space="preserve">Aff Gas</t>
  </si>
  <si>
    <t xml:space="preserve">Aff Liquids</t>
  </si>
  <si>
    <t xml:space="preserve">Total Return Swaps</t>
  </si>
  <si>
    <t xml:space="preserve">Ravi Thurasingham</t>
  </si>
  <si>
    <t xml:space="preserve">Non-Trading: Commodities</t>
  </si>
  <si>
    <t xml:space="preserve">Karla Compean</t>
  </si>
  <si>
    <t xml:space="preserve">Scott Pleus</t>
  </si>
  <si>
    <t xml:space="preserve">PGE Power</t>
  </si>
  <si>
    <t xml:space="preserve">PGE Gas</t>
  </si>
  <si>
    <t xml:space="preserve">Kristin Stathis</t>
  </si>
  <si>
    <t xml:space="preserve">ECM: FX</t>
  </si>
  <si>
    <t xml:space="preserve">Non-Trading: FX</t>
  </si>
  <si>
    <t xml:space="preserve">Jill Erwin / Jeff Nogin</t>
  </si>
  <si>
    <t xml:space="preserve">ECM: IR</t>
  </si>
  <si>
    <t xml:space="preserve">Non-Trading: IR</t>
  </si>
  <si>
    <t xml:space="preserve">SEC VaR Matrix/Reporting Template As Of 30-JUN-99</t>
  </si>
  <si>
    <t xml:space="preserve">SUM SQUARE TOTAL</t>
  </si>
  <si>
    <t xml:space="preserve">Change in Trading</t>
  </si>
  <si>
    <t xml:space="preserve">Change in Non-Trading</t>
  </si>
  <si>
    <t xml:space="preserve">SEC VaR Matrix/Reporting Template As Of 31-MAR-99</t>
  </si>
  <si>
    <t xml:space="preserve">FINAL</t>
  </si>
  <si>
    <t xml:space="preserve">SEC VaR</t>
  </si>
  <si>
    <t xml:space="preserve">Excel</t>
  </si>
  <si>
    <t xml:space="preserve">Kevin Radus</t>
  </si>
  <si>
    <t xml:space="preserve">Jeff Nogin</t>
  </si>
  <si>
    <t xml:space="preserve">Jill Erwin</t>
  </si>
  <si>
    <t xml:space="preserve">Ken Cho</t>
  </si>
  <si>
    <t xml:space="preserve">?</t>
  </si>
  <si>
    <t xml:space="preserve">SEC VaR Matrix/Reporting Template As Of 31-DEC-98</t>
  </si>
  <si>
    <t xml:space="preserve">Azurix, EOTT, EOT do not have to be included in SEC VaR because not consolidated subsidiaries.</t>
  </si>
  <si>
    <t xml:space="preserve">MAIL TO</t>
  </si>
  <si>
    <t xml:space="preserve">Georgeanne Hodges/HOU/ECT@ECT, Jan Johnson/GPGFIN/Enron@ENRON, Sally Beck/HOU/ECT@ECT, Cassandra Schultz/NA/Enron@Enron, Shona Wilson/NA/Enron@Enron; Gary Peng/GPGFIN/Enron@ENRON, Jennifer Nguyen/Corp/Enron@ENRON,  Hope Vargas/HOU/ECT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</si>
</sst>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m\-yyyy"/>
    <numFmt numFmtId="166" formatCode="[$-409]mmm\-yy"/>
    <numFmt numFmtId="167" formatCode="_(\$* #,##0.00_);_(\$* \(#,##0.00\);_(\$* \-??_);_(@_)"/>
    <numFmt numFmtId="168" formatCode="_(\$* #,##0_);_(\$* \(#,##0\);_(\$* \-??_);_(@_)"/>
    <numFmt numFmtId="169" formatCode="#,##0"/>
    <numFmt numFmtId="170" formatCode="[RED]#,##0;\-#,##0"/>
    <numFmt numFmtId="171" formatCode="_(* #,##0.00_);_(* \(#,##0.00\);_(* \-??_);_(@_)"/>
    <numFmt numFmtId="172" formatCode="_(* #,##0_);_(* \(#,##0\);_(* \-??_);_(@_)"/>
    <numFmt numFmtId="173" formatCode="[$-409]d\-mmm\-yy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.5"/>
      <name val="MS Sans Serif"/>
      <family val="0"/>
    </font>
    <font>
      <sz val="10"/>
      <color rgb="FF000000"/>
      <name val="MS Sans Serif"/>
      <family val="0"/>
    </font>
    <font>
      <sz val="11"/>
      <name val="CG Times (WN)"/>
      <family val="0"/>
    </font>
    <font>
      <sz val="8"/>
      <name val="Arial"/>
      <family val="2"/>
    </font>
    <font>
      <b val="true"/>
      <sz val="10"/>
      <name val="Arial"/>
      <family val="2"/>
    </font>
    <font>
      <b val="true"/>
      <sz val="10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 val="true"/>
      <sz val="8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0"/>
      <color rgb="FF3366FF"/>
      <name val="Arial"/>
      <family val="2"/>
    </font>
    <font>
      <b val="true"/>
      <sz val="10"/>
      <color rgb="FF3366FF"/>
      <name val="Arial"/>
      <family val="2"/>
    </font>
    <font>
      <b val="true"/>
      <sz val="12"/>
      <name val="Arial"/>
      <family val="2"/>
    </font>
    <font>
      <sz val="8"/>
      <color rgb="FFFF0000"/>
      <name val="Arial"/>
      <family val="2"/>
    </font>
    <font>
      <sz val="8"/>
      <color rgb="FF0000FF"/>
      <name val="Arial"/>
      <family val="2"/>
    </font>
    <font>
      <i val="true"/>
      <sz val="8"/>
      <name val="Arial"/>
      <family val="2"/>
    </font>
    <font>
      <b val="true"/>
      <i val="true"/>
      <sz val="8"/>
      <name val="Arial"/>
      <family val="2"/>
    </font>
    <font>
      <i val="true"/>
      <sz val="8"/>
      <color rgb="FF008080"/>
      <name val="Arial"/>
      <family val="2"/>
    </font>
    <font>
      <b val="true"/>
      <i val="true"/>
      <sz val="8"/>
      <color rgb="FF008080"/>
      <name val="Arial"/>
      <family val="2"/>
    </font>
    <font>
      <b val="true"/>
      <sz val="10"/>
      <color rgb="FFFFFFFF"/>
      <name val="Arial"/>
      <family val="2"/>
    </font>
    <font>
      <sz val="8.25"/>
      <name val="Arial"/>
      <family val="0"/>
    </font>
  </fonts>
  <fills count="11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  <fill>
      <patternFill patternType="solid">
        <fgColor rgb="FF00FF00"/>
        <bgColor rgb="FF33CCCC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CC00"/>
        <bgColor rgb="FFFFFF00"/>
      </patternFill>
    </fill>
    <fill>
      <patternFill patternType="solid">
        <fgColor rgb="FF969696"/>
        <bgColor rgb="FF808080"/>
      </patternFill>
    </fill>
    <fill>
      <patternFill patternType="solid">
        <fgColor rgb="FF99CCFF"/>
        <bgColor rgb="FFCCCCFF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9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8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9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8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8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8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8" fillId="5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8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9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9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13" fillId="5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3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2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2" fillId="0" borderId="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3" fillId="5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3" fillId="5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5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5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2" fillId="0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3" fillId="5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3" fillId="5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5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5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2" fillId="0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2" fillId="0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3" fillId="5" borderId="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3" fillId="5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5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5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2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2" fillId="0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2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9" fontId="13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8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8" fillId="5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9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9" fontId="17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2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8" fillId="2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5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8" fillId="5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7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7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5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7" fillId="5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9" fillId="7" borderId="17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7" fillId="2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7" fillId="2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7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9" fillId="8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9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7" fillId="5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5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7" fillId="5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7" fillId="5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5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7" fillId="5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0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2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3" fillId="2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20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7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7" fillId="2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7" fillId="2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7" fillId="5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7" fillId="2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7" fillId="2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7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2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23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3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5" fillId="9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1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1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8" fillId="1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9" fillId="1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9" fillId="1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13" fillId="1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3" fillId="1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1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1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3" fillId="10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3" fillId="1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1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1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3" fillId="10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3" fillId="1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1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1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3" fillId="10" borderId="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3" fillId="1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1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1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3" fillId="1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9" fontId="13" fillId="1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8" fillId="1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8" fillId="1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9" fontId="17" fillId="1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1999" xfId="20"/>
    <cellStyle name="Normal_1999-09 TRS VaR Calculator (Ravi's Model)" xfId="21"/>
    <cellStyle name="Normal_2000" xfId="22"/>
    <cellStyle name="Normal_Sheet1" xfId="23"/>
    <cellStyle name="Normal_SWAPS (2)" xfId="24"/>
    <cellStyle name="Normal_~0064853" xfId="2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118242444307809"/>
          <c:y val="0.0165661652640647"/>
          <c:w val="0.988175755569219"/>
          <c:h val="0.983433834735935"/>
        </c:manualLayout>
      </c:layout>
      <c:lineChart>
        <c:grouping val="standard"/>
        <c:varyColors val="0"/>
        <c:ser>
          <c:idx val="0"/>
          <c:order val="0"/>
          <c:tx>
            <c:strRef>
              <c:f>'2000'!$A$28</c:f>
              <c:strCache>
                <c:ptCount val="1"/>
                <c:pt idx="0">
                  <c:v>TRADING INTEREST RATES</c:v>
                </c:pt>
              </c:strCache>
            </c:strRef>
          </c:tx>
          <c:spPr>
            <a:solidFill>
              <a:srgbClr val="ff9900"/>
            </a:solidFill>
            <a:ln w="37800">
              <a:solidFill>
                <a:srgbClr val="ff99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'2000'!$C$1:$P$1</c:f>
              <c:strCache>
                <c:ptCount val="14"/>
                <c:pt idx="0">
                  <c:v>Dec-1999</c:v>
                </c:pt>
                <c:pt idx="1">
                  <c:v/>
                </c:pt>
                <c:pt idx="2">
                  <c:v>Jan-2000</c:v>
                </c:pt>
                <c:pt idx="3">
                  <c:v>Feb-2000</c:v>
                </c:pt>
                <c:pt idx="4">
                  <c:v>Mar-2000</c:v>
                </c:pt>
                <c:pt idx="5">
                  <c:v>Apr-2000</c:v>
                </c:pt>
                <c:pt idx="6">
                  <c:v>May-2000</c:v>
                </c:pt>
                <c:pt idx="7">
                  <c:v>Jun-2000</c:v>
                </c:pt>
                <c:pt idx="8">
                  <c:v>Jul-2000</c:v>
                </c:pt>
                <c:pt idx="9">
                  <c:v>Aug-2000</c:v>
                </c:pt>
                <c:pt idx="10">
                  <c:v>Sep-2000</c:v>
                </c:pt>
                <c:pt idx="11">
                  <c:v>Oct-2000</c:v>
                </c:pt>
                <c:pt idx="12">
                  <c:v>Nov-2000</c:v>
                </c:pt>
                <c:pt idx="13">
                  <c:v>Dec-2000</c:v>
                </c:pt>
              </c:strCache>
            </c:strRef>
          </c:cat>
          <c:val>
            <c:numRef>
              <c:f>'2000'!$C$28:$P$28</c:f>
              <c:numCache>
                <c:formatCode>#,##0</c:formatCode>
                <c:ptCount val="14"/>
                <c:pt idx="0">
                  <c:v>402833.5</c:v>
                </c:pt>
                <c:pt idx="2">
                  <c:v>337257</c:v>
                </c:pt>
                <c:pt idx="3">
                  <c:v>198338.76</c:v>
                </c:pt>
                <c:pt idx="4">
                  <c:v>44211.57</c:v>
                </c:pt>
                <c:pt idx="5">
                  <c:v>34722.6</c:v>
                </c:pt>
                <c:pt idx="6">
                  <c:v>153500.99</c:v>
                </c:pt>
                <c:pt idx="7">
                  <c:v>68031.61</c:v>
                </c:pt>
                <c:pt idx="8">
                  <c:v>106613.64</c:v>
                </c:pt>
                <c:pt idx="9">
                  <c:v>129377.47</c:v>
                </c:pt>
                <c:pt idx="10">
                  <c:v>58028.31</c:v>
                </c:pt>
                <c:pt idx="11">
                  <c:v>194706.94</c:v>
                </c:pt>
                <c:pt idx="12">
                  <c:v>50966.9</c:v>
                </c:pt>
                <c:pt idx="13">
                  <c:v>252688.76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'2000'!$A$29</c:f>
              <c:strCache>
                <c:ptCount val="1"/>
                <c:pt idx="0">
                  <c:v>TRADING FOREIGN EXCHANGE</c:v>
                </c:pt>
              </c:strCache>
            </c:strRef>
          </c:tx>
          <c:spPr>
            <a:solidFill>
              <a:srgbClr val="339966"/>
            </a:solidFill>
            <a:ln w="37800">
              <a:solidFill>
                <a:srgbClr val="33996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'2000'!$C$1:$P$1</c:f>
              <c:strCache>
                <c:ptCount val="14"/>
                <c:pt idx="0">
                  <c:v>Dec-1999</c:v>
                </c:pt>
                <c:pt idx="1">
                  <c:v/>
                </c:pt>
                <c:pt idx="2">
                  <c:v>Jan-2000</c:v>
                </c:pt>
                <c:pt idx="3">
                  <c:v>Feb-2000</c:v>
                </c:pt>
                <c:pt idx="4">
                  <c:v>Mar-2000</c:v>
                </c:pt>
                <c:pt idx="5">
                  <c:v>Apr-2000</c:v>
                </c:pt>
                <c:pt idx="6">
                  <c:v>May-2000</c:v>
                </c:pt>
                <c:pt idx="7">
                  <c:v>Jun-2000</c:v>
                </c:pt>
                <c:pt idx="8">
                  <c:v>Jul-2000</c:v>
                </c:pt>
                <c:pt idx="9">
                  <c:v>Aug-2000</c:v>
                </c:pt>
                <c:pt idx="10">
                  <c:v>Sep-2000</c:v>
                </c:pt>
                <c:pt idx="11">
                  <c:v>Oct-2000</c:v>
                </c:pt>
                <c:pt idx="12">
                  <c:v>Nov-2000</c:v>
                </c:pt>
                <c:pt idx="13">
                  <c:v>Dec-2000</c:v>
                </c:pt>
              </c:strCache>
            </c:strRef>
          </c:cat>
          <c:val>
            <c:numRef>
              <c:f>'2000'!$C$29:$P$29</c:f>
              <c:numCache>
                <c:formatCode>#,##0</c:formatCode>
                <c:ptCount val="14"/>
                <c:pt idx="0">
                  <c:v>88015.32</c:v>
                </c:pt>
                <c:pt idx="2">
                  <c:v>23005</c:v>
                </c:pt>
                <c:pt idx="3">
                  <c:v>475061.02</c:v>
                </c:pt>
                <c:pt idx="4">
                  <c:v>140591.07</c:v>
                </c:pt>
                <c:pt idx="5">
                  <c:v>94820.49</c:v>
                </c:pt>
                <c:pt idx="6">
                  <c:v>24845.1</c:v>
                </c:pt>
                <c:pt idx="7">
                  <c:v>45618.29</c:v>
                </c:pt>
                <c:pt idx="8">
                  <c:v>28666.7</c:v>
                </c:pt>
                <c:pt idx="9">
                  <c:v>123803.19</c:v>
                </c:pt>
                <c:pt idx="10">
                  <c:v>54812.6</c:v>
                </c:pt>
                <c:pt idx="11">
                  <c:v>199235.86</c:v>
                </c:pt>
                <c:pt idx="12">
                  <c:v>34587.55</c:v>
                </c:pt>
                <c:pt idx="13">
                  <c:v>236780.04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'2000'!$A$31</c:f>
              <c:strCache>
                <c:ptCount val="1"/>
                <c:pt idx="0">
                  <c:v>NON-TRADING COMMODITIES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'2000'!$C$1:$P$1</c:f>
              <c:strCache>
                <c:ptCount val="14"/>
                <c:pt idx="0">
                  <c:v>Dec-1999</c:v>
                </c:pt>
                <c:pt idx="1">
                  <c:v/>
                </c:pt>
                <c:pt idx="2">
                  <c:v>Jan-2000</c:v>
                </c:pt>
                <c:pt idx="3">
                  <c:v>Feb-2000</c:v>
                </c:pt>
                <c:pt idx="4">
                  <c:v>Mar-2000</c:v>
                </c:pt>
                <c:pt idx="5">
                  <c:v>Apr-2000</c:v>
                </c:pt>
                <c:pt idx="6">
                  <c:v>May-2000</c:v>
                </c:pt>
                <c:pt idx="7">
                  <c:v>Jun-2000</c:v>
                </c:pt>
                <c:pt idx="8">
                  <c:v>Jul-2000</c:v>
                </c:pt>
                <c:pt idx="9">
                  <c:v>Aug-2000</c:v>
                </c:pt>
                <c:pt idx="10">
                  <c:v>Sep-2000</c:v>
                </c:pt>
                <c:pt idx="11">
                  <c:v>Oct-2000</c:v>
                </c:pt>
                <c:pt idx="12">
                  <c:v>Nov-2000</c:v>
                </c:pt>
                <c:pt idx="13">
                  <c:v>Dec-2000</c:v>
                </c:pt>
              </c:strCache>
            </c:strRef>
          </c:cat>
          <c:val>
            <c:numRef>
              <c:f>'2000'!$C$31:$P$31</c:f>
              <c:numCache>
                <c:formatCode>#,##0</c:formatCode>
                <c:ptCount val="14"/>
                <c:pt idx="0">
                  <c:v>1388846.83526334</c:v>
                </c:pt>
                <c:pt idx="2">
                  <c:v>1746877.99033619</c:v>
                </c:pt>
                <c:pt idx="3">
                  <c:v>1787825.09354383</c:v>
                </c:pt>
                <c:pt idx="4">
                  <c:v>1609436.39929076</c:v>
                </c:pt>
                <c:pt idx="5">
                  <c:v>1735166.91833408</c:v>
                </c:pt>
                <c:pt idx="6">
                  <c:v>2181106.99868805</c:v>
                </c:pt>
                <c:pt idx="7">
                  <c:v>5095712.75724388</c:v>
                </c:pt>
                <c:pt idx="8">
                  <c:v>4095454.50341351</c:v>
                </c:pt>
                <c:pt idx="9">
                  <c:v>2235325.23880687</c:v>
                </c:pt>
                <c:pt idx="10">
                  <c:v>1974826.12315768</c:v>
                </c:pt>
                <c:pt idx="11">
                  <c:v>1947269.5496233</c:v>
                </c:pt>
                <c:pt idx="12">
                  <c:v>1664559.06827424</c:v>
                </c:pt>
                <c:pt idx="13">
                  <c:v>2442919.85491913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'2000'!$A$32</c:f>
              <c:strCache>
                <c:ptCount val="1"/>
                <c:pt idx="0">
                  <c:v>NON-TRADING INTEREST RATES</c:v>
                </c:pt>
              </c:strCache>
            </c:strRef>
          </c:tx>
          <c:spPr>
            <a:solidFill>
              <a:srgbClr val="ff9900"/>
            </a:solidFill>
            <a:ln w="12600">
              <a:solidFill>
                <a:srgbClr val="ff99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'2000'!$C$1:$P$1</c:f>
              <c:strCache>
                <c:ptCount val="14"/>
                <c:pt idx="0">
                  <c:v>Dec-1999</c:v>
                </c:pt>
                <c:pt idx="1">
                  <c:v/>
                </c:pt>
                <c:pt idx="2">
                  <c:v>Jan-2000</c:v>
                </c:pt>
                <c:pt idx="3">
                  <c:v>Feb-2000</c:v>
                </c:pt>
                <c:pt idx="4">
                  <c:v>Mar-2000</c:v>
                </c:pt>
                <c:pt idx="5">
                  <c:v>Apr-2000</c:v>
                </c:pt>
                <c:pt idx="6">
                  <c:v>May-2000</c:v>
                </c:pt>
                <c:pt idx="7">
                  <c:v>Jun-2000</c:v>
                </c:pt>
                <c:pt idx="8">
                  <c:v>Jul-2000</c:v>
                </c:pt>
                <c:pt idx="9">
                  <c:v>Aug-2000</c:v>
                </c:pt>
                <c:pt idx="10">
                  <c:v>Sep-2000</c:v>
                </c:pt>
                <c:pt idx="11">
                  <c:v>Oct-2000</c:v>
                </c:pt>
                <c:pt idx="12">
                  <c:v>Nov-2000</c:v>
                </c:pt>
                <c:pt idx="13">
                  <c:v>Dec-2000</c:v>
                </c:pt>
              </c:strCache>
            </c:strRef>
          </c:cat>
          <c:val>
            <c:numRef>
              <c:f>'2000'!$C$32:$P$32</c:f>
              <c:numCache>
                <c:formatCode>#,##0</c:formatCode>
                <c:ptCount val="14"/>
                <c:pt idx="0">
                  <c:v>1745908.45</c:v>
                </c:pt>
                <c:pt idx="2">
                  <c:v>1633506.52</c:v>
                </c:pt>
                <c:pt idx="3">
                  <c:v>1654695.87</c:v>
                </c:pt>
                <c:pt idx="4">
                  <c:v>1092013.53</c:v>
                </c:pt>
                <c:pt idx="5">
                  <c:v>1030597.8</c:v>
                </c:pt>
                <c:pt idx="6">
                  <c:v>1001385.49</c:v>
                </c:pt>
                <c:pt idx="7">
                  <c:v>1006790.08</c:v>
                </c:pt>
                <c:pt idx="8">
                  <c:v>976871.77</c:v>
                </c:pt>
                <c:pt idx="9">
                  <c:v>920897.47</c:v>
                </c:pt>
                <c:pt idx="10">
                  <c:v>942823.63</c:v>
                </c:pt>
                <c:pt idx="11">
                  <c:v>861596.36</c:v>
                </c:pt>
                <c:pt idx="12">
                  <c:v>865780.66</c:v>
                </c:pt>
                <c:pt idx="13">
                  <c:v>853.04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'2000'!$A$33</c:f>
              <c:strCache>
                <c:ptCount val="1"/>
                <c:pt idx="0">
                  <c:v>NON-TRADING FOREIGN EXCHANGE</c:v>
                </c:pt>
              </c:strCache>
            </c:strRef>
          </c:tx>
          <c:spPr>
            <a:solidFill>
              <a:srgbClr val="339966"/>
            </a:solidFill>
            <a:ln w="12600">
              <a:solidFill>
                <a:srgbClr val="33996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'2000'!$C$1:$P$1</c:f>
              <c:strCache>
                <c:ptCount val="14"/>
                <c:pt idx="0">
                  <c:v>Dec-1999</c:v>
                </c:pt>
                <c:pt idx="1">
                  <c:v/>
                </c:pt>
                <c:pt idx="2">
                  <c:v>Jan-2000</c:v>
                </c:pt>
                <c:pt idx="3">
                  <c:v>Feb-2000</c:v>
                </c:pt>
                <c:pt idx="4">
                  <c:v>Mar-2000</c:v>
                </c:pt>
                <c:pt idx="5">
                  <c:v>Apr-2000</c:v>
                </c:pt>
                <c:pt idx="6">
                  <c:v>May-2000</c:v>
                </c:pt>
                <c:pt idx="7">
                  <c:v>Jun-2000</c:v>
                </c:pt>
                <c:pt idx="8">
                  <c:v>Jul-2000</c:v>
                </c:pt>
                <c:pt idx="9">
                  <c:v>Aug-2000</c:v>
                </c:pt>
                <c:pt idx="10">
                  <c:v>Sep-2000</c:v>
                </c:pt>
                <c:pt idx="11">
                  <c:v>Oct-2000</c:v>
                </c:pt>
                <c:pt idx="12">
                  <c:v>Nov-2000</c:v>
                </c:pt>
                <c:pt idx="13">
                  <c:v>Dec-2000</c:v>
                </c:pt>
              </c:strCache>
            </c:strRef>
          </c:cat>
          <c:val>
            <c:numRef>
              <c:f>'2000'!$C$33:$P$33</c:f>
              <c:numCache>
                <c:formatCode>#,##0</c:formatCode>
                <c:ptCount val="14"/>
                <c:pt idx="0">
                  <c:v>3589218.36</c:v>
                </c:pt>
                <c:pt idx="2">
                  <c:v>4053418.52</c:v>
                </c:pt>
                <c:pt idx="3">
                  <c:v>3993940.33</c:v>
                </c:pt>
                <c:pt idx="4">
                  <c:v>5162478.12</c:v>
                </c:pt>
                <c:pt idx="5">
                  <c:v>5256057.14</c:v>
                </c:pt>
                <c:pt idx="6">
                  <c:v>9779357.93</c:v>
                </c:pt>
                <c:pt idx="7">
                  <c:v>9961765.73</c:v>
                </c:pt>
                <c:pt idx="8">
                  <c:v>9622113.8</c:v>
                </c:pt>
                <c:pt idx="9">
                  <c:v>9797984.01</c:v>
                </c:pt>
                <c:pt idx="10">
                  <c:v>9716361.37</c:v>
                </c:pt>
                <c:pt idx="11">
                  <c:v>9573588.16</c:v>
                </c:pt>
                <c:pt idx="12">
                  <c:v>8367919.62</c:v>
                </c:pt>
                <c:pt idx="13">
                  <c:v>7545462.57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'2000'!$A$34</c:f>
              <c:strCache>
                <c:ptCount val="1"/>
                <c:pt idx="0">
                  <c:v>NON-TRADING SECURITIES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'2000'!$C$1:$P$1</c:f>
              <c:strCache>
                <c:ptCount val="14"/>
                <c:pt idx="0">
                  <c:v>Dec-1999</c:v>
                </c:pt>
                <c:pt idx="1">
                  <c:v/>
                </c:pt>
                <c:pt idx="2">
                  <c:v>Jan-2000</c:v>
                </c:pt>
                <c:pt idx="3">
                  <c:v>Feb-2000</c:v>
                </c:pt>
                <c:pt idx="4">
                  <c:v>Mar-2000</c:v>
                </c:pt>
                <c:pt idx="5">
                  <c:v>Apr-2000</c:v>
                </c:pt>
                <c:pt idx="6">
                  <c:v>May-2000</c:v>
                </c:pt>
                <c:pt idx="7">
                  <c:v>Jun-2000</c:v>
                </c:pt>
                <c:pt idx="8">
                  <c:v>Jul-2000</c:v>
                </c:pt>
                <c:pt idx="9">
                  <c:v>Aug-2000</c:v>
                </c:pt>
                <c:pt idx="10">
                  <c:v>Sep-2000</c:v>
                </c:pt>
                <c:pt idx="11">
                  <c:v>Oct-2000</c:v>
                </c:pt>
                <c:pt idx="12">
                  <c:v>Nov-2000</c:v>
                </c:pt>
                <c:pt idx="13">
                  <c:v>Dec-2000</c:v>
                </c:pt>
              </c:strCache>
            </c:strRef>
          </c:cat>
          <c:val>
            <c:numRef>
              <c:f>'2000'!$C$34:$P$34</c:f>
              <c:numCache>
                <c:formatCode>#,##0</c:formatCode>
                <c:ptCount val="14"/>
                <c:pt idx="0">
                  <c:v>2833349.55718782</c:v>
                </c:pt>
                <c:pt idx="2">
                  <c:v>6484975.50859392</c:v>
                </c:pt>
                <c:pt idx="3">
                  <c:v>6063146.14129057</c:v>
                </c:pt>
                <c:pt idx="4">
                  <c:v>5869876.95198732</c:v>
                </c:pt>
                <c:pt idx="5">
                  <c:v>5138342.97330066</c:v>
                </c:pt>
                <c:pt idx="6">
                  <c:v>5035345.99894261</c:v>
                </c:pt>
                <c:pt idx="7">
                  <c:v>4637306.76616781</c:v>
                </c:pt>
                <c:pt idx="8">
                  <c:v>5935964.62873871</c:v>
                </c:pt>
                <c:pt idx="9">
                  <c:v>6038105.51134696</c:v>
                </c:pt>
                <c:pt idx="10">
                  <c:v>5798342.5759273</c:v>
                </c:pt>
                <c:pt idx="11">
                  <c:v>6005385.00755401</c:v>
                </c:pt>
                <c:pt idx="12">
                  <c:v>6354009.55613344</c:v>
                </c:pt>
                <c:pt idx="13">
                  <c:v>6768797.85209671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3822444"/>
        <c:axId val="91006615"/>
      </c:lineChart>
      <c:lineChart>
        <c:grouping val="standard"/>
        <c:varyColors val="0"/>
        <c:ser>
          <c:idx val="6"/>
          <c:order val="6"/>
          <c:tx>
            <c:strRef>
              <c:f>'2000'!$A$27</c:f>
              <c:strCache>
                <c:ptCount val="1"/>
                <c:pt idx="0">
                  <c:v>TRADING COMMODITIES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'2000'!$C$1:$P$1</c:f>
              <c:strCache>
                <c:ptCount val="14"/>
                <c:pt idx="0">
                  <c:v>Dec-1999</c:v>
                </c:pt>
                <c:pt idx="1">
                  <c:v/>
                </c:pt>
                <c:pt idx="2">
                  <c:v>Jan-2000</c:v>
                </c:pt>
                <c:pt idx="3">
                  <c:v>Feb-2000</c:v>
                </c:pt>
                <c:pt idx="4">
                  <c:v>Mar-2000</c:v>
                </c:pt>
                <c:pt idx="5">
                  <c:v>Apr-2000</c:v>
                </c:pt>
                <c:pt idx="6">
                  <c:v>May-2000</c:v>
                </c:pt>
                <c:pt idx="7">
                  <c:v>Jun-2000</c:v>
                </c:pt>
                <c:pt idx="8">
                  <c:v>Jul-2000</c:v>
                </c:pt>
                <c:pt idx="9">
                  <c:v>Aug-2000</c:v>
                </c:pt>
                <c:pt idx="10">
                  <c:v>Sep-2000</c:v>
                </c:pt>
                <c:pt idx="11">
                  <c:v>Oct-2000</c:v>
                </c:pt>
                <c:pt idx="12">
                  <c:v>Nov-2000</c:v>
                </c:pt>
                <c:pt idx="13">
                  <c:v>Dec-2000</c:v>
                </c:pt>
              </c:strCache>
            </c:strRef>
          </c:cat>
          <c:val>
            <c:numRef>
              <c:f>'2000'!$C$27:$P$27</c:f>
              <c:numCache>
                <c:formatCode>#,##0</c:formatCode>
                <c:ptCount val="14"/>
                <c:pt idx="0">
                  <c:v>20968806.4571575</c:v>
                </c:pt>
                <c:pt idx="2">
                  <c:v>27474698.3682337</c:v>
                </c:pt>
                <c:pt idx="3">
                  <c:v>22770822.4825345</c:v>
                </c:pt>
                <c:pt idx="4">
                  <c:v>32047743.1970066</c:v>
                </c:pt>
                <c:pt idx="5">
                  <c:v>50357057.2915891</c:v>
                </c:pt>
                <c:pt idx="6">
                  <c:v>49724127.3838948</c:v>
                </c:pt>
                <c:pt idx="7">
                  <c:v>52983009.8853113</c:v>
                </c:pt>
                <c:pt idx="8">
                  <c:v>48029858.9321966</c:v>
                </c:pt>
                <c:pt idx="9">
                  <c:v>78762832.4294736</c:v>
                </c:pt>
                <c:pt idx="10">
                  <c:v>54993633.7896106</c:v>
                </c:pt>
                <c:pt idx="11">
                  <c:v>34610905.6231364</c:v>
                </c:pt>
                <c:pt idx="12">
                  <c:v>81119047.9203184</c:v>
                </c:pt>
                <c:pt idx="13">
                  <c:v>65821030.4660116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'2000'!$A$30</c:f>
              <c:strCache>
                <c:ptCount val="1"/>
                <c:pt idx="0">
                  <c:v>TRADING SECURITIES</c:v>
                </c:pt>
              </c:strCache>
            </c:strRef>
          </c:tx>
          <c:spPr>
            <a:solidFill>
              <a:srgbClr val="0000ff"/>
            </a:solidFill>
            <a:ln w="378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'2000'!$C$1:$P$1</c:f>
              <c:strCache>
                <c:ptCount val="14"/>
                <c:pt idx="0">
                  <c:v>Dec-1999</c:v>
                </c:pt>
                <c:pt idx="1">
                  <c:v/>
                </c:pt>
                <c:pt idx="2">
                  <c:v>Jan-2000</c:v>
                </c:pt>
                <c:pt idx="3">
                  <c:v>Feb-2000</c:v>
                </c:pt>
                <c:pt idx="4">
                  <c:v>Mar-2000</c:v>
                </c:pt>
                <c:pt idx="5">
                  <c:v>Apr-2000</c:v>
                </c:pt>
                <c:pt idx="6">
                  <c:v>May-2000</c:v>
                </c:pt>
                <c:pt idx="7">
                  <c:v>Jun-2000</c:v>
                </c:pt>
                <c:pt idx="8">
                  <c:v>Jul-2000</c:v>
                </c:pt>
                <c:pt idx="9">
                  <c:v>Aug-2000</c:v>
                </c:pt>
                <c:pt idx="10">
                  <c:v>Sep-2000</c:v>
                </c:pt>
                <c:pt idx="11">
                  <c:v>Oct-2000</c:v>
                </c:pt>
                <c:pt idx="12">
                  <c:v>Nov-2000</c:v>
                </c:pt>
                <c:pt idx="13">
                  <c:v>Dec-2000</c:v>
                </c:pt>
              </c:strCache>
            </c:strRef>
          </c:cat>
          <c:val>
            <c:numRef>
              <c:f>'2000'!$C$30:$P$30</c:f>
              <c:numCache>
                <c:formatCode>#,##0</c:formatCode>
                <c:ptCount val="14"/>
                <c:pt idx="0">
                  <c:v>26425551.596896</c:v>
                </c:pt>
                <c:pt idx="2">
                  <c:v>83247816.4971342</c:v>
                </c:pt>
                <c:pt idx="3">
                  <c:v>69154923.8933872</c:v>
                </c:pt>
                <c:pt idx="4">
                  <c:v>71062610.9487006</c:v>
                </c:pt>
                <c:pt idx="5">
                  <c:v>68482442.6973994</c:v>
                </c:pt>
                <c:pt idx="6">
                  <c:v>62335094.469554</c:v>
                </c:pt>
                <c:pt idx="7">
                  <c:v>57299685.14686</c:v>
                </c:pt>
                <c:pt idx="8">
                  <c:v>67635252.5524387</c:v>
                </c:pt>
                <c:pt idx="9">
                  <c:v>66239891.020898</c:v>
                </c:pt>
                <c:pt idx="10">
                  <c:v>60339679.1937805</c:v>
                </c:pt>
                <c:pt idx="11">
                  <c:v>66225473.3757494</c:v>
                </c:pt>
                <c:pt idx="12">
                  <c:v>67976908.421321</c:v>
                </c:pt>
                <c:pt idx="13">
                  <c:v>90142203.2739926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926308"/>
        <c:axId val="57065787"/>
      </c:lineChart>
      <c:catAx>
        <c:axId val="63822444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006615"/>
        <c:crossesAt val="0"/>
        <c:auto val="1"/>
        <c:lblAlgn val="ctr"/>
        <c:lblOffset val="100"/>
        <c:noMultiLvlLbl val="0"/>
      </c:catAx>
      <c:valAx>
        <c:axId val="91006615"/>
        <c:scaling>
          <c:orientation val="minMax"/>
          <c:max val="1000000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822444"/>
        <c:crossesAt val="1"/>
        <c:crossBetween val="midCat"/>
      </c:valAx>
      <c:catAx>
        <c:axId val="3926308"/>
        <c:scaling>
          <c:orientation val="minMax"/>
        </c:scaling>
        <c:delete val="1"/>
        <c:axPos val="t"/>
        <c:numFmt formatCode="mmm\-yyyy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065787"/>
        <c:auto val="1"/>
        <c:lblAlgn val="ctr"/>
        <c:lblOffset val="100"/>
        <c:noMultiLvlLbl val="0"/>
      </c:catAx>
      <c:valAx>
        <c:axId val="57065787"/>
        <c:scaling>
          <c:orientation val="minMax"/>
          <c:max val="80000000"/>
        </c:scaling>
        <c:delete val="0"/>
        <c:axPos val="r"/>
        <c:numFmt formatCode="#,##0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26308"/>
        <c:crosses val="max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0913777609610746"/>
          <c:y val="0.0064276721224570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426960</xdr:colOff>
      <xdr:row>1</xdr:row>
      <xdr:rowOff>87480</xdr:rowOff>
    </xdr:from>
    <xdr:to>
      <xdr:col>9</xdr:col>
      <xdr:colOff>63000</xdr:colOff>
      <xdr:row>4</xdr:row>
      <xdr:rowOff>57960</xdr:rowOff>
    </xdr:to>
    <xdr:sp>
      <xdr:nvSpPr>
        <xdr:cNvPr id="1" name="Text 1"/>
        <xdr:cNvSpPr/>
      </xdr:nvSpPr>
      <xdr:spPr>
        <a:xfrm>
          <a:off x="6116400" y="250200"/>
          <a:ext cx="1261800" cy="4579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820" strike="noStrike" u="none">
              <a:effectLst/>
              <a:uFillTx/>
              <a:latin typeface="Arial"/>
            </a:rPr>
            <a:t>TRADING COMMODITIES AND TRADING SECURITIES ARE BASED ON THE RIGHT AXIS</a:t>
          </a:r>
          <a:endParaRPr b="0" lang="en-US" sz="82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3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4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V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" customHeight="true" zeroHeight="false" outlineLevelRow="0" outlineLevelCol="0"/>
  <cols>
    <col collapsed="false" customWidth="true" hidden="true" outlineLevel="0" max="1" min="1" style="1" width="5.28"/>
    <col collapsed="false" customWidth="true" hidden="false" outlineLevel="0" max="2" min="2" style="2" width="58.56"/>
    <col collapsed="false" customWidth="true" hidden="true" outlineLevel="0" max="3" min="3" style="2" width="18.56"/>
    <col collapsed="false" customWidth="true" hidden="true" outlineLevel="0" max="4" min="4" style="2" width="24.41"/>
    <col collapsed="false" customWidth="true" hidden="false" outlineLevel="0" max="5" min="5" style="3" width="12.28"/>
    <col collapsed="false" customWidth="true" hidden="false" outlineLevel="0" max="6" min="6" style="3" width="3.42"/>
    <col collapsed="false" customWidth="true" hidden="false" outlineLevel="0" max="18" min="7" style="4" width="12.28"/>
    <col collapsed="false" customWidth="true" hidden="false" outlineLevel="0" max="19" min="19" style="0" width="3.14"/>
    <col collapsed="false" customWidth="true" hidden="false" outlineLevel="0" max="22" min="20" style="5" width="12.28"/>
    <col collapsed="false" customWidth="true" hidden="false" outlineLevel="0" max="23" min="23" style="0" width="3.7"/>
  </cols>
  <sheetData>
    <row r="1" customFormat="false" ht="12" hidden="false" customHeight="true" outlineLevel="0" collapsed="false">
      <c r="A1" s="6"/>
      <c r="B1" s="6"/>
      <c r="C1" s="6"/>
      <c r="D1" s="6"/>
      <c r="E1" s="6" t="n">
        <v>36130</v>
      </c>
      <c r="F1" s="6"/>
      <c r="G1" s="6" t="n">
        <v>36161</v>
      </c>
      <c r="H1" s="6" t="n">
        <v>36192</v>
      </c>
      <c r="I1" s="6" t="n">
        <v>36220</v>
      </c>
      <c r="J1" s="6" t="n">
        <v>36251</v>
      </c>
      <c r="K1" s="6" t="n">
        <v>36281</v>
      </c>
      <c r="L1" s="6" t="n">
        <v>36312</v>
      </c>
      <c r="M1" s="6" t="n">
        <v>36342</v>
      </c>
      <c r="N1" s="6" t="n">
        <v>36373</v>
      </c>
      <c r="O1" s="6" t="n">
        <v>36404</v>
      </c>
      <c r="P1" s="6" t="n">
        <v>36434</v>
      </c>
      <c r="Q1" s="6" t="n">
        <v>36465</v>
      </c>
      <c r="R1" s="6" t="n">
        <v>36495</v>
      </c>
      <c r="S1" s="7"/>
      <c r="T1" s="7" t="s">
        <v>0</v>
      </c>
      <c r="U1" s="7" t="s">
        <v>1</v>
      </c>
      <c r="V1" s="7" t="s">
        <v>2</v>
      </c>
      <c r="W1" s="7"/>
    </row>
    <row r="2" customFormat="false" ht="12" hidden="false" customHeight="true" outlineLevel="0" collapsed="false">
      <c r="A2" s="8" t="s">
        <v>3</v>
      </c>
      <c r="B2" s="9" t="s">
        <v>4</v>
      </c>
      <c r="C2" s="9" t="s">
        <v>5</v>
      </c>
      <c r="D2" s="9" t="s">
        <v>6</v>
      </c>
      <c r="E2" s="10" t="n">
        <f aca="false">1000*'3-31-99 and 98 end'!E26</f>
        <v>7670143.95733098</v>
      </c>
      <c r="F2" s="11"/>
      <c r="G2" s="12" t="n">
        <f aca="false">H2</f>
        <v>15545611</v>
      </c>
      <c r="H2" s="13" t="n">
        <v>15545611</v>
      </c>
      <c r="I2" s="14" t="n">
        <f aca="false">1000*'3-31-99 and 98 end'!E6</f>
        <v>16643614.7787183</v>
      </c>
      <c r="J2" s="13" t="n">
        <v>21247174</v>
      </c>
      <c r="K2" s="13" t="n">
        <v>17986539</v>
      </c>
      <c r="L2" s="14" t="n">
        <f aca="false">'6-30-99'!D4*1000</f>
        <v>30444000</v>
      </c>
      <c r="M2" s="13" t="n">
        <v>21708625</v>
      </c>
      <c r="N2" s="13" t="n">
        <v>12019264</v>
      </c>
      <c r="O2" s="14" t="n">
        <f aca="false">'9-30-99'!B4</f>
        <v>18742019</v>
      </c>
      <c r="P2" s="13" t="n">
        <v>14176613</v>
      </c>
      <c r="Q2" s="13" t="n">
        <v>11834603</v>
      </c>
      <c r="R2" s="13" t="n">
        <v>15944237</v>
      </c>
      <c r="S2" s="7"/>
      <c r="T2" s="7"/>
      <c r="U2" s="7"/>
      <c r="V2" s="7"/>
      <c r="W2" s="7"/>
    </row>
    <row r="3" customFormat="false" ht="12" hidden="false" customHeight="true" outlineLevel="0" collapsed="false">
      <c r="A3" s="8" t="s">
        <v>3</v>
      </c>
      <c r="B3" s="9" t="s">
        <v>7</v>
      </c>
      <c r="C3" s="9" t="s">
        <v>5</v>
      </c>
      <c r="D3" s="9" t="s">
        <v>6</v>
      </c>
      <c r="E3" s="10" t="n">
        <f aca="false">1000*'3-31-99 and 98 end'!E27</f>
        <v>4486332.97924044</v>
      </c>
      <c r="F3" s="11"/>
      <c r="G3" s="12" t="n">
        <f aca="false">H3</f>
        <v>6225465</v>
      </c>
      <c r="H3" s="13" t="n">
        <v>6225465</v>
      </c>
      <c r="I3" s="14" t="n">
        <f aca="false">1000*'3-31-99 and 98 end'!E7</f>
        <v>6935793.5782248</v>
      </c>
      <c r="J3" s="13" t="n">
        <v>6383638</v>
      </c>
      <c r="K3" s="13" t="n">
        <v>5872344</v>
      </c>
      <c r="L3" s="14" t="n">
        <f aca="false">1000*'6-30-99'!D5</f>
        <v>5595000</v>
      </c>
      <c r="M3" s="13" t="n">
        <v>2916483</v>
      </c>
      <c r="N3" s="13" t="n">
        <v>3917094</v>
      </c>
      <c r="O3" s="14" t="n">
        <f aca="false">'9-30-99'!B5</f>
        <v>3654177</v>
      </c>
      <c r="P3" s="13" t="n">
        <v>3355699</v>
      </c>
      <c r="Q3" s="13" t="n">
        <v>2516618</v>
      </c>
      <c r="R3" s="13" t="n">
        <v>2646766</v>
      </c>
      <c r="S3" s="7"/>
      <c r="T3" s="7"/>
      <c r="U3" s="7"/>
      <c r="V3" s="7"/>
      <c r="W3" s="7"/>
    </row>
    <row r="4" customFormat="false" ht="12" hidden="false" customHeight="true" outlineLevel="0" collapsed="false">
      <c r="A4" s="8" t="s">
        <v>3</v>
      </c>
      <c r="B4" s="9" t="s">
        <v>8</v>
      </c>
      <c r="C4" s="9" t="s">
        <v>5</v>
      </c>
      <c r="D4" s="9" t="s">
        <v>6</v>
      </c>
      <c r="E4" s="10" t="n">
        <f aca="false">1000*'3-31-99 and 98 end'!E28</f>
        <v>7943000</v>
      </c>
      <c r="F4" s="11"/>
      <c r="G4" s="13" t="n">
        <v>7740818.41844237</v>
      </c>
      <c r="H4" s="13" t="n">
        <v>7681304.90397482</v>
      </c>
      <c r="I4" s="14" t="n">
        <f aca="false">1000*'3-31-99 and 98 end'!E8</f>
        <v>7378000</v>
      </c>
      <c r="J4" s="13" t="n">
        <v>6405374.41683486</v>
      </c>
      <c r="K4" s="13" t="n">
        <v>6468180.90441363</v>
      </c>
      <c r="L4" s="14" t="n">
        <f aca="false">1000*'6-30-99'!D6</f>
        <v>5982000</v>
      </c>
      <c r="M4" s="13" t="n">
        <v>5799271.27429829</v>
      </c>
      <c r="N4" s="13" t="n">
        <v>8148115.66987695</v>
      </c>
      <c r="O4" s="14" t="n">
        <f aca="false">'9-30-99'!B6</f>
        <v>6513072.74714849</v>
      </c>
      <c r="P4" s="13" t="n">
        <v>7040373.59733393</v>
      </c>
      <c r="Q4" s="13" t="n">
        <v>7083005.05722284</v>
      </c>
      <c r="R4" s="13" t="n">
        <v>7923000</v>
      </c>
      <c r="S4" s="7"/>
      <c r="T4" s="7"/>
      <c r="U4" s="7"/>
      <c r="V4" s="7"/>
      <c r="W4" s="7"/>
    </row>
    <row r="5" customFormat="false" ht="12" hidden="false" customHeight="true" outlineLevel="0" collapsed="false">
      <c r="A5" s="8" t="s">
        <v>3</v>
      </c>
      <c r="B5" s="9" t="s">
        <v>9</v>
      </c>
      <c r="C5" s="9" t="s">
        <v>5</v>
      </c>
      <c r="D5" s="9" t="s">
        <v>6</v>
      </c>
      <c r="E5" s="10" t="n">
        <f aca="false">1000*'3-31-99 and 98 end'!E29</f>
        <v>1721000</v>
      </c>
      <c r="F5" s="11"/>
      <c r="G5" s="13" t="n">
        <v>1612476.93941583</v>
      </c>
      <c r="H5" s="13" t="n">
        <v>1268985.45929617</v>
      </c>
      <c r="I5" s="14" t="n">
        <f aca="false">1000*'3-31-99 and 98 end'!E9</f>
        <v>1225000</v>
      </c>
      <c r="J5" s="13" t="n">
        <v>1308461.61795308</v>
      </c>
      <c r="K5" s="13" t="n">
        <v>2046442.7042568</v>
      </c>
      <c r="L5" s="14" t="n">
        <f aca="false">1000*'6-30-99'!D7</f>
        <v>1995000</v>
      </c>
      <c r="M5" s="13" t="n">
        <v>1969522.44505807</v>
      </c>
      <c r="N5" s="13" t="n">
        <v>1916692.33312713</v>
      </c>
      <c r="O5" s="14" t="n">
        <f aca="false">'9-30-99'!B7</f>
        <v>1608245.29507195</v>
      </c>
      <c r="P5" s="13" t="n">
        <v>1678729.37722858</v>
      </c>
      <c r="Q5" s="13" t="n">
        <v>2052737.67264975</v>
      </c>
      <c r="R5" s="13" t="n">
        <f aca="false">2205.5936898935*1000</f>
        <v>2205593.6898935</v>
      </c>
      <c r="S5" s="7"/>
      <c r="T5" s="7"/>
      <c r="U5" s="7"/>
      <c r="V5" s="7"/>
      <c r="W5" s="7"/>
    </row>
    <row r="6" customFormat="false" ht="12" hidden="false" customHeight="true" outlineLevel="0" collapsed="false">
      <c r="A6" s="8" t="s">
        <v>3</v>
      </c>
      <c r="B6" s="9" t="s">
        <v>10</v>
      </c>
      <c r="C6" s="9" t="s">
        <v>5</v>
      </c>
      <c r="D6" s="9" t="s">
        <v>6</v>
      </c>
      <c r="E6" s="12" t="n">
        <f aca="false">G6</f>
        <v>226246</v>
      </c>
      <c r="F6" s="11"/>
      <c r="G6" s="12" t="n">
        <f aca="false">H6</f>
        <v>226246</v>
      </c>
      <c r="H6" s="12" t="n">
        <f aca="false">I6</f>
        <v>226246</v>
      </c>
      <c r="I6" s="13" t="n">
        <v>226246</v>
      </c>
      <c r="J6" s="13" t="n">
        <v>221893</v>
      </c>
      <c r="K6" s="13" t="n">
        <v>275673</v>
      </c>
      <c r="L6" s="14" t="n">
        <f aca="false">1000*'6-30-99'!M8</f>
        <v>260000</v>
      </c>
      <c r="M6" s="13" t="n">
        <v>246000</v>
      </c>
      <c r="N6" s="13" t="n">
        <v>232000</v>
      </c>
      <c r="O6" s="14" t="n">
        <f aca="false">'9-30-99'!B8</f>
        <v>222549</v>
      </c>
      <c r="P6" s="13" t="n">
        <v>219000</v>
      </c>
      <c r="Q6" s="13" t="n">
        <v>218000</v>
      </c>
      <c r="R6" s="13" t="n">
        <f aca="false">214*1000</f>
        <v>214000</v>
      </c>
      <c r="S6" s="7"/>
      <c r="T6" s="7"/>
      <c r="U6" s="7"/>
      <c r="V6" s="7"/>
      <c r="W6" s="7"/>
    </row>
    <row r="7" customFormat="false" ht="12" hidden="false" customHeight="true" outlineLevel="0" collapsed="false">
      <c r="A7" s="8" t="s">
        <v>3</v>
      </c>
      <c r="B7" s="9" t="s">
        <v>11</v>
      </c>
      <c r="C7" s="9" t="s">
        <v>5</v>
      </c>
      <c r="D7" s="9" t="s">
        <v>6</v>
      </c>
      <c r="E7" s="12" t="n">
        <f aca="false">G7</f>
        <v>283309</v>
      </c>
      <c r="F7" s="11"/>
      <c r="G7" s="12" t="n">
        <f aca="false">H7</f>
        <v>283309</v>
      </c>
      <c r="H7" s="12" t="n">
        <f aca="false">I7</f>
        <v>283309</v>
      </c>
      <c r="I7" s="12" t="n">
        <f aca="false">J7</f>
        <v>283309</v>
      </c>
      <c r="J7" s="12" t="n">
        <f aca="false">K7</f>
        <v>283309</v>
      </c>
      <c r="K7" s="12" t="n">
        <f aca="false">L7</f>
        <v>283309</v>
      </c>
      <c r="L7" s="14" t="n">
        <f aca="false">1000*'6-30-99'!L8</f>
        <v>283309</v>
      </c>
      <c r="M7" s="13" t="n">
        <v>154623</v>
      </c>
      <c r="N7" s="13" t="n">
        <v>112002</v>
      </c>
      <c r="O7" s="14" t="n">
        <f aca="false">'9-30-99'!B9</f>
        <v>94610</v>
      </c>
      <c r="P7" s="13" t="n">
        <v>85019</v>
      </c>
      <c r="Q7" s="13" t="n">
        <v>80366</v>
      </c>
      <c r="R7" s="13" t="n">
        <f aca="false">78.436*1000</f>
        <v>78436</v>
      </c>
      <c r="S7" s="7"/>
      <c r="T7" s="7"/>
      <c r="U7" s="7"/>
      <c r="V7" s="7"/>
      <c r="W7" s="7"/>
    </row>
    <row r="8" customFormat="false" ht="12" hidden="false" customHeight="true" outlineLevel="0" collapsed="false">
      <c r="A8" s="8" t="s">
        <v>3</v>
      </c>
      <c r="B8" s="9" t="s">
        <v>12</v>
      </c>
      <c r="C8" s="9" t="s">
        <v>5</v>
      </c>
      <c r="D8" s="9" t="s">
        <v>6</v>
      </c>
      <c r="E8" s="15" t="n">
        <v>717588</v>
      </c>
      <c r="F8" s="11"/>
      <c r="G8" s="13" t="n">
        <v>717588</v>
      </c>
      <c r="H8" s="13" t="n">
        <v>717588</v>
      </c>
      <c r="I8" s="15" t="n">
        <v>717588</v>
      </c>
      <c r="J8" s="13" t="n">
        <v>717588</v>
      </c>
      <c r="K8" s="13" t="n">
        <v>717588</v>
      </c>
      <c r="L8" s="14" t="n">
        <f aca="false">'6-30-99'!D9*1000</f>
        <v>717588</v>
      </c>
      <c r="M8" s="13" t="n">
        <v>618751</v>
      </c>
      <c r="N8" s="13" t="n">
        <v>519914</v>
      </c>
      <c r="O8" s="14" t="n">
        <f aca="false">'9-30-99'!B10</f>
        <v>421077</v>
      </c>
      <c r="P8" s="13" t="n">
        <v>790008.834005275</v>
      </c>
      <c r="Q8" s="13" t="n">
        <v>605024.176263357</v>
      </c>
      <c r="R8" s="13" t="n">
        <f aca="false">603.111802771198*1000</f>
        <v>603111.802771198</v>
      </c>
      <c r="S8" s="7"/>
      <c r="T8" s="7"/>
      <c r="U8" s="7"/>
      <c r="V8" s="7"/>
      <c r="W8" s="7"/>
    </row>
    <row r="9" customFormat="false" ht="12" hidden="false" customHeight="true" outlineLevel="0" collapsed="false">
      <c r="A9" s="8" t="s">
        <v>13</v>
      </c>
      <c r="B9" s="9" t="s">
        <v>14</v>
      </c>
      <c r="C9" s="9" t="s">
        <v>5</v>
      </c>
      <c r="D9" s="9" t="s">
        <v>6</v>
      </c>
      <c r="E9" s="10" t="n">
        <f aca="false">1000*'3-31-99 and 98 end'!E30</f>
        <v>1068000</v>
      </c>
      <c r="F9" s="11"/>
      <c r="G9" s="13" t="n">
        <v>215692.058150433</v>
      </c>
      <c r="H9" s="13" t="n">
        <v>266848.471859128</v>
      </c>
      <c r="I9" s="13" t="n">
        <v>403276.766928388</v>
      </c>
      <c r="J9" s="13" t="n">
        <v>1013669.47669245</v>
      </c>
      <c r="K9" s="13" t="n">
        <v>518375.389904693</v>
      </c>
      <c r="L9" s="13" t="n">
        <v>967000</v>
      </c>
      <c r="M9" s="13" t="n">
        <v>231000</v>
      </c>
      <c r="N9" s="13" t="n">
        <v>106000</v>
      </c>
      <c r="O9" s="13" t="n">
        <v>950118</v>
      </c>
      <c r="P9" s="13" t="n">
        <v>793051</v>
      </c>
      <c r="Q9" s="13" t="n">
        <v>914323</v>
      </c>
      <c r="R9" s="13" t="n">
        <v>1005578</v>
      </c>
      <c r="S9" s="7"/>
      <c r="T9" s="7"/>
      <c r="U9" s="7"/>
      <c r="V9" s="7"/>
      <c r="W9" s="7"/>
    </row>
    <row r="10" customFormat="false" ht="12" hidden="false" customHeight="true" outlineLevel="0" collapsed="false">
      <c r="A10" s="8"/>
      <c r="B10" s="9" t="s">
        <v>15</v>
      </c>
      <c r="C10" s="9" t="s">
        <v>5</v>
      </c>
      <c r="D10" s="9" t="s">
        <v>6</v>
      </c>
      <c r="E10" s="13" t="n">
        <v>0</v>
      </c>
      <c r="F10" s="11"/>
      <c r="G10" s="13" t="n">
        <v>0</v>
      </c>
      <c r="H10" s="13" t="n">
        <v>0</v>
      </c>
      <c r="I10" s="13" t="n">
        <v>0</v>
      </c>
      <c r="J10" s="13" t="n">
        <v>0</v>
      </c>
      <c r="K10" s="13" t="n">
        <v>0</v>
      </c>
      <c r="L10" s="13" t="n">
        <v>0</v>
      </c>
      <c r="M10" s="13" t="n">
        <v>0</v>
      </c>
      <c r="N10" s="13" t="n">
        <v>0</v>
      </c>
      <c r="O10" s="13" t="n">
        <v>0</v>
      </c>
      <c r="P10" s="13" t="n">
        <v>0</v>
      </c>
      <c r="Q10" s="13" t="n">
        <v>0</v>
      </c>
      <c r="R10" s="13" t="n">
        <v>5000000</v>
      </c>
      <c r="S10" s="7"/>
      <c r="T10" s="7"/>
      <c r="U10" s="7"/>
      <c r="V10" s="7"/>
      <c r="W10" s="7"/>
    </row>
    <row r="11" customFormat="false" ht="12" hidden="false" customHeight="true" outlineLevel="0" collapsed="false">
      <c r="A11" s="8" t="s">
        <v>3</v>
      </c>
      <c r="B11" s="9" t="s">
        <v>16</v>
      </c>
      <c r="C11" s="9" t="s">
        <v>5</v>
      </c>
      <c r="D11" s="9" t="s">
        <v>16</v>
      </c>
      <c r="E11" s="10" t="n">
        <f aca="false">1000*'3-31-99 and 98 end'!E31</f>
        <v>77000</v>
      </c>
      <c r="F11" s="11"/>
      <c r="G11" s="13" t="n">
        <v>328925.767333014</v>
      </c>
      <c r="H11" s="13" t="n">
        <v>116374.32119092</v>
      </c>
      <c r="I11" s="14" t="n">
        <f aca="false">1000*'3-31-99 and 98 end'!E11</f>
        <v>101433</v>
      </c>
      <c r="J11" s="13" t="n">
        <v>238519.269878911</v>
      </c>
      <c r="K11" s="13" t="n">
        <v>113489.007442385</v>
      </c>
      <c r="L11" s="14" t="n">
        <f aca="false">1000*'6-30-99'!D11</f>
        <v>139000</v>
      </c>
      <c r="M11" s="13" t="n">
        <v>136571.517430667</v>
      </c>
      <c r="N11" s="13" t="n">
        <v>445157.66</v>
      </c>
      <c r="O11" s="14" t="n">
        <f aca="false">'9-30-99'!B12</f>
        <v>411253.905078859</v>
      </c>
      <c r="P11" s="13" t="n">
        <v>490477.46</v>
      </c>
      <c r="Q11" s="13" t="n">
        <v>175321.68</v>
      </c>
      <c r="R11" s="13" t="n">
        <v>402833.5</v>
      </c>
      <c r="S11" s="7"/>
      <c r="T11" s="7"/>
      <c r="U11" s="7"/>
      <c r="V11" s="7"/>
      <c r="W11" s="7"/>
    </row>
    <row r="12" customFormat="false" ht="12" hidden="false" customHeight="true" outlineLevel="0" collapsed="false">
      <c r="A12" s="8" t="s">
        <v>3</v>
      </c>
      <c r="B12" s="9" t="s">
        <v>17</v>
      </c>
      <c r="C12" s="9" t="s">
        <v>5</v>
      </c>
      <c r="D12" s="9" t="s">
        <v>17</v>
      </c>
      <c r="E12" s="10" t="n">
        <f aca="false">1000*'3-31-99 and 98 end'!E32</f>
        <v>44000</v>
      </c>
      <c r="F12" s="11"/>
      <c r="G12" s="13" t="n">
        <v>44989.3513236433</v>
      </c>
      <c r="H12" s="13" t="n">
        <v>15917.2851174293</v>
      </c>
      <c r="I12" s="14" t="n">
        <f aca="false">1000*'3-31-99 and 98 end'!E12</f>
        <v>65631</v>
      </c>
      <c r="J12" s="13" t="n">
        <v>32623.8571001858</v>
      </c>
      <c r="K12" s="13" t="n">
        <v>15522.6416847658</v>
      </c>
      <c r="L12" s="14" t="n">
        <f aca="false">1000*'6-30-99'!D12</f>
        <v>26000</v>
      </c>
      <c r="M12" s="13" t="n">
        <v>18679.7891460741</v>
      </c>
      <c r="N12" s="13" t="n">
        <v>59819.37</v>
      </c>
      <c r="O12" s="14" t="n">
        <f aca="false">'9-30-99'!B13</f>
        <v>16806.1418330592</v>
      </c>
      <c r="P12" s="13" t="n">
        <v>61989.08</v>
      </c>
      <c r="Q12" s="13" t="n">
        <v>48221.91</v>
      </c>
      <c r="R12" s="13" t="n">
        <v>88015.32</v>
      </c>
      <c r="S12" s="7"/>
      <c r="T12" s="7"/>
      <c r="U12" s="7"/>
      <c r="V12" s="7"/>
      <c r="W12" s="7"/>
    </row>
    <row r="13" customFormat="false" ht="12" hidden="false" customHeight="true" outlineLevel="0" collapsed="false">
      <c r="A13" s="8" t="s">
        <v>18</v>
      </c>
      <c r="B13" s="9" t="s">
        <v>19</v>
      </c>
      <c r="C13" s="9" t="s">
        <v>5</v>
      </c>
      <c r="D13" s="9" t="s">
        <v>20</v>
      </c>
      <c r="E13" s="13" t="n">
        <v>1239039.77105541</v>
      </c>
      <c r="F13" s="11"/>
      <c r="G13" s="13" t="n">
        <v>0</v>
      </c>
      <c r="H13" s="13" t="n">
        <v>0</v>
      </c>
      <c r="I13" s="15" t="n">
        <v>0</v>
      </c>
      <c r="J13" s="13" t="n">
        <v>0</v>
      </c>
      <c r="K13" s="13" t="n">
        <v>0</v>
      </c>
      <c r="L13" s="15" t="n">
        <v>0</v>
      </c>
      <c r="M13" s="15" t="n">
        <v>0</v>
      </c>
      <c r="N13" s="15" t="n">
        <v>0</v>
      </c>
      <c r="O13" s="14" t="n">
        <v>0</v>
      </c>
      <c r="P13" s="15" t="n">
        <v>0</v>
      </c>
      <c r="Q13" s="15" t="n">
        <v>0</v>
      </c>
      <c r="R13" s="13" t="n">
        <v>0</v>
      </c>
      <c r="S13" s="7"/>
      <c r="T13" s="7"/>
      <c r="U13" s="7"/>
      <c r="V13" s="7"/>
      <c r="W13" s="7"/>
    </row>
    <row r="14" customFormat="false" ht="12" hidden="false" customHeight="true" outlineLevel="0" collapsed="false">
      <c r="A14" s="8" t="s">
        <v>3</v>
      </c>
      <c r="B14" s="9" t="s">
        <v>21</v>
      </c>
      <c r="C14" s="9" t="s">
        <v>5</v>
      </c>
      <c r="D14" s="9" t="s">
        <v>20</v>
      </c>
      <c r="E14" s="10" t="n">
        <f aca="false">1000*'3-31-99 and 98 end'!E33</f>
        <v>530000</v>
      </c>
      <c r="F14" s="11"/>
      <c r="G14" s="13" t="n">
        <v>490354</v>
      </c>
      <c r="H14" s="13" t="n">
        <v>708069.4750592</v>
      </c>
      <c r="I14" s="14" t="n">
        <f aca="false">1000*'3-31-99 and 98 end'!E13</f>
        <v>855000</v>
      </c>
      <c r="J14" s="13" t="n">
        <v>1633612.82994804</v>
      </c>
      <c r="K14" s="13" t="n">
        <v>1575948.76205015</v>
      </c>
      <c r="L14" s="16" t="n">
        <f aca="false">1000*'6-30-99'!D14</f>
        <v>1582000</v>
      </c>
      <c r="M14" s="13" t="n">
        <v>1651296</v>
      </c>
      <c r="N14" s="13" t="n">
        <v>1097139</v>
      </c>
      <c r="O14" s="14" t="n">
        <f aca="false">'9-30-99'!B15</f>
        <v>1028975</v>
      </c>
      <c r="P14" s="13" t="n">
        <v>852212</v>
      </c>
      <c r="Q14" s="13" t="n">
        <v>853602</v>
      </c>
      <c r="R14" s="13" t="n">
        <f aca="false">1293.358*1000</f>
        <v>1293358</v>
      </c>
      <c r="S14" s="7"/>
      <c r="T14" s="7"/>
      <c r="U14" s="7"/>
      <c r="V14" s="7"/>
      <c r="W14" s="7"/>
    </row>
    <row r="15" customFormat="false" ht="12" hidden="false" customHeight="true" outlineLevel="0" collapsed="false">
      <c r="A15" s="8" t="s">
        <v>3</v>
      </c>
      <c r="B15" s="9" t="s">
        <v>22</v>
      </c>
      <c r="C15" s="9" t="s">
        <v>5</v>
      </c>
      <c r="D15" s="9" t="s">
        <v>20</v>
      </c>
      <c r="E15" s="15" t="n">
        <v>0</v>
      </c>
      <c r="F15" s="11" t="s">
        <v>23</v>
      </c>
      <c r="G15" s="15" t="n">
        <v>0</v>
      </c>
      <c r="H15" s="15" t="n">
        <v>0</v>
      </c>
      <c r="I15" s="15" t="n">
        <v>0</v>
      </c>
      <c r="J15" s="15" t="n">
        <v>0</v>
      </c>
      <c r="K15" s="15" t="n">
        <v>0</v>
      </c>
      <c r="L15" s="15" t="n">
        <v>0</v>
      </c>
      <c r="M15" s="15" t="n">
        <v>0</v>
      </c>
      <c r="N15" s="15" t="n">
        <v>0</v>
      </c>
      <c r="O15" s="14" t="n">
        <f aca="false">'9-30-99'!B16</f>
        <v>239022.45</v>
      </c>
      <c r="P15" s="13" t="n">
        <v>299486.52</v>
      </c>
      <c r="Q15" s="13" t="n">
        <v>480594</v>
      </c>
      <c r="R15" s="13" t="n">
        <f aca="false">812.28593*1000</f>
        <v>812285.93</v>
      </c>
      <c r="S15" s="7"/>
      <c r="T15" s="7"/>
      <c r="U15" s="7"/>
      <c r="V15" s="7"/>
      <c r="W15" s="7"/>
    </row>
    <row r="16" customFormat="false" ht="12" hidden="false" customHeight="true" outlineLevel="0" collapsed="false">
      <c r="A16" s="8" t="s">
        <v>24</v>
      </c>
      <c r="B16" s="9" t="s">
        <v>25</v>
      </c>
      <c r="C16" s="9" t="s">
        <v>5</v>
      </c>
      <c r="D16" s="9" t="s">
        <v>20</v>
      </c>
      <c r="E16" s="10" t="n">
        <f aca="false">1000*'3-31-99 and 98 end'!E34</f>
        <v>8793000</v>
      </c>
      <c r="F16" s="11"/>
      <c r="G16" s="13" t="n">
        <v>13283979</v>
      </c>
      <c r="H16" s="13" t="n">
        <v>11450028</v>
      </c>
      <c r="I16" s="14" t="n">
        <f aca="false">1000*'3-31-99 and 98 end'!E14</f>
        <v>12427000</v>
      </c>
      <c r="J16" s="13" t="n">
        <v>14115247</v>
      </c>
      <c r="K16" s="13" t="n">
        <v>15006116</v>
      </c>
      <c r="L16" s="16" t="n">
        <f aca="false">1000*'6-30-99'!D15</f>
        <v>15846000</v>
      </c>
      <c r="M16" s="13" t="n">
        <v>10357305</v>
      </c>
      <c r="N16" s="13" t="n">
        <v>9598730</v>
      </c>
      <c r="O16" s="14" t="n">
        <f aca="false">'9-30-99'!B17</f>
        <v>12351283.0194861</v>
      </c>
      <c r="P16" s="13" t="n">
        <v>13731892</v>
      </c>
      <c r="Q16" s="13" t="n">
        <v>15350456</v>
      </c>
      <c r="R16" s="13" t="n">
        <v>20962426.9792509</v>
      </c>
      <c r="S16" s="7"/>
      <c r="T16" s="7"/>
      <c r="U16" s="7"/>
      <c r="V16" s="7"/>
      <c r="W16" s="7"/>
    </row>
    <row r="17" customFormat="false" ht="12" hidden="false" customHeight="true" outlineLevel="0" collapsed="false">
      <c r="A17" s="8"/>
      <c r="B17" s="9" t="s">
        <v>26</v>
      </c>
      <c r="C17" s="9"/>
      <c r="D17" s="9"/>
      <c r="E17" s="13" t="n">
        <v>0</v>
      </c>
      <c r="F17" s="11"/>
      <c r="G17" s="13" t="n">
        <v>383908.584951436</v>
      </c>
      <c r="H17" s="13" t="n">
        <v>333795.636796412</v>
      </c>
      <c r="I17" s="13" t="n">
        <v>321512.416545496</v>
      </c>
      <c r="J17" s="13" t="n">
        <v>391087.971820995</v>
      </c>
      <c r="K17" s="13" t="n">
        <v>368510.126170273</v>
      </c>
      <c r="L17" s="13" t="n">
        <v>370640.143281337</v>
      </c>
      <c r="M17" s="13" t="n">
        <v>408004.453895782</v>
      </c>
      <c r="N17" s="13" t="n">
        <v>411241.67230554</v>
      </c>
      <c r="O17" s="13" t="n">
        <v>413617.452918451</v>
      </c>
      <c r="P17" s="13" t="n">
        <v>420417.795250092</v>
      </c>
      <c r="Q17" s="13" t="n">
        <v>445814.173364436</v>
      </c>
      <c r="R17" s="13" t="n">
        <v>539323.764022081</v>
      </c>
      <c r="S17" s="7"/>
      <c r="T17" s="7"/>
      <c r="U17" s="7"/>
      <c r="V17" s="7"/>
      <c r="W17" s="7"/>
    </row>
    <row r="18" customFormat="false" ht="12" hidden="false" customHeight="true" outlineLevel="0" collapsed="false">
      <c r="A18" s="8"/>
      <c r="B18" s="9" t="s">
        <v>27</v>
      </c>
      <c r="C18" s="9" t="s">
        <v>5</v>
      </c>
      <c r="D18" s="9" t="s">
        <v>20</v>
      </c>
      <c r="E18" s="13" t="n">
        <v>0</v>
      </c>
      <c r="F18" s="11"/>
      <c r="G18" s="13" t="n">
        <v>0</v>
      </c>
      <c r="H18" s="13" t="n">
        <v>0</v>
      </c>
      <c r="I18" s="15" t="n">
        <v>0</v>
      </c>
      <c r="J18" s="13" t="n">
        <v>0</v>
      </c>
      <c r="K18" s="13" t="n">
        <v>0</v>
      </c>
      <c r="L18" s="15" t="n">
        <v>24329479</v>
      </c>
      <c r="M18" s="13" t="n">
        <v>16987124</v>
      </c>
      <c r="N18" s="13" t="n">
        <v>14501497</v>
      </c>
      <c r="O18" s="13" t="n">
        <v>11769242</v>
      </c>
      <c r="P18" s="13" t="n">
        <v>8940492</v>
      </c>
      <c r="Q18" s="13" t="n">
        <v>12437323</v>
      </c>
      <c r="R18" s="13" t="n">
        <v>0</v>
      </c>
      <c r="S18" s="7"/>
      <c r="T18" s="7"/>
      <c r="U18" s="7"/>
      <c r="V18" s="7"/>
      <c r="W18" s="7"/>
    </row>
    <row r="19" customFormat="false" ht="12" hidden="false" customHeight="true" outlineLevel="0" collapsed="false">
      <c r="A19" s="8"/>
      <c r="B19" s="17" t="s">
        <v>28</v>
      </c>
      <c r="C19" s="17" t="s">
        <v>5</v>
      </c>
      <c r="D19" s="17" t="s">
        <v>20</v>
      </c>
      <c r="E19" s="18" t="n">
        <f aca="false">1000*'3-31-99 and 98 end'!E35</f>
        <v>8732000</v>
      </c>
      <c r="F19" s="19"/>
      <c r="G19" s="20" t="n">
        <v>9094561.71092217</v>
      </c>
      <c r="H19" s="20" t="n">
        <v>8812748.04506513</v>
      </c>
      <c r="I19" s="21" t="n">
        <f aca="false">1000*'3-31-99 and 98 end'!E15</f>
        <v>10186544</v>
      </c>
      <c r="J19" s="20" t="n">
        <v>8701091.33439067</v>
      </c>
      <c r="K19" s="20" t="n">
        <v>8449981.72036484</v>
      </c>
      <c r="L19" s="22" t="n">
        <f aca="false">'6-30-99'!D16*1000</f>
        <v>3059000</v>
      </c>
      <c r="M19" s="20" t="n">
        <v>8544727.30979603</v>
      </c>
      <c r="N19" s="20" t="n">
        <v>8649711.5056982</v>
      </c>
      <c r="O19" s="21" t="n">
        <f aca="false">'9-30-99'!B19</f>
        <v>5201871.63471803</v>
      </c>
      <c r="P19" s="20" t="n">
        <v>8641790.78785961</v>
      </c>
      <c r="Q19" s="20" t="n">
        <v>8466778.39214818</v>
      </c>
      <c r="R19" s="20" t="n">
        <v>16008215.9802118</v>
      </c>
      <c r="S19" s="23"/>
      <c r="T19" s="23"/>
      <c r="U19" s="23"/>
      <c r="V19" s="23"/>
      <c r="W19" s="23"/>
    </row>
    <row r="20" customFormat="false" ht="12" hidden="false" customHeight="true" outlineLevel="0" collapsed="false">
      <c r="A20" s="24" t="s">
        <v>29</v>
      </c>
      <c r="B20" s="17" t="s">
        <v>30</v>
      </c>
      <c r="C20" s="17" t="s">
        <v>31</v>
      </c>
      <c r="D20" s="17" t="s">
        <v>6</v>
      </c>
      <c r="E20" s="18" t="n">
        <f aca="false">1000*'3-31-99 and 98 end'!E36</f>
        <v>10399000</v>
      </c>
      <c r="F20" s="19"/>
      <c r="G20" s="12" t="n">
        <f aca="false">(I20-E20)*1/3+E20</f>
        <v>9975666.66666667</v>
      </c>
      <c r="H20" s="12" t="n">
        <f aca="false">(I20-E20)*2/3+E20</f>
        <v>9552333.33333333</v>
      </c>
      <c r="I20" s="21" t="n">
        <f aca="false">'3-31-99 and 98 end'!E16*1000</f>
        <v>9129000</v>
      </c>
      <c r="J20" s="12" t="n">
        <f aca="false">(L20-I20)*1/3+I20</f>
        <v>11936666.6666667</v>
      </c>
      <c r="K20" s="12" t="n">
        <f aca="false">(L20-I20)*2/3+I20</f>
        <v>14744333.3333333</v>
      </c>
      <c r="L20" s="22" t="n">
        <f aca="false">'6-30-99'!D17*1000</f>
        <v>17552000</v>
      </c>
      <c r="M20" s="12" t="n">
        <f aca="false">L20</f>
        <v>17552000</v>
      </c>
      <c r="N20" s="15" t="n">
        <v>0</v>
      </c>
      <c r="O20" s="16" t="n">
        <f aca="false">'9-30-99'!B20</f>
        <v>0</v>
      </c>
      <c r="P20" s="15" t="n">
        <v>0</v>
      </c>
      <c r="Q20" s="15" t="n">
        <v>0</v>
      </c>
      <c r="R20" s="15" t="n">
        <v>0</v>
      </c>
      <c r="S20" s="23"/>
      <c r="T20" s="23"/>
      <c r="U20" s="23"/>
      <c r="V20" s="23"/>
      <c r="W20" s="23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  <c r="HK20" s="25"/>
      <c r="HL20" s="25"/>
      <c r="HM20" s="25"/>
      <c r="HN20" s="25"/>
      <c r="HO20" s="25"/>
      <c r="HP20" s="25"/>
      <c r="HQ20" s="25"/>
      <c r="HR20" s="25"/>
      <c r="HS20" s="25"/>
      <c r="HT20" s="25"/>
      <c r="HU20" s="25"/>
      <c r="HV20" s="25"/>
      <c r="HW20" s="25"/>
      <c r="HX20" s="25"/>
      <c r="HY20" s="25"/>
      <c r="HZ20" s="25"/>
      <c r="IA20" s="25"/>
      <c r="IB20" s="25"/>
      <c r="IC20" s="25"/>
      <c r="ID20" s="25"/>
      <c r="IE20" s="25"/>
      <c r="IF20" s="25"/>
      <c r="IG20" s="25"/>
      <c r="IH20" s="25"/>
      <c r="II20" s="25"/>
      <c r="IJ20" s="25"/>
      <c r="IK20" s="25"/>
      <c r="IL20" s="25"/>
      <c r="IM20" s="25"/>
      <c r="IN20" s="25"/>
      <c r="IO20" s="25"/>
      <c r="IP20" s="25"/>
      <c r="IQ20" s="25"/>
      <c r="IR20" s="25"/>
      <c r="IS20" s="25"/>
      <c r="IT20" s="25"/>
      <c r="IU20" s="25"/>
      <c r="IV20" s="25"/>
    </row>
    <row r="21" customFormat="false" ht="12" hidden="false" customHeight="true" outlineLevel="0" collapsed="false">
      <c r="A21" s="8" t="s">
        <v>32</v>
      </c>
      <c r="B21" s="9" t="s">
        <v>33</v>
      </c>
      <c r="C21" s="9" t="s">
        <v>31</v>
      </c>
      <c r="D21" s="9" t="s">
        <v>6</v>
      </c>
      <c r="E21" s="10" t="n">
        <f aca="false">1000*'3-31-99 and 98 end'!E37</f>
        <v>463000</v>
      </c>
      <c r="F21" s="11"/>
      <c r="G21" s="15" t="n">
        <v>998413.710154763</v>
      </c>
      <c r="H21" s="15" t="n">
        <v>1749998.42407043</v>
      </c>
      <c r="I21" s="14" t="n">
        <v>1076792.31987789</v>
      </c>
      <c r="J21" s="13" t="n">
        <v>732742.02546053</v>
      </c>
      <c r="K21" s="13" t="n">
        <v>982500.129895666</v>
      </c>
      <c r="L21" s="14" t="n">
        <f aca="false">1000*'6-30-99'!D18</f>
        <v>3126918</v>
      </c>
      <c r="M21" s="13" t="n">
        <v>2030340.78687815</v>
      </c>
      <c r="N21" s="13" t="n">
        <v>1893646.34062567</v>
      </c>
      <c r="O21" s="14" t="n">
        <f aca="false">'9-30-99'!B21</f>
        <v>1649441</v>
      </c>
      <c r="P21" s="13" t="n">
        <v>1661609.53363448</v>
      </c>
      <c r="Q21" s="13" t="n">
        <v>1606424.07373022</v>
      </c>
      <c r="R21" s="13" t="n">
        <v>1276392.86080619</v>
      </c>
      <c r="S21" s="7"/>
      <c r="T21" s="7"/>
      <c r="U21" s="7"/>
      <c r="V21" s="7"/>
      <c r="W21" s="7"/>
    </row>
    <row r="22" customFormat="false" ht="12" hidden="false" customHeight="true" outlineLevel="0" collapsed="false">
      <c r="A22" s="8"/>
      <c r="B22" s="9" t="s">
        <v>34</v>
      </c>
      <c r="C22" s="9"/>
      <c r="D22" s="9"/>
      <c r="E22" s="10"/>
      <c r="F22" s="11"/>
      <c r="G22" s="15" t="n">
        <v>217000</v>
      </c>
      <c r="H22" s="15" t="n">
        <v>203000</v>
      </c>
      <c r="I22" s="13" t="n">
        <v>186000</v>
      </c>
      <c r="J22" s="13" t="n">
        <v>150000</v>
      </c>
      <c r="K22" s="13" t="n">
        <v>155000</v>
      </c>
      <c r="L22" s="13" t="n">
        <v>150000</v>
      </c>
      <c r="M22" s="13" t="n">
        <v>155000</v>
      </c>
      <c r="N22" s="13" t="n">
        <v>155000</v>
      </c>
      <c r="O22" s="13" t="n">
        <v>180000</v>
      </c>
      <c r="P22" s="13" t="n">
        <v>201500</v>
      </c>
      <c r="Q22" s="13" t="n">
        <v>210000</v>
      </c>
      <c r="R22" s="13" t="n">
        <v>213900</v>
      </c>
      <c r="S22" s="7"/>
      <c r="T22" s="7"/>
      <c r="U22" s="7"/>
      <c r="V22" s="7"/>
      <c r="W22" s="7"/>
    </row>
    <row r="23" customFormat="false" ht="12" hidden="false" customHeight="true" outlineLevel="0" collapsed="false">
      <c r="A23" s="8" t="s">
        <v>35</v>
      </c>
      <c r="B23" s="9" t="s">
        <v>36</v>
      </c>
      <c r="C23" s="9" t="s">
        <v>31</v>
      </c>
      <c r="D23" s="9" t="s">
        <v>6</v>
      </c>
      <c r="E23" s="13" t="n">
        <v>0</v>
      </c>
      <c r="F23" s="11"/>
      <c r="G23" s="13" t="n">
        <v>0</v>
      </c>
      <c r="H23" s="13" t="n">
        <v>0</v>
      </c>
      <c r="I23" s="13" t="n">
        <v>0</v>
      </c>
      <c r="J23" s="13" t="n">
        <v>0</v>
      </c>
      <c r="K23" s="13" t="n">
        <v>312941</v>
      </c>
      <c r="L23" s="15" t="n">
        <v>321461</v>
      </c>
      <c r="M23" s="13" t="n">
        <v>437248</v>
      </c>
      <c r="N23" s="13" t="n">
        <v>879178</v>
      </c>
      <c r="O23" s="13" t="n">
        <v>808677</v>
      </c>
      <c r="P23" s="13" t="n">
        <v>785091</v>
      </c>
      <c r="Q23" s="13" t="n">
        <v>607779</v>
      </c>
      <c r="R23" s="13" t="n">
        <v>503948</v>
      </c>
      <c r="S23" s="7"/>
      <c r="T23" s="7"/>
      <c r="U23" s="7"/>
      <c r="V23" s="7"/>
      <c r="W23" s="7"/>
    </row>
    <row r="24" customFormat="false" ht="12" hidden="false" customHeight="true" outlineLevel="0" collapsed="false">
      <c r="A24" s="8" t="s">
        <v>37</v>
      </c>
      <c r="B24" s="9" t="s">
        <v>38</v>
      </c>
      <c r="C24" s="9" t="s">
        <v>31</v>
      </c>
      <c r="D24" s="9" t="s">
        <v>16</v>
      </c>
      <c r="E24" s="10" t="n">
        <f aca="false">1000*'3-31-99 and 98 end'!E39</f>
        <v>397000</v>
      </c>
      <c r="F24" s="11"/>
      <c r="G24" s="26" t="n">
        <f aca="false">(I24-E24)*1/3+E24</f>
        <v>832759.903333333</v>
      </c>
      <c r="H24" s="26" t="n">
        <f aca="false">(I24-E24)*2/3+E24</f>
        <v>1268519.80666667</v>
      </c>
      <c r="I24" s="13" t="n">
        <v>1704279.71</v>
      </c>
      <c r="J24" s="13" t="n">
        <v>1857644.84</v>
      </c>
      <c r="K24" s="13" t="n">
        <v>1920000.33</v>
      </c>
      <c r="L24" s="13" t="n">
        <v>2105966.77</v>
      </c>
      <c r="M24" s="13" t="n">
        <v>2224024.51</v>
      </c>
      <c r="N24" s="13" t="n">
        <v>2202166.56</v>
      </c>
      <c r="O24" s="13" t="n">
        <v>2160017.07</v>
      </c>
      <c r="P24" s="13" t="n">
        <v>1742172.94</v>
      </c>
      <c r="Q24" s="13" t="n">
        <v>1745908.45</v>
      </c>
      <c r="R24" s="26" t="n">
        <f aca="false">Q24</f>
        <v>1745908.45</v>
      </c>
      <c r="S24" s="7"/>
      <c r="T24" s="7"/>
      <c r="U24" s="7"/>
      <c r="V24" s="7"/>
      <c r="W24" s="7"/>
    </row>
    <row r="25" customFormat="false" ht="12" hidden="false" customHeight="true" outlineLevel="0" collapsed="false">
      <c r="A25" s="8" t="s">
        <v>37</v>
      </c>
      <c r="B25" s="9" t="s">
        <v>39</v>
      </c>
      <c r="C25" s="9" t="s">
        <v>31</v>
      </c>
      <c r="D25" s="9" t="s">
        <v>17</v>
      </c>
      <c r="E25" s="10" t="n">
        <f aca="false">1000*'3-31-99 and 98 end'!E38</f>
        <v>0</v>
      </c>
      <c r="F25" s="11"/>
      <c r="G25" s="26" t="n">
        <f aca="false">(I25-E25)*1/3+E25</f>
        <v>26000.74</v>
      </c>
      <c r="H25" s="26" t="n">
        <f aca="false">(I25-E25)*2/3+E25</f>
        <v>52001.48</v>
      </c>
      <c r="I25" s="13" t="n">
        <v>78002.22</v>
      </c>
      <c r="J25" s="13" t="n">
        <v>4781077.21</v>
      </c>
      <c r="K25" s="13" t="n">
        <v>4689175.86</v>
      </c>
      <c r="L25" s="13" t="n">
        <v>3574673.61</v>
      </c>
      <c r="M25" s="13" t="n">
        <v>3656490.09</v>
      </c>
      <c r="N25" s="13" t="n">
        <v>3614812.98</v>
      </c>
      <c r="O25" s="13" t="n">
        <v>4376525.33</v>
      </c>
      <c r="P25" s="13" t="n">
        <v>3738107.48</v>
      </c>
      <c r="Q25" s="13" t="n">
        <v>3589218.36</v>
      </c>
      <c r="R25" s="26" t="n">
        <f aca="false">Q25</f>
        <v>3589218.36</v>
      </c>
      <c r="S25" s="7"/>
      <c r="T25" s="7"/>
      <c r="U25" s="7"/>
      <c r="V25" s="7"/>
      <c r="W25" s="7"/>
    </row>
    <row r="26" customFormat="false" ht="12" hidden="false" customHeight="true" outlineLevel="0" collapsed="false">
      <c r="A26" s="8" t="s">
        <v>40</v>
      </c>
      <c r="B26" s="9" t="s">
        <v>41</v>
      </c>
      <c r="C26" s="9" t="s">
        <v>31</v>
      </c>
      <c r="D26" s="9" t="s">
        <v>20</v>
      </c>
      <c r="E26" s="13" t="n">
        <v>0</v>
      </c>
      <c r="F26" s="11"/>
      <c r="G26" s="13" t="n">
        <v>0</v>
      </c>
      <c r="H26" s="13" t="n">
        <v>0</v>
      </c>
      <c r="I26" s="13" t="n">
        <v>0</v>
      </c>
      <c r="J26" s="13" t="n">
        <v>0</v>
      </c>
      <c r="K26" s="13" t="n">
        <v>0</v>
      </c>
      <c r="L26" s="13" t="n">
        <v>0</v>
      </c>
      <c r="M26" s="13" t="n">
        <v>0</v>
      </c>
      <c r="N26" s="13" t="n">
        <v>0</v>
      </c>
      <c r="O26" s="13" t="n">
        <v>0</v>
      </c>
      <c r="P26" s="13" t="n">
        <v>0</v>
      </c>
      <c r="Q26" s="13" t="n">
        <v>2239526.93200883</v>
      </c>
      <c r="R26" s="13" t="n">
        <v>2833349.55718782</v>
      </c>
      <c r="S26" s="7"/>
      <c r="T26" s="7"/>
      <c r="U26" s="7"/>
      <c r="V26" s="7"/>
      <c r="W26" s="7"/>
    </row>
    <row r="27" customFormat="false" ht="12" hidden="false" customHeight="true" outlineLevel="0" collapsed="false">
      <c r="B27" s="9"/>
      <c r="C27" s="9"/>
      <c r="D27" s="9"/>
      <c r="E27" s="27"/>
      <c r="F27" s="11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9"/>
      <c r="T27" s="7" t="s">
        <v>0</v>
      </c>
      <c r="U27" s="7" t="s">
        <v>1</v>
      </c>
      <c r="V27" s="7" t="s">
        <v>2</v>
      </c>
      <c r="W27" s="9"/>
    </row>
    <row r="28" customFormat="false" ht="12" hidden="false" customHeight="true" outlineLevel="0" collapsed="false">
      <c r="B28" s="9" t="s">
        <v>42</v>
      </c>
      <c r="C28" s="9"/>
      <c r="D28" s="9"/>
      <c r="E28" s="28" t="n">
        <f aca="false">SQRT(SUMSQ(SUM(E2:E3),E4:E10))</f>
        <v>14684005.9006095</v>
      </c>
      <c r="F28" s="11"/>
      <c r="G28" s="28" t="n">
        <f aca="false">SQRT(SUMSQ(SUM(G2:G3),G4:G10))</f>
        <v>23177424.5486618</v>
      </c>
      <c r="H28" s="28" t="n">
        <f aca="false">SQRT(SUMSQ(SUM(H2:H3),H4:H10))</f>
        <v>23136769.6796286</v>
      </c>
      <c r="I28" s="28" t="n">
        <f aca="false">SQRT(SUMSQ(SUM(I2:I3),I4:I10))</f>
        <v>24753444.6773366</v>
      </c>
      <c r="J28" s="28" t="n">
        <f aca="false">SQRT(SUMSQ(SUM(J2:J3),J4:J10))</f>
        <v>28423135.3626495</v>
      </c>
      <c r="K28" s="28" t="n">
        <f aca="false">SQRT(SUMSQ(SUM(K2:K3),K4:K10))</f>
        <v>24823607.617281</v>
      </c>
      <c r="L28" s="28" t="n">
        <f aca="false">SQRT(SUMSQ(SUM(L2:L3),L4:L10))</f>
        <v>36608356.3620005</v>
      </c>
      <c r="M28" s="28" t="n">
        <f aca="false">SQRT(SUMSQ(SUM(M2:M3),M4:M10))</f>
        <v>25385569.6815786</v>
      </c>
      <c r="N28" s="28" t="n">
        <f aca="false">SQRT(SUMSQ(SUM(N2:N3),N4:N10))</f>
        <v>18010577.9970862</v>
      </c>
      <c r="O28" s="28" t="n">
        <f aca="false">SQRT(SUMSQ(SUM(O2:O3),O4:O10))</f>
        <v>23403732.0522292</v>
      </c>
      <c r="P28" s="28" t="n">
        <f aca="false">SQRT(SUMSQ(SUM(P2:P3),P4:P10))</f>
        <v>19001978.5773513</v>
      </c>
      <c r="Q28" s="28" t="n">
        <f aca="false">SQRT(SUMSQ(SUM(Q2:Q3),Q4:Q10))</f>
        <v>16173937.686301</v>
      </c>
      <c r="R28" s="28" t="n">
        <f aca="false">SQRT(SUMSQ(SUM(R2:R3),R4:R10))</f>
        <v>20968806.4571575</v>
      </c>
      <c r="S28" s="9"/>
      <c r="T28" s="14" t="n">
        <f aca="false">AVERAGE($G28:$R28)</f>
        <v>23655611.7249385</v>
      </c>
      <c r="U28" s="14" t="n">
        <f aca="false">MAX($G28:$R28)</f>
        <v>36608356.3620005</v>
      </c>
      <c r="V28" s="14" t="n">
        <f aca="false">MIN($G28:$R28)</f>
        <v>16173937.686301</v>
      </c>
      <c r="W28" s="9"/>
    </row>
    <row r="29" customFormat="false" ht="12" hidden="false" customHeight="true" outlineLevel="0" collapsed="false">
      <c r="B29" s="9" t="s">
        <v>43</v>
      </c>
      <c r="C29" s="9"/>
      <c r="D29" s="9"/>
      <c r="E29" s="28" t="n">
        <f aca="false">E11</f>
        <v>77000</v>
      </c>
      <c r="F29" s="11"/>
      <c r="G29" s="28" t="n">
        <f aca="false">G11</f>
        <v>328925.767333014</v>
      </c>
      <c r="H29" s="28" t="n">
        <f aca="false">H11</f>
        <v>116374.32119092</v>
      </c>
      <c r="I29" s="28" t="n">
        <f aca="false">I11</f>
        <v>101433</v>
      </c>
      <c r="J29" s="28" t="n">
        <f aca="false">J11</f>
        <v>238519.269878911</v>
      </c>
      <c r="K29" s="28" t="n">
        <f aca="false">K11</f>
        <v>113489.007442385</v>
      </c>
      <c r="L29" s="28" t="n">
        <f aca="false">L11</f>
        <v>139000</v>
      </c>
      <c r="M29" s="29" t="n">
        <f aca="false">M11</f>
        <v>136571.517430667</v>
      </c>
      <c r="N29" s="29" t="n">
        <f aca="false">N11</f>
        <v>445157.66</v>
      </c>
      <c r="O29" s="29" t="n">
        <f aca="false">O11</f>
        <v>411253.905078859</v>
      </c>
      <c r="P29" s="29" t="n">
        <f aca="false">P11</f>
        <v>490477.46</v>
      </c>
      <c r="Q29" s="29" t="n">
        <f aca="false">Q11</f>
        <v>175321.68</v>
      </c>
      <c r="R29" s="29" t="n">
        <f aca="false">R11</f>
        <v>402833.5</v>
      </c>
      <c r="S29" s="9"/>
      <c r="T29" s="14" t="n">
        <f aca="false">AVERAGE($G29:$R29)</f>
        <v>258279.757362896</v>
      </c>
      <c r="U29" s="14" t="n">
        <f aca="false">MAX($G29:$R29)</f>
        <v>490477.46</v>
      </c>
      <c r="V29" s="14" t="n">
        <f aca="false">MIN($G29:$R29)</f>
        <v>101433</v>
      </c>
      <c r="W29" s="9"/>
    </row>
    <row r="30" customFormat="false" ht="12" hidden="false" customHeight="true" outlineLevel="0" collapsed="false">
      <c r="B30" s="9" t="s">
        <v>44</v>
      </c>
      <c r="C30" s="9"/>
      <c r="D30" s="9"/>
      <c r="E30" s="28" t="n">
        <f aca="false">E12</f>
        <v>44000</v>
      </c>
      <c r="F30" s="11"/>
      <c r="G30" s="28" t="n">
        <f aca="false">G12</f>
        <v>44989.3513236433</v>
      </c>
      <c r="H30" s="28" t="n">
        <f aca="false">H12</f>
        <v>15917.2851174293</v>
      </c>
      <c r="I30" s="28" t="n">
        <f aca="false">I12</f>
        <v>65631</v>
      </c>
      <c r="J30" s="28" t="n">
        <f aca="false">J12</f>
        <v>32623.8571001858</v>
      </c>
      <c r="K30" s="28" t="n">
        <f aca="false">K12</f>
        <v>15522.6416847658</v>
      </c>
      <c r="L30" s="28" t="n">
        <f aca="false">L12</f>
        <v>26000</v>
      </c>
      <c r="M30" s="29" t="n">
        <f aca="false">M12</f>
        <v>18679.7891460741</v>
      </c>
      <c r="N30" s="29" t="n">
        <f aca="false">N12</f>
        <v>59819.37</v>
      </c>
      <c r="O30" s="29" t="n">
        <f aca="false">O12</f>
        <v>16806.1418330592</v>
      </c>
      <c r="P30" s="29" t="n">
        <f aca="false">P12</f>
        <v>61989.08</v>
      </c>
      <c r="Q30" s="29" t="n">
        <f aca="false">Q12</f>
        <v>48221.91</v>
      </c>
      <c r="R30" s="29" t="n">
        <f aca="false">R12</f>
        <v>88015.32</v>
      </c>
      <c r="S30" s="9"/>
      <c r="T30" s="14" t="n">
        <f aca="false">AVERAGE($G30:$R30)</f>
        <v>41184.6455170965</v>
      </c>
      <c r="U30" s="14" t="n">
        <f aca="false">MAX($G30:$R30)</f>
        <v>88015.32</v>
      </c>
      <c r="V30" s="14" t="n">
        <f aca="false">MIN($G30:$R30)</f>
        <v>15522.6416847658</v>
      </c>
      <c r="W30" s="9"/>
    </row>
    <row r="31" customFormat="false" ht="12" hidden="false" customHeight="true" outlineLevel="0" collapsed="false">
      <c r="B31" s="9" t="s">
        <v>45</v>
      </c>
      <c r="C31" s="9"/>
      <c r="D31" s="9"/>
      <c r="E31" s="28" t="n">
        <f aca="false">SQRT(SUMSQ(E13:E19))</f>
        <v>12465183.2138263</v>
      </c>
      <c r="F31" s="11"/>
      <c r="G31" s="28" t="n">
        <f aca="false">SQRT(SUMSQ(G13:G19))</f>
        <v>16110958.4951712</v>
      </c>
      <c r="H31" s="28" t="n">
        <f aca="false">SQRT(SUMSQ(H13:H19))</f>
        <v>14469984.4925708</v>
      </c>
      <c r="I31" s="28" t="n">
        <f aca="false">SQRT(SUMSQ(I13:I19))</f>
        <v>16094421.4837915</v>
      </c>
      <c r="J31" s="28" t="n">
        <f aca="false">SQRT(SUMSQ(J13:J19))</f>
        <v>16666458.2008383</v>
      </c>
      <c r="K31" s="28" t="n">
        <f aca="false">SQRT(SUMSQ(K13:K19))</f>
        <v>17297546.7247137</v>
      </c>
      <c r="L31" s="28" t="n">
        <f aca="false">SQRT(SUMSQ(L13:L19))</f>
        <v>29240671.0512473</v>
      </c>
      <c r="M31" s="29" t="n">
        <f aca="false">SQRT(SUMSQ(M13:M19))</f>
        <v>21719616.9295683</v>
      </c>
      <c r="N31" s="29" t="n">
        <f aca="false">SQRT(SUMSQ(N13:N19))</f>
        <v>19458144.1993855</v>
      </c>
      <c r="O31" s="29" t="n">
        <f aca="false">SQRT(SUMSQ(O13:O19))</f>
        <v>17872205.1987348</v>
      </c>
      <c r="P31" s="29" t="n">
        <f aca="false">SQRT(SUMSQ(P13:P19))</f>
        <v>18551833.1092653</v>
      </c>
      <c r="Q31" s="29" t="n">
        <f aca="false">SQRT(SUMSQ(Q13:Q19))</f>
        <v>21521342.8112752</v>
      </c>
      <c r="R31" s="29" t="n">
        <f aca="false">SQRT(SUMSQ(R13:R19))</f>
        <v>26425551.596896</v>
      </c>
      <c r="S31" s="9"/>
      <c r="T31" s="14" t="n">
        <f aca="false">AVERAGE($G31:$R31)</f>
        <v>19619061.1911215</v>
      </c>
      <c r="U31" s="14" t="n">
        <f aca="false">MAX($G31:$R31)</f>
        <v>29240671.0512473</v>
      </c>
      <c r="V31" s="14" t="n">
        <f aca="false">MIN($G31:$R31)</f>
        <v>14469984.4925708</v>
      </c>
      <c r="W31" s="9"/>
    </row>
    <row r="32" customFormat="false" ht="12" hidden="false" customHeight="true" outlineLevel="0" collapsed="false">
      <c r="B32" s="9" t="s">
        <v>46</v>
      </c>
      <c r="C32" s="9"/>
      <c r="D32" s="9"/>
      <c r="E32" s="28" t="n">
        <f aca="false">SQRT(SUMSQ(E20:E23))</f>
        <v>10409302.0899578</v>
      </c>
      <c r="F32" s="11"/>
      <c r="G32" s="28" t="n">
        <f aca="false">SQRT(SUMSQ(G20:G23))</f>
        <v>10027853.4283798</v>
      </c>
      <c r="H32" s="28" t="n">
        <f aca="false">SQRT(SUMSQ(H20:H23))</f>
        <v>9713432.74004407</v>
      </c>
      <c r="I32" s="28" t="n">
        <f aca="false">SQRT(SUMSQ(I20:I23))</f>
        <v>9194167.64585833</v>
      </c>
      <c r="J32" s="28" t="n">
        <f aca="false">SQRT(SUMSQ(J20:J23))</f>
        <v>11960076.169782</v>
      </c>
      <c r="K32" s="28" t="n">
        <f aca="false">SQRT(SUMSQ(K20:K23))</f>
        <v>14781157.9052242</v>
      </c>
      <c r="L32" s="28" t="n">
        <f aca="false">SQRT(SUMSQ(L20:L23))</f>
        <v>17831885.9729768</v>
      </c>
      <c r="M32" s="29" t="n">
        <f aca="false">SQRT(SUMSQ(M20:M23))</f>
        <v>17675129.3778678</v>
      </c>
      <c r="N32" s="29" t="n">
        <f aca="false">SQRT(SUMSQ(N20:N23))</f>
        <v>2093531.80512</v>
      </c>
      <c r="O32" s="29" t="n">
        <f aca="false">SQRT(SUMSQ(O20:O23))</f>
        <v>1845809.87721108</v>
      </c>
      <c r="P32" s="29" t="n">
        <f aca="false">SQRT(SUMSQ(P20:P23))</f>
        <v>1848760.76617447</v>
      </c>
      <c r="Q32" s="29" t="n">
        <f aca="false">SQRT(SUMSQ(Q20:Q23))</f>
        <v>1730344.94176768</v>
      </c>
      <c r="R32" s="29" t="n">
        <f aca="false">SQRT(SUMSQ(R20:R23))</f>
        <v>1388846.83526334</v>
      </c>
      <c r="S32" s="9"/>
      <c r="T32" s="14" t="n">
        <f aca="false">AVERAGE($G32:$R32)</f>
        <v>8340916.45547246</v>
      </c>
      <c r="U32" s="14" t="n">
        <f aca="false">MAX($G32:$R32)</f>
        <v>17831885.9729768</v>
      </c>
      <c r="V32" s="14" t="n">
        <f aca="false">MIN($G32:$R32)</f>
        <v>1388846.83526334</v>
      </c>
      <c r="W32" s="9"/>
    </row>
    <row r="33" customFormat="false" ht="12" hidden="false" customHeight="true" outlineLevel="0" collapsed="false">
      <c r="B33" s="9" t="s">
        <v>47</v>
      </c>
      <c r="C33" s="9"/>
      <c r="D33" s="9"/>
      <c r="E33" s="28" t="n">
        <f aca="false">E24</f>
        <v>397000</v>
      </c>
      <c r="F33" s="11"/>
      <c r="G33" s="28" t="n">
        <f aca="false">G24</f>
        <v>832759.903333333</v>
      </c>
      <c r="H33" s="28" t="n">
        <f aca="false">H24</f>
        <v>1268519.80666667</v>
      </c>
      <c r="I33" s="28" t="n">
        <f aca="false">I24</f>
        <v>1704279.71</v>
      </c>
      <c r="J33" s="28" t="n">
        <f aca="false">J24</f>
        <v>1857644.84</v>
      </c>
      <c r="K33" s="28" t="n">
        <f aca="false">K24</f>
        <v>1920000.33</v>
      </c>
      <c r="L33" s="28" t="n">
        <f aca="false">L24</f>
        <v>2105966.77</v>
      </c>
      <c r="M33" s="29" t="n">
        <f aca="false">M24</f>
        <v>2224024.51</v>
      </c>
      <c r="N33" s="29" t="n">
        <f aca="false">N24</f>
        <v>2202166.56</v>
      </c>
      <c r="O33" s="29" t="n">
        <f aca="false">O24</f>
        <v>2160017.07</v>
      </c>
      <c r="P33" s="29" t="n">
        <f aca="false">P24</f>
        <v>1742172.94</v>
      </c>
      <c r="Q33" s="29" t="n">
        <f aca="false">Q24</f>
        <v>1745908.45</v>
      </c>
      <c r="R33" s="29" t="n">
        <f aca="false">R24</f>
        <v>1745908.45</v>
      </c>
      <c r="S33" s="9"/>
      <c r="T33" s="14" t="n">
        <f aca="false">AVERAGE($G33:$R33)</f>
        <v>1792447.445</v>
      </c>
      <c r="U33" s="14" t="n">
        <f aca="false">MAX($G33:$R33)</f>
        <v>2224024.51</v>
      </c>
      <c r="V33" s="14" t="n">
        <f aca="false">MIN($G33:$R33)</f>
        <v>832759.903333333</v>
      </c>
      <c r="W33" s="9"/>
    </row>
    <row r="34" customFormat="false" ht="12" hidden="false" customHeight="true" outlineLevel="0" collapsed="false">
      <c r="B34" s="9" t="s">
        <v>48</v>
      </c>
      <c r="C34" s="9"/>
      <c r="D34" s="9"/>
      <c r="E34" s="28" t="n">
        <f aca="false">E25</f>
        <v>0</v>
      </c>
      <c r="F34" s="11"/>
      <c r="G34" s="28" t="n">
        <f aca="false">G25</f>
        <v>26000.74</v>
      </c>
      <c r="H34" s="28" t="n">
        <f aca="false">H25</f>
        <v>52001.48</v>
      </c>
      <c r="I34" s="28" t="n">
        <f aca="false">I25</f>
        <v>78002.22</v>
      </c>
      <c r="J34" s="28" t="n">
        <f aca="false">J25</f>
        <v>4781077.21</v>
      </c>
      <c r="K34" s="28" t="n">
        <f aca="false">K25</f>
        <v>4689175.86</v>
      </c>
      <c r="L34" s="28" t="n">
        <f aca="false">L25</f>
        <v>3574673.61</v>
      </c>
      <c r="M34" s="29" t="n">
        <f aca="false">M25</f>
        <v>3656490.09</v>
      </c>
      <c r="N34" s="29" t="n">
        <f aca="false">N25</f>
        <v>3614812.98</v>
      </c>
      <c r="O34" s="29" t="n">
        <f aca="false">O25</f>
        <v>4376525.33</v>
      </c>
      <c r="P34" s="29" t="n">
        <f aca="false">P25</f>
        <v>3738107.48</v>
      </c>
      <c r="Q34" s="29" t="n">
        <f aca="false">Q25</f>
        <v>3589218.36</v>
      </c>
      <c r="R34" s="29" t="n">
        <f aca="false">R25</f>
        <v>3589218.36</v>
      </c>
      <c r="S34" s="9"/>
      <c r="T34" s="14" t="n">
        <f aca="false">AVERAGE($G34:$R34)</f>
        <v>2980441.97666667</v>
      </c>
      <c r="U34" s="14" t="n">
        <f aca="false">MAX($G34:$R34)</f>
        <v>4781077.21</v>
      </c>
      <c r="V34" s="14" t="n">
        <f aca="false">MIN($G34:$R34)</f>
        <v>26000.74</v>
      </c>
      <c r="W34" s="9"/>
    </row>
    <row r="35" customFormat="false" ht="12" hidden="false" customHeight="true" outlineLevel="0" collapsed="false">
      <c r="B35" s="9" t="s">
        <v>49</v>
      </c>
      <c r="C35" s="9"/>
      <c r="D35" s="9"/>
      <c r="E35" s="28" t="n">
        <f aca="false">E26</f>
        <v>0</v>
      </c>
      <c r="F35" s="11"/>
      <c r="G35" s="28" t="n">
        <f aca="false">G26</f>
        <v>0</v>
      </c>
      <c r="H35" s="28" t="n">
        <f aca="false">H26</f>
        <v>0</v>
      </c>
      <c r="I35" s="28" t="n">
        <f aca="false">I26</f>
        <v>0</v>
      </c>
      <c r="J35" s="28" t="n">
        <f aca="false">J26</f>
        <v>0</v>
      </c>
      <c r="K35" s="28" t="n">
        <f aca="false">K26</f>
        <v>0</v>
      </c>
      <c r="L35" s="28" t="n">
        <f aca="false">L26</f>
        <v>0</v>
      </c>
      <c r="M35" s="28" t="n">
        <f aca="false">M26</f>
        <v>0</v>
      </c>
      <c r="N35" s="28" t="n">
        <f aca="false">N26</f>
        <v>0</v>
      </c>
      <c r="O35" s="28" t="n">
        <f aca="false">O26</f>
        <v>0</v>
      </c>
      <c r="P35" s="28" t="n">
        <f aca="false">P26</f>
        <v>0</v>
      </c>
      <c r="Q35" s="28" t="n">
        <f aca="false">Q26</f>
        <v>2239526.93200883</v>
      </c>
      <c r="R35" s="28" t="n">
        <f aca="false">R26</f>
        <v>2833349.55718782</v>
      </c>
      <c r="S35" s="9"/>
      <c r="T35" s="14" t="n">
        <f aca="false">AVERAGE($G35:$R35)</f>
        <v>422739.707433054</v>
      </c>
      <c r="U35" s="14" t="n">
        <f aca="false">MAX($G35:$R35)</f>
        <v>2833349.55718782</v>
      </c>
      <c r="V35" s="14" t="n">
        <f aca="false">MIN($G35:$R35)</f>
        <v>0</v>
      </c>
      <c r="W35" s="9"/>
    </row>
    <row r="36" customFormat="false" ht="12" hidden="false" customHeight="true" outlineLevel="0" collapsed="false">
      <c r="B36" s="9"/>
      <c r="C36" s="9"/>
      <c r="D36" s="9"/>
      <c r="E36" s="27"/>
      <c r="F36" s="11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9"/>
      <c r="T36" s="9"/>
      <c r="U36" s="9"/>
      <c r="V36" s="9"/>
      <c r="W36" s="9"/>
    </row>
    <row r="37" customFormat="false" ht="12" hidden="false" customHeight="true" outlineLevel="0" collapsed="false">
      <c r="A37" s="30"/>
      <c r="B37" s="9" t="s">
        <v>50</v>
      </c>
      <c r="C37" s="9"/>
      <c r="D37" s="9"/>
      <c r="E37" s="31" t="n">
        <f aca="false">SQRT(SUMSQ(E28:E35))</f>
        <v>21897942.0458497</v>
      </c>
      <c r="F37" s="11"/>
      <c r="G37" s="31" t="n">
        <f aca="false">SQRT(SUMSQ(G28:G35))</f>
        <v>29968620.555847</v>
      </c>
      <c r="H37" s="31" t="n">
        <f aca="false">SQRT(SUMSQ(H28:H35))</f>
        <v>28994257.7248532</v>
      </c>
      <c r="I37" s="31" t="n">
        <f aca="false">SQRT(SUMSQ(I28:I35))</f>
        <v>30971299.5327922</v>
      </c>
      <c r="J37" s="31" t="n">
        <f aca="false">SQRT(SUMSQ(J28:J35))</f>
        <v>35426774.8205858</v>
      </c>
      <c r="K37" s="31" t="n">
        <f aca="false">SQRT(SUMSQ(K28:K35))</f>
        <v>34052711.1853076</v>
      </c>
      <c r="L37" s="31" t="n">
        <f aca="false">SQRT(SUMSQ(L28:L35))</f>
        <v>50303062.937182</v>
      </c>
      <c r="M37" s="31" t="n">
        <f aca="false">SQRT(SUMSQ(M28:M35))</f>
        <v>38038326.8778095</v>
      </c>
      <c r="N37" s="31" t="n">
        <f aca="false">SQRT(SUMSQ(N28:N35))</f>
        <v>26935131.7990073</v>
      </c>
      <c r="O37" s="31" t="n">
        <f aca="false">SQRT(SUMSQ(O28:O35))</f>
        <v>29908969.669126</v>
      </c>
      <c r="P37" s="31" t="n">
        <f aca="false">SQRT(SUMSQ(P28:P35))</f>
        <v>26942840.2884404</v>
      </c>
      <c r="Q37" s="31" t="n">
        <f aca="false">SQRT(SUMSQ(Q28:Q35))</f>
        <v>27363073.2735395</v>
      </c>
      <c r="R37" s="31" t="n">
        <f aca="false">SQRT(SUMSQ(R28:R35))</f>
        <v>34118295.5752452</v>
      </c>
      <c r="S37" s="9"/>
      <c r="T37" s="9"/>
      <c r="U37" s="9"/>
      <c r="V37" s="9"/>
      <c r="W37" s="9"/>
    </row>
    <row r="38" customFormat="false" ht="12" hidden="false" customHeight="true" outlineLevel="0" collapsed="false">
      <c r="B38" s="9"/>
      <c r="C38" s="9"/>
      <c r="D38" s="9"/>
      <c r="E38" s="27"/>
      <c r="F38" s="11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9"/>
      <c r="T38" s="9"/>
      <c r="U38" s="9"/>
      <c r="V38" s="9"/>
      <c r="W38" s="9"/>
    </row>
    <row r="39" customFormat="false" ht="12" hidden="false" customHeight="true" outlineLevel="0" collapsed="false">
      <c r="B39" s="9"/>
      <c r="C39" s="9"/>
      <c r="D39" s="9"/>
      <c r="E39" s="9"/>
      <c r="F39" s="9"/>
      <c r="G39" s="32" t="s">
        <v>51</v>
      </c>
      <c r="H39" s="33"/>
      <c r="I39" s="33"/>
      <c r="J39" s="33"/>
      <c r="K39" s="33"/>
      <c r="L39" s="33"/>
      <c r="M39" s="33"/>
      <c r="N39" s="33"/>
      <c r="O39" s="9"/>
      <c r="P39" s="9"/>
      <c r="Q39" s="9"/>
      <c r="R39" s="9"/>
      <c r="S39" s="9"/>
      <c r="T39" s="9"/>
      <c r="U39" s="9"/>
      <c r="V39" s="9"/>
      <c r="W39" s="9"/>
    </row>
    <row r="40" customFormat="false" ht="12" hidden="false" customHeight="true" outlineLevel="0" collapsed="false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</row>
  </sheetData>
  <sheetProtection sheet="true" objects="true" scenarios="true"/>
  <printOptions headings="false" gridLines="false" gridLinesSet="true" horizontalCentered="false" verticalCentered="false"/>
  <pageMargins left="0.179861111111111" right="0.1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4" ySplit="1" topLeftCell="K2" activePane="bottomRight" state="frozen"/>
      <selection pane="topLeft" activeCell="A1" activeCellId="0" sqref="A1"/>
      <selection pane="topRight" activeCell="K1" activeCellId="0" sqref="K1"/>
      <selection pane="bottomLeft" activeCell="A2" activeCellId="0" sqref="A2"/>
      <selection pane="bottomRight" activeCell="N48" activeCellId="0" sqref="N48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34" width="54.41"/>
    <col collapsed="false" customWidth="true" hidden="false" outlineLevel="0" max="2" min="2" style="35" width="3.85"/>
    <col collapsed="false" customWidth="true" hidden="false" outlineLevel="0" max="3" min="3" style="35" width="10.85"/>
    <col collapsed="false" customWidth="true" hidden="false" outlineLevel="0" max="4" min="4" style="35" width="2.56"/>
    <col collapsed="false" customWidth="true" hidden="false" outlineLevel="0" max="16" min="5" style="36" width="12.14"/>
    <col collapsed="false" customWidth="true" hidden="false" outlineLevel="0" max="17" min="17" style="37" width="2.13"/>
    <col collapsed="false" customWidth="true" hidden="false" outlineLevel="0" max="20" min="18" style="38" width="12.14"/>
    <col collapsed="false" customWidth="true" hidden="false" outlineLevel="0" max="21" min="21" style="37" width="3.7"/>
    <col collapsed="false" customWidth="false" hidden="false" outlineLevel="0" max="257" min="22" style="37" width="9.14"/>
  </cols>
  <sheetData>
    <row r="1" customFormat="false" ht="12" hidden="false" customHeight="true" outlineLevel="0" collapsed="false">
      <c r="A1" s="39"/>
      <c r="B1" s="40"/>
      <c r="C1" s="41" t="n">
        <v>36495</v>
      </c>
      <c r="D1" s="42"/>
      <c r="E1" s="41" t="n">
        <v>36526</v>
      </c>
      <c r="F1" s="41" t="n">
        <v>36557</v>
      </c>
      <c r="G1" s="41" t="n">
        <v>36586</v>
      </c>
      <c r="H1" s="41" t="n">
        <v>36617</v>
      </c>
      <c r="I1" s="41" t="n">
        <v>36647</v>
      </c>
      <c r="J1" s="41" t="n">
        <v>36678</v>
      </c>
      <c r="K1" s="41" t="n">
        <v>36708</v>
      </c>
      <c r="L1" s="41" t="n">
        <v>36739</v>
      </c>
      <c r="M1" s="41" t="n">
        <v>36770</v>
      </c>
      <c r="N1" s="41" t="n">
        <v>36800</v>
      </c>
      <c r="O1" s="41" t="n">
        <v>36831</v>
      </c>
      <c r="P1" s="41" t="n">
        <v>36861</v>
      </c>
      <c r="Q1" s="39"/>
      <c r="R1" s="39" t="s">
        <v>0</v>
      </c>
      <c r="S1" s="39" t="s">
        <v>1</v>
      </c>
      <c r="T1" s="39" t="s">
        <v>2</v>
      </c>
      <c r="U1" s="39"/>
    </row>
    <row r="2" customFormat="false" ht="12" hidden="false" customHeight="true" outlineLevel="0" collapsed="false">
      <c r="A2" s="43" t="s">
        <v>4</v>
      </c>
      <c r="B2" s="44" t="s">
        <v>52</v>
      </c>
      <c r="C2" s="45"/>
      <c r="D2" s="46"/>
      <c r="E2" s="47" t="n">
        <v>23648142</v>
      </c>
      <c r="F2" s="48" t="n">
        <v>18913435</v>
      </c>
      <c r="G2" s="48" t="n">
        <v>28703135</v>
      </c>
      <c r="H2" s="48" t="n">
        <v>45126975</v>
      </c>
      <c r="I2" s="48" t="n">
        <v>45127067.3382702</v>
      </c>
      <c r="J2" s="48" t="n">
        <v>49267360.5571446</v>
      </c>
      <c r="K2" s="48" t="n">
        <v>42872948.8941392</v>
      </c>
      <c r="L2" s="48" t="n">
        <v>72747412.997819</v>
      </c>
      <c r="M2" s="48" t="n">
        <f aca="false">47000252.7202917</f>
        <v>47000252.7202917</v>
      </c>
      <c r="N2" s="48" t="n">
        <v>27755226.3312541</v>
      </c>
      <c r="O2" s="48" t="n">
        <v>71551459.7462032</v>
      </c>
      <c r="P2" s="49" t="n">
        <v>58748587.7613608</v>
      </c>
      <c r="Q2" s="39"/>
      <c r="R2" s="39"/>
      <c r="S2" s="39"/>
      <c r="T2" s="39"/>
      <c r="U2" s="39"/>
    </row>
    <row r="3" customFormat="false" ht="12" hidden="false" customHeight="true" outlineLevel="0" collapsed="false">
      <c r="A3" s="50" t="s">
        <v>7</v>
      </c>
      <c r="B3" s="51" t="s">
        <v>52</v>
      </c>
      <c r="C3" s="52"/>
      <c r="D3" s="53"/>
      <c r="E3" s="54" t="n">
        <v>2662112</v>
      </c>
      <c r="F3" s="55" t="n">
        <v>2447886</v>
      </c>
      <c r="G3" s="55" t="n">
        <v>2285580</v>
      </c>
      <c r="H3" s="55" t="n">
        <v>3078240</v>
      </c>
      <c r="I3" s="55" t="n">
        <v>2846150.17208833</v>
      </c>
      <c r="J3" s="55" t="n">
        <v>1934817.84020596</v>
      </c>
      <c r="K3" s="55" t="n">
        <v>2569586.09763149</v>
      </c>
      <c r="L3" s="55" t="n">
        <v>4156867.87902974</v>
      </c>
      <c r="M3" s="55" t="n">
        <v>4910305.11710285</v>
      </c>
      <c r="N3" s="55" t="n">
        <v>2969502.44308996</v>
      </c>
      <c r="O3" s="55" t="n">
        <v>7528489.44447631</v>
      </c>
      <c r="P3" s="56" t="n">
        <v>3941018.35293631</v>
      </c>
      <c r="Q3" s="39"/>
      <c r="R3" s="39"/>
      <c r="S3" s="39"/>
      <c r="T3" s="39"/>
      <c r="U3" s="39"/>
    </row>
    <row r="4" customFormat="false" ht="12" hidden="false" customHeight="true" outlineLevel="0" collapsed="false">
      <c r="A4" s="50" t="s">
        <v>8</v>
      </c>
      <c r="B4" s="51" t="s">
        <v>52</v>
      </c>
      <c r="C4" s="52"/>
      <c r="D4" s="53"/>
      <c r="E4" s="54" t="n">
        <f aca="false">7589.8558170981*1000</f>
        <v>7589855.8170981</v>
      </c>
      <c r="F4" s="55" t="n">
        <f aca="false">6950.63828900979*1000</f>
        <v>6950638.28900979</v>
      </c>
      <c r="G4" s="55" t="n">
        <f aca="false">7060.14736265567*1000</f>
        <v>7060147.36265567</v>
      </c>
      <c r="H4" s="55" t="n">
        <f aca="false">13910.5867087569*1000</f>
        <v>13910586.7087569</v>
      </c>
      <c r="I4" s="55" t="n">
        <f aca="false">12636.5841175892*1000</f>
        <v>12636584.1175892</v>
      </c>
      <c r="J4" s="55" t="n">
        <f aca="false">12932.4706021279*1000</f>
        <v>12932470.6021279</v>
      </c>
      <c r="K4" s="55" t="n">
        <f aca="false">14984.0014353593*1000</f>
        <v>14984001.4353593</v>
      </c>
      <c r="L4" s="55" t="n">
        <f aca="false">15417.1298752834*1000</f>
        <v>15417129.8752834</v>
      </c>
      <c r="M4" s="55" t="n">
        <f aca="false">16552.2442717714*1000</f>
        <v>16552244.2717714</v>
      </c>
      <c r="N4" s="55" t="n">
        <f aca="false">14243.4885282984*1000</f>
        <v>14243488.5282984</v>
      </c>
      <c r="O4" s="55" t="n">
        <f aca="false">15646*1000</f>
        <v>15646000</v>
      </c>
      <c r="P4" s="56" t="n">
        <f aca="false">1000*17930</f>
        <v>17930000</v>
      </c>
      <c r="Q4" s="39"/>
      <c r="R4" s="39"/>
      <c r="S4" s="39"/>
      <c r="T4" s="39"/>
      <c r="U4" s="39"/>
    </row>
    <row r="5" customFormat="false" ht="12" hidden="false" customHeight="true" outlineLevel="0" collapsed="false">
      <c r="A5" s="50" t="s">
        <v>9</v>
      </c>
      <c r="B5" s="51" t="s">
        <v>52</v>
      </c>
      <c r="C5" s="52"/>
      <c r="D5" s="53"/>
      <c r="E5" s="54" t="n">
        <v>1936000</v>
      </c>
      <c r="F5" s="55" t="n">
        <f aca="false">2104.88069699243*1000</f>
        <v>2104880.69699243</v>
      </c>
      <c r="G5" s="55" t="n">
        <f aca="false">1908.82298517186*1000</f>
        <v>1908822.98517186</v>
      </c>
      <c r="H5" s="55" t="n">
        <f aca="false">1898.64963246316*1000</f>
        <v>1898649.63246316</v>
      </c>
      <c r="I5" s="55" t="n">
        <f aca="false">1246.45088192924*1000</f>
        <v>1246450.88192924</v>
      </c>
      <c r="J5" s="55" t="n">
        <f aca="false">1242.07137353124*1000</f>
        <v>1242071.37353124</v>
      </c>
      <c r="K5" s="55" t="n">
        <f aca="false">1359.75620686751*1000</f>
        <v>1359756.20686751</v>
      </c>
      <c r="L5" s="55" t="n">
        <f aca="false">1329.30534*1000</f>
        <v>1329305.34</v>
      </c>
      <c r="M5" s="55" t="n">
        <f aca="false">1267.75592*1000</f>
        <v>1267755.92</v>
      </c>
      <c r="N5" s="55" t="n">
        <f aca="false">1388.62009*1000</f>
        <v>1388620.09</v>
      </c>
      <c r="O5" s="55" t="n">
        <f aca="false">1962.80789*1000</f>
        <v>1962807.89</v>
      </c>
      <c r="P5" s="56" t="n">
        <f aca="false">1000*1769.07871</f>
        <v>1769078.71</v>
      </c>
      <c r="Q5" s="39"/>
      <c r="R5" s="39"/>
      <c r="S5" s="39"/>
      <c r="T5" s="39"/>
      <c r="U5" s="39"/>
    </row>
    <row r="6" customFormat="false" ht="12" hidden="false" customHeight="true" outlineLevel="0" collapsed="false">
      <c r="A6" s="50" t="s">
        <v>10</v>
      </c>
      <c r="B6" s="51" t="s">
        <v>52</v>
      </c>
      <c r="C6" s="52"/>
      <c r="D6" s="53"/>
      <c r="E6" s="54" t="n">
        <v>208000</v>
      </c>
      <c r="F6" s="55" t="n">
        <f aca="false">211*1000</f>
        <v>211000</v>
      </c>
      <c r="G6" s="55" t="n">
        <f aca="false">617*1000</f>
        <v>617000</v>
      </c>
      <c r="H6" s="55" t="n">
        <f aca="false">310.375*1000</f>
        <v>310375</v>
      </c>
      <c r="I6" s="55" t="n">
        <f aca="false">300.099096904298*1000</f>
        <v>300099.096904298</v>
      </c>
      <c r="J6" s="55" t="n">
        <f aca="false">763*1000</f>
        <v>763000</v>
      </c>
      <c r="K6" s="55" t="n">
        <f aca="false">313.914727602778*1000</f>
        <v>313914.727602778</v>
      </c>
      <c r="L6" s="55" t="n">
        <f aca="false">420.23624*1000</f>
        <v>420236.24</v>
      </c>
      <c r="M6" s="55" t="n">
        <f aca="false">444.00061*1000</f>
        <v>444000.61</v>
      </c>
      <c r="N6" s="55" t="n">
        <f aca="false">400.83395*1000</f>
        <v>400833.95</v>
      </c>
      <c r="O6" s="55" t="n">
        <f aca="false">1000*440.48528</f>
        <v>440485.28</v>
      </c>
      <c r="P6" s="56" t="n">
        <f aca="false">1000*444.30535</f>
        <v>444305.35</v>
      </c>
      <c r="Q6" s="39"/>
      <c r="R6" s="39"/>
      <c r="S6" s="39"/>
      <c r="T6" s="39"/>
      <c r="U6" s="39"/>
    </row>
    <row r="7" customFormat="false" ht="12" hidden="false" customHeight="true" outlineLevel="0" collapsed="false">
      <c r="A7" s="50" t="s">
        <v>11</v>
      </c>
      <c r="B7" s="51" t="s">
        <v>52</v>
      </c>
      <c r="C7" s="52"/>
      <c r="D7" s="53"/>
      <c r="E7" s="54" t="n">
        <v>201000</v>
      </c>
      <c r="F7" s="55" t="n">
        <f aca="false">169.393115477633*1000</f>
        <v>169393.115477633</v>
      </c>
      <c r="G7" s="55" t="n">
        <f aca="false">117.904900665046*1000</f>
        <v>117904.900665046</v>
      </c>
      <c r="H7" s="55" t="n">
        <f aca="false">164.113650638791*1000</f>
        <v>164113.650638791</v>
      </c>
      <c r="I7" s="55" t="n">
        <f aca="false">38.2751745749971*1000</f>
        <v>38275.1745749971</v>
      </c>
      <c r="J7" s="55" t="n">
        <f aca="false">119.454*1000</f>
        <v>119454</v>
      </c>
      <c r="K7" s="55" t="n">
        <f aca="false">168.104*1000</f>
        <v>168104</v>
      </c>
      <c r="L7" s="55" t="n">
        <f aca="false">329.52547*1000</f>
        <v>329525.47</v>
      </c>
      <c r="M7" s="55" t="n">
        <f aca="false">360.35069*1000</f>
        <v>360350.69</v>
      </c>
      <c r="N7" s="55" t="n">
        <f aca="false">382.2602*1000</f>
        <v>382260.2</v>
      </c>
      <c r="O7" s="55" t="n">
        <f aca="false">1000*145.39142</f>
        <v>145391.42</v>
      </c>
      <c r="P7" s="56" t="n">
        <f aca="false">1000*284.1883</f>
        <v>284188.3</v>
      </c>
      <c r="Q7" s="39"/>
      <c r="R7" s="39"/>
      <c r="S7" s="39"/>
      <c r="T7" s="39"/>
      <c r="U7" s="39"/>
    </row>
    <row r="8" customFormat="false" ht="12" hidden="false" customHeight="true" outlineLevel="0" collapsed="false">
      <c r="A8" s="50" t="s">
        <v>12</v>
      </c>
      <c r="B8" s="51" t="s">
        <v>52</v>
      </c>
      <c r="C8" s="52"/>
      <c r="D8" s="53"/>
      <c r="E8" s="54" t="n">
        <v>394000</v>
      </c>
      <c r="F8" s="55" t="n">
        <f aca="false">227.938440303285*1000</f>
        <v>227938.440303285</v>
      </c>
      <c r="G8" s="55" t="n">
        <f aca="false">477.394374170693*1000</f>
        <v>477394.374170693</v>
      </c>
      <c r="H8" s="55" t="n">
        <f aca="false">449.119355109042*1000</f>
        <v>449119.355109042</v>
      </c>
      <c r="I8" s="55" t="n">
        <f aca="false">328.064709990273*1000</f>
        <v>328064.709990273</v>
      </c>
      <c r="J8" s="55" t="n">
        <f aca="false">404.324730065462*1000</f>
        <v>404324.730065462</v>
      </c>
      <c r="K8" s="55" t="n">
        <f aca="false">687.039619822875*1000</f>
        <v>687039.619822875</v>
      </c>
      <c r="L8" s="55" t="n">
        <f aca="false">591.419858261914*1000</f>
        <v>591419.858261914</v>
      </c>
      <c r="M8" s="55" t="n">
        <f aca="false">486.483*1000</f>
        <v>486483</v>
      </c>
      <c r="N8" s="55" t="n">
        <f aca="false">508.539*1000</f>
        <v>508539</v>
      </c>
      <c r="O8" s="55" t="n">
        <f aca="false">1000*392.6758</f>
        <v>392675.8</v>
      </c>
      <c r="P8" s="56" t="n">
        <f aca="false">1000*773.98985</f>
        <v>773989.85</v>
      </c>
      <c r="Q8" s="39"/>
      <c r="R8" s="39"/>
      <c r="S8" s="39"/>
      <c r="T8" s="39"/>
      <c r="U8" s="39"/>
    </row>
    <row r="9" customFormat="false" ht="12" hidden="false" customHeight="true" outlineLevel="0" collapsed="false">
      <c r="A9" s="50" t="s">
        <v>14</v>
      </c>
      <c r="B9" s="51" t="s">
        <v>52</v>
      </c>
      <c r="C9" s="52"/>
      <c r="D9" s="53"/>
      <c r="E9" s="54" t="n">
        <v>958000</v>
      </c>
      <c r="F9" s="55" t="n">
        <f aca="false">3036.533*1000</f>
        <v>3036533</v>
      </c>
      <c r="G9" s="55" t="n">
        <f aca="false">3555.784*1000</f>
        <v>3555784</v>
      </c>
      <c r="H9" s="55" t="n">
        <f aca="false">3806.912*1000</f>
        <v>3806912</v>
      </c>
      <c r="I9" s="55" t="n">
        <f aca="false">3094.43395605016*1000</f>
        <v>3094433.95605016</v>
      </c>
      <c r="J9" s="55" t="n">
        <f aca="false">3989.14883549286*1000</f>
        <v>3989148.83549286</v>
      </c>
      <c r="K9" s="55" t="n">
        <f aca="false">3819.44382187732*1000</f>
        <v>3819443.82187732</v>
      </c>
      <c r="L9" s="55" t="n">
        <f aca="false">3542.05774*1000</f>
        <v>3542057.74</v>
      </c>
      <c r="M9" s="55" t="n">
        <f aca="false">4596.13534*1000</f>
        <v>4596135.34</v>
      </c>
      <c r="N9" s="55" t="n">
        <f aca="false">3645.84074*1000</f>
        <v>3645840.74</v>
      </c>
      <c r="O9" s="55" t="n">
        <f aca="false">1000*7643.21354</f>
        <v>7643213.54</v>
      </c>
      <c r="P9" s="56" t="n">
        <f aca="false">1000*7568.89083</f>
        <v>7568890.83</v>
      </c>
      <c r="Q9" s="39"/>
      <c r="R9" s="39"/>
      <c r="S9" s="39"/>
      <c r="T9" s="39"/>
      <c r="U9" s="39"/>
    </row>
    <row r="10" customFormat="false" ht="12" hidden="false" customHeight="true" outlineLevel="0" collapsed="false">
      <c r="A10" s="50" t="s">
        <v>53</v>
      </c>
      <c r="B10" s="51" t="s">
        <v>52</v>
      </c>
      <c r="C10" s="52"/>
      <c r="D10" s="53"/>
      <c r="E10" s="54" t="n">
        <v>0</v>
      </c>
      <c r="F10" s="55" t="n">
        <v>0</v>
      </c>
      <c r="G10" s="55" t="n">
        <v>0</v>
      </c>
      <c r="H10" s="55" t="n">
        <v>1062.84</v>
      </c>
      <c r="I10" s="55" t="n">
        <v>0</v>
      </c>
      <c r="J10" s="55" t="n">
        <f aca="false">5.20629002060415*1000</f>
        <v>5206.29002060415</v>
      </c>
      <c r="K10" s="55" t="n">
        <f aca="false">3*1000</f>
        <v>3000</v>
      </c>
      <c r="L10" s="55" t="n">
        <f aca="false">25.8491909609698*1000</f>
        <v>25849.1909609698</v>
      </c>
      <c r="M10" s="55" t="n">
        <f aca="false">25.18481*1000</f>
        <v>25184.81</v>
      </c>
      <c r="N10" s="55" t="n">
        <f aca="false">23.41524*1000</f>
        <v>23415.24</v>
      </c>
      <c r="O10" s="55" t="n">
        <f aca="false">1000*19.4488</f>
        <v>19448.8</v>
      </c>
      <c r="P10" s="56" t="n">
        <f aca="false">1000*11.97367</f>
        <v>11973.67</v>
      </c>
      <c r="Q10" s="39"/>
      <c r="R10" s="39"/>
      <c r="S10" s="39"/>
      <c r="T10" s="39"/>
      <c r="U10" s="39"/>
    </row>
    <row r="11" customFormat="false" ht="12" hidden="false" customHeight="true" outlineLevel="0" collapsed="false">
      <c r="A11" s="50" t="s">
        <v>54</v>
      </c>
      <c r="B11" s="51" t="s">
        <v>52</v>
      </c>
      <c r="C11" s="52"/>
      <c r="D11" s="53"/>
      <c r="E11" s="54" t="n">
        <v>0</v>
      </c>
      <c r="F11" s="55" t="n">
        <v>0</v>
      </c>
      <c r="G11" s="55" t="n">
        <v>0</v>
      </c>
      <c r="H11" s="55" t="n">
        <v>0</v>
      </c>
      <c r="I11" s="55" t="n">
        <v>0</v>
      </c>
      <c r="J11" s="55" t="n">
        <v>0</v>
      </c>
      <c r="K11" s="55" t="n">
        <v>0</v>
      </c>
      <c r="L11" s="55" t="n">
        <f aca="false">6049*1000</f>
        <v>6049000</v>
      </c>
      <c r="M11" s="55" t="n">
        <f aca="false">5678.70872*1000</f>
        <v>5678708.72</v>
      </c>
      <c r="N11" s="55" t="n">
        <f aca="false">5933.2796*1000</f>
        <v>5933279.6</v>
      </c>
      <c r="O11" s="55" t="n">
        <f aca="false">1000*4372</f>
        <v>4372000</v>
      </c>
      <c r="P11" s="56" t="n">
        <f aca="false">1000*4419.0853</f>
        <v>4419085.3</v>
      </c>
      <c r="Q11" s="39"/>
      <c r="R11" s="39"/>
      <c r="S11" s="39"/>
      <c r="T11" s="39"/>
      <c r="U11" s="39"/>
    </row>
    <row r="12" customFormat="false" ht="12" hidden="false" customHeight="true" outlineLevel="0" collapsed="false">
      <c r="A12" s="57" t="s">
        <v>55</v>
      </c>
      <c r="B12" s="58" t="s">
        <v>52</v>
      </c>
      <c r="C12" s="59"/>
      <c r="D12" s="60"/>
      <c r="E12" s="61" t="n">
        <v>344837</v>
      </c>
      <c r="F12" s="62" t="n">
        <v>341647</v>
      </c>
      <c r="G12" s="62" t="n">
        <v>44776</v>
      </c>
      <c r="H12" s="62" t="n">
        <v>404498</v>
      </c>
      <c r="I12" s="62" t="n">
        <v>218347</v>
      </c>
      <c r="J12" s="62" t="n">
        <v>267347</v>
      </c>
      <c r="K12" s="62" t="n">
        <v>535856</v>
      </c>
      <c r="L12" s="62" t="n">
        <v>296991</v>
      </c>
      <c r="M12" s="62" t="n">
        <v>270675</v>
      </c>
      <c r="N12" s="62" t="n">
        <v>196688</v>
      </c>
      <c r="O12" s="62" t="n">
        <v>329856</v>
      </c>
      <c r="P12" s="63" t="n">
        <v>336155</v>
      </c>
      <c r="Q12" s="39"/>
      <c r="R12" s="39"/>
      <c r="S12" s="39"/>
      <c r="T12" s="39"/>
      <c r="U12" s="39"/>
    </row>
    <row r="13" customFormat="false" ht="12" hidden="false" customHeight="true" outlineLevel="0" collapsed="false">
      <c r="A13" s="64" t="s">
        <v>16</v>
      </c>
      <c r="B13" s="65" t="s">
        <v>56</v>
      </c>
      <c r="C13" s="66"/>
      <c r="D13" s="67"/>
      <c r="E13" s="68" t="n">
        <v>337257</v>
      </c>
      <c r="F13" s="69" t="n">
        <v>198338.76</v>
      </c>
      <c r="G13" s="69" t="n">
        <v>44211.57</v>
      </c>
      <c r="H13" s="69" t="n">
        <v>34722.6</v>
      </c>
      <c r="I13" s="69" t="n">
        <v>153500.99</v>
      </c>
      <c r="J13" s="69" t="n">
        <v>68031.61</v>
      </c>
      <c r="K13" s="69" t="n">
        <v>106613.64</v>
      </c>
      <c r="L13" s="69" t="n">
        <v>129377.47</v>
      </c>
      <c r="M13" s="69" t="n">
        <v>58028.31</v>
      </c>
      <c r="N13" s="69" t="n">
        <v>194706.94</v>
      </c>
      <c r="O13" s="69" t="n">
        <v>50966.9</v>
      </c>
      <c r="P13" s="70" t="n">
        <v>252688.76</v>
      </c>
      <c r="Q13" s="39"/>
      <c r="R13" s="39"/>
      <c r="S13" s="39"/>
      <c r="T13" s="39"/>
      <c r="U13" s="39"/>
    </row>
    <row r="14" customFormat="false" ht="12" hidden="false" customHeight="true" outlineLevel="0" collapsed="false">
      <c r="A14" s="64" t="s">
        <v>17</v>
      </c>
      <c r="B14" s="65" t="s">
        <v>57</v>
      </c>
      <c r="C14" s="66"/>
      <c r="D14" s="67"/>
      <c r="E14" s="68" t="n">
        <v>23005</v>
      </c>
      <c r="F14" s="69" t="n">
        <v>475061.02</v>
      </c>
      <c r="G14" s="69" t="n">
        <v>140591.07</v>
      </c>
      <c r="H14" s="69" t="n">
        <v>94820.49</v>
      </c>
      <c r="I14" s="69" t="n">
        <v>24845.1</v>
      </c>
      <c r="J14" s="69" t="n">
        <v>45618.29</v>
      </c>
      <c r="K14" s="69" t="n">
        <v>28666.7</v>
      </c>
      <c r="L14" s="69" t="n">
        <v>123803.19</v>
      </c>
      <c r="M14" s="69" t="n">
        <v>54812.6</v>
      </c>
      <c r="N14" s="69" t="n">
        <v>199235.86</v>
      </c>
      <c r="O14" s="69" t="n">
        <v>34587.55</v>
      </c>
      <c r="P14" s="70" t="n">
        <v>236780.04</v>
      </c>
      <c r="Q14" s="39"/>
      <c r="R14" s="39"/>
      <c r="S14" s="39"/>
      <c r="T14" s="39"/>
      <c r="U14" s="39"/>
    </row>
    <row r="15" customFormat="false" ht="12" hidden="false" customHeight="true" outlineLevel="0" collapsed="false">
      <c r="A15" s="43" t="s">
        <v>21</v>
      </c>
      <c r="B15" s="44" t="s">
        <v>58</v>
      </c>
      <c r="C15" s="45"/>
      <c r="D15" s="46"/>
      <c r="E15" s="47" t="n">
        <v>2370000</v>
      </c>
      <c r="F15" s="48" t="n">
        <v>3553353.17</v>
      </c>
      <c r="G15" s="48" t="n">
        <v>3969964</v>
      </c>
      <c r="H15" s="48" t="n">
        <v>2575452</v>
      </c>
      <c r="I15" s="48" t="n">
        <v>3209793</v>
      </c>
      <c r="J15" s="48" t="n">
        <v>2439474</v>
      </c>
      <c r="K15" s="48" t="n">
        <f aca="false">1267.492*1000</f>
        <v>1267492</v>
      </c>
      <c r="L15" s="48" t="n">
        <f aca="false">1634.628*1000</f>
        <v>1634628</v>
      </c>
      <c r="M15" s="48" t="n">
        <f aca="false">2032.215*100</f>
        <v>203221.5</v>
      </c>
      <c r="N15" s="48" t="n">
        <f aca="false">890.943*1000</f>
        <v>890943</v>
      </c>
      <c r="O15" s="48" t="n">
        <f aca="false">1000*532.645</f>
        <v>532645</v>
      </c>
      <c r="P15" s="49" t="n">
        <f aca="false">1000*821.57716</f>
        <v>821577.16</v>
      </c>
      <c r="Q15" s="39"/>
      <c r="R15" s="39"/>
      <c r="S15" s="39"/>
      <c r="T15" s="39"/>
      <c r="U15" s="39"/>
    </row>
    <row r="16" customFormat="false" ht="12" hidden="false" customHeight="true" outlineLevel="0" collapsed="false">
      <c r="A16" s="50" t="s">
        <v>22</v>
      </c>
      <c r="B16" s="51" t="s">
        <v>58</v>
      </c>
      <c r="C16" s="52"/>
      <c r="D16" s="53"/>
      <c r="E16" s="54" t="n">
        <v>695000</v>
      </c>
      <c r="F16" s="55" t="n">
        <v>1001529</v>
      </c>
      <c r="G16" s="55" t="n">
        <v>928360.3</v>
      </c>
      <c r="H16" s="55" t="n">
        <v>1569135</v>
      </c>
      <c r="I16" s="55" t="n">
        <v>1179471</v>
      </c>
      <c r="J16" s="55" t="n">
        <v>935173</v>
      </c>
      <c r="K16" s="55" t="n">
        <f aca="false">791.65*1000</f>
        <v>791650</v>
      </c>
      <c r="L16" s="55" t="n">
        <f aca="false">944.468*1000</f>
        <v>944468</v>
      </c>
      <c r="M16" s="55" t="n">
        <f aca="false">435.557*1000</f>
        <v>435557</v>
      </c>
      <c r="N16" s="55" t="n">
        <f aca="false">452.455*1000</f>
        <v>452455</v>
      </c>
      <c r="O16" s="55" t="n">
        <f aca="false">1000*341.398</f>
        <v>341398</v>
      </c>
      <c r="P16" s="56" t="n">
        <f aca="false">806.2952*1000</f>
        <v>806295.2</v>
      </c>
      <c r="Q16" s="39"/>
      <c r="R16" s="39"/>
      <c r="S16" s="39"/>
      <c r="T16" s="39"/>
      <c r="U16" s="39"/>
    </row>
    <row r="17" customFormat="false" ht="12" hidden="false" customHeight="true" outlineLevel="0" collapsed="false">
      <c r="A17" s="50" t="s">
        <v>25</v>
      </c>
      <c r="B17" s="51" t="s">
        <v>58</v>
      </c>
      <c r="C17" s="52"/>
      <c r="D17" s="53"/>
      <c r="E17" s="54" t="n">
        <v>61108667.6794209</v>
      </c>
      <c r="F17" s="55" t="n">
        <v>44872126.7421532</v>
      </c>
      <c r="G17" s="55" t="n">
        <v>47677837</v>
      </c>
      <c r="H17" s="55" t="n">
        <v>51620708.9762332</v>
      </c>
      <c r="I17" s="55" t="n">
        <v>45050781.7675564</v>
      </c>
      <c r="J17" s="55" t="n">
        <v>45596361</v>
      </c>
      <c r="K17" s="55" t="n">
        <v>50564025.7591894</v>
      </c>
      <c r="L17" s="55" t="n">
        <v>48038578.9174097</v>
      </c>
      <c r="M17" s="55" t="n">
        <v>40026940</v>
      </c>
      <c r="N17" s="55" t="n">
        <v>43941071</v>
      </c>
      <c r="O17" s="55" t="n">
        <v>43711432</v>
      </c>
      <c r="P17" s="56" t="n">
        <v>66746089</v>
      </c>
      <c r="Q17" s="39" t="n">
        <v>-66746089</v>
      </c>
      <c r="R17" s="39"/>
      <c r="S17" s="39"/>
      <c r="T17" s="39"/>
      <c r="U17" s="39"/>
    </row>
    <row r="18" customFormat="false" ht="12" hidden="false" customHeight="true" outlineLevel="0" collapsed="false">
      <c r="A18" s="50" t="s">
        <v>28</v>
      </c>
      <c r="B18" s="51" t="s">
        <v>58</v>
      </c>
      <c r="C18" s="52"/>
      <c r="D18" s="53"/>
      <c r="E18" s="54" t="n">
        <v>16094885.367646</v>
      </c>
      <c r="F18" s="55" t="n">
        <v>13905391.4527258</v>
      </c>
      <c r="G18" s="55" t="n">
        <v>18945011.4085012</v>
      </c>
      <c r="H18" s="55" t="n">
        <v>13269177.7941225</v>
      </c>
      <c r="I18" s="55" t="n">
        <v>8800042.76603019</v>
      </c>
      <c r="J18" s="55" t="n">
        <v>7014423.73784112</v>
      </c>
      <c r="K18" s="55" t="n">
        <v>11585826.7416654</v>
      </c>
      <c r="L18" s="55" t="n">
        <v>11393419.0664318</v>
      </c>
      <c r="M18" s="55" t="n">
        <v>15600396.8580319</v>
      </c>
      <c r="N18" s="55" t="n">
        <v>22986813.7702796</v>
      </c>
      <c r="O18" s="55" t="n">
        <v>23539487.0224064</v>
      </c>
      <c r="P18" s="56" t="n">
        <v>28269561.4818572</v>
      </c>
      <c r="Q18" s="39"/>
      <c r="R18" s="39"/>
      <c r="S18" s="39"/>
      <c r="T18" s="39"/>
      <c r="U18" s="39"/>
    </row>
    <row r="19" customFormat="false" ht="12" hidden="false" customHeight="true" outlineLevel="0" collapsed="false">
      <c r="A19" s="57" t="s">
        <v>59</v>
      </c>
      <c r="B19" s="58" t="s">
        <v>58</v>
      </c>
      <c r="C19" s="59"/>
      <c r="D19" s="60"/>
      <c r="E19" s="61" t="n">
        <v>54136719.7564552</v>
      </c>
      <c r="F19" s="62" t="n">
        <v>50615278.8177067</v>
      </c>
      <c r="G19" s="62" t="n">
        <v>49001863.3275477</v>
      </c>
      <c r="H19" s="62" t="n">
        <v>42895001.4058638</v>
      </c>
      <c r="I19" s="62" t="n">
        <v>42035180.3735106</v>
      </c>
      <c r="J19" s="62" t="n">
        <v>33885071.3320242</v>
      </c>
      <c r="K19" s="62" t="n">
        <v>43374440.1678655</v>
      </c>
      <c r="L19" s="62" t="n">
        <v>44120789.5615151</v>
      </c>
      <c r="M19" s="62" t="n">
        <v>42368827.7916483</v>
      </c>
      <c r="N19" s="62" t="n">
        <v>43881698.9296136</v>
      </c>
      <c r="O19" s="62" t="n">
        <v>46429118.8637214</v>
      </c>
      <c r="P19" s="63" t="n">
        <v>53573157.522569</v>
      </c>
      <c r="Q19" s="39"/>
      <c r="R19" s="39"/>
      <c r="S19" s="39"/>
      <c r="T19" s="39"/>
      <c r="U19" s="39"/>
    </row>
    <row r="20" customFormat="false" ht="12" hidden="false" customHeight="true" outlineLevel="0" collapsed="false">
      <c r="A20" s="43" t="s">
        <v>60</v>
      </c>
      <c r="B20" s="44" t="s">
        <v>61</v>
      </c>
      <c r="C20" s="45"/>
      <c r="D20" s="46"/>
      <c r="E20" s="47" t="n">
        <v>1271876</v>
      </c>
      <c r="F20" s="48" t="n">
        <v>1286033</v>
      </c>
      <c r="G20" s="48" t="n">
        <v>1129837</v>
      </c>
      <c r="H20" s="48" t="n">
        <v>1398726</v>
      </c>
      <c r="I20" s="48" t="n">
        <v>1302426</v>
      </c>
      <c r="J20" s="48" t="n">
        <v>4640987</v>
      </c>
      <c r="K20" s="48" t="n">
        <v>3665832.38082772</v>
      </c>
      <c r="L20" s="48" t="n">
        <v>1878793.68294579</v>
      </c>
      <c r="M20" s="48" t="n">
        <v>1627931.23219533</v>
      </c>
      <c r="N20" s="48" t="n">
        <v>1384847</v>
      </c>
      <c r="O20" s="48" t="n">
        <v>1560666.99373217</v>
      </c>
      <c r="P20" s="49" t="n">
        <v>2436472.39164186</v>
      </c>
      <c r="Q20" s="39"/>
      <c r="R20" s="39"/>
      <c r="S20" s="39"/>
      <c r="T20" s="39"/>
      <c r="U20" s="39"/>
    </row>
    <row r="21" customFormat="false" ht="12" hidden="false" customHeight="true" outlineLevel="0" collapsed="false">
      <c r="A21" s="50" t="s">
        <v>34</v>
      </c>
      <c r="B21" s="51" t="s">
        <v>61</v>
      </c>
      <c r="C21" s="52"/>
      <c r="D21" s="53"/>
      <c r="E21" s="54" t="n">
        <v>1059913</v>
      </c>
      <c r="F21" s="55" t="n">
        <v>1118196</v>
      </c>
      <c r="G21" s="55" t="n">
        <v>1007307</v>
      </c>
      <c r="H21" s="55" t="n">
        <v>887542</v>
      </c>
      <c r="I21" s="55" t="n">
        <v>937883</v>
      </c>
      <c r="J21" s="55" t="n">
        <v>1088435</v>
      </c>
      <c r="K21" s="55" t="n">
        <v>941834</v>
      </c>
      <c r="L21" s="55" t="n">
        <v>967697</v>
      </c>
      <c r="M21" s="55" t="n">
        <v>874915</v>
      </c>
      <c r="N21" s="55" t="n">
        <v>1238053.32043178</v>
      </c>
      <c r="O21" s="55" t="n">
        <v>578857</v>
      </c>
      <c r="P21" s="71" t="n">
        <v>177368.831323591</v>
      </c>
      <c r="Q21" s="39"/>
      <c r="R21" s="39"/>
      <c r="S21" s="39"/>
      <c r="T21" s="39"/>
      <c r="U21" s="39"/>
    </row>
    <row r="22" customFormat="false" ht="12" hidden="false" customHeight="true" outlineLevel="0" collapsed="false">
      <c r="A22" s="57" t="s">
        <v>36</v>
      </c>
      <c r="B22" s="58" t="s">
        <v>61</v>
      </c>
      <c r="C22" s="59"/>
      <c r="D22" s="60"/>
      <c r="E22" s="61" t="n">
        <v>557224</v>
      </c>
      <c r="F22" s="62" t="n">
        <v>540440</v>
      </c>
      <c r="G22" s="62" t="n">
        <v>546888</v>
      </c>
      <c r="H22" s="62" t="n">
        <v>516371</v>
      </c>
      <c r="I22" s="62" t="n">
        <v>1476919</v>
      </c>
      <c r="J22" s="62" t="n">
        <v>1800788</v>
      </c>
      <c r="K22" s="62" t="n">
        <v>1564407</v>
      </c>
      <c r="L22" s="62" t="n">
        <v>728269</v>
      </c>
      <c r="M22" s="62" t="n">
        <v>695918</v>
      </c>
      <c r="N22" s="62" t="n">
        <v>584193</v>
      </c>
      <c r="O22" s="62" t="n">
        <v>0</v>
      </c>
      <c r="P22" s="63" t="n">
        <v>0</v>
      </c>
      <c r="Q22" s="39"/>
      <c r="R22" s="39"/>
      <c r="S22" s="39"/>
      <c r="T22" s="39"/>
      <c r="U22" s="39"/>
    </row>
    <row r="23" customFormat="false" ht="12" hidden="false" customHeight="true" outlineLevel="0" collapsed="false">
      <c r="A23" s="64" t="s">
        <v>38</v>
      </c>
      <c r="B23" s="65" t="s">
        <v>62</v>
      </c>
      <c r="C23" s="66"/>
      <c r="D23" s="67"/>
      <c r="E23" s="68" t="n">
        <v>1633506.52</v>
      </c>
      <c r="F23" s="69" t="n">
        <v>1654695.87</v>
      </c>
      <c r="G23" s="69" t="n">
        <v>1092013.53</v>
      </c>
      <c r="H23" s="69" t="n">
        <v>1030597.8</v>
      </c>
      <c r="I23" s="69" t="n">
        <v>1001385.49</v>
      </c>
      <c r="J23" s="69" t="n">
        <v>1006790.08</v>
      </c>
      <c r="K23" s="69" t="n">
        <v>976871.77</v>
      </c>
      <c r="L23" s="69" t="n">
        <v>920897.47</v>
      </c>
      <c r="M23" s="69" t="n">
        <v>942823.63</v>
      </c>
      <c r="N23" s="69" t="n">
        <v>861596.36</v>
      </c>
      <c r="O23" s="69" t="n">
        <v>865780.66</v>
      </c>
      <c r="P23" s="70" t="n">
        <v>853.04</v>
      </c>
      <c r="Q23" s="39"/>
      <c r="R23" s="39"/>
      <c r="S23" s="39"/>
      <c r="T23" s="39"/>
      <c r="U23" s="39"/>
    </row>
    <row r="24" customFormat="false" ht="12" hidden="false" customHeight="true" outlineLevel="0" collapsed="false">
      <c r="A24" s="64" t="s">
        <v>39</v>
      </c>
      <c r="B24" s="65" t="s">
        <v>63</v>
      </c>
      <c r="C24" s="66"/>
      <c r="D24" s="67"/>
      <c r="E24" s="68" t="n">
        <v>4053418.52</v>
      </c>
      <c r="F24" s="69" t="n">
        <v>3993940.33</v>
      </c>
      <c r="G24" s="69" t="n">
        <v>5162478.12</v>
      </c>
      <c r="H24" s="69" t="n">
        <v>5256057.14</v>
      </c>
      <c r="I24" s="69" t="n">
        <v>9779357.93</v>
      </c>
      <c r="J24" s="69" t="n">
        <v>9961765.73</v>
      </c>
      <c r="K24" s="69" t="n">
        <v>9622113.8</v>
      </c>
      <c r="L24" s="69" t="n">
        <v>9797984.01</v>
      </c>
      <c r="M24" s="69" t="n">
        <v>9716361.37</v>
      </c>
      <c r="N24" s="69" t="n">
        <v>9573588.16</v>
      </c>
      <c r="O24" s="69" t="n">
        <v>8367919.62</v>
      </c>
      <c r="P24" s="70" t="n">
        <v>7545462.57</v>
      </c>
      <c r="Q24" s="39"/>
      <c r="R24" s="39"/>
      <c r="S24" s="39"/>
      <c r="T24" s="39"/>
      <c r="U24" s="39"/>
    </row>
    <row r="25" customFormat="false" ht="12" hidden="false" customHeight="true" outlineLevel="0" collapsed="false">
      <c r="A25" s="64" t="s">
        <v>64</v>
      </c>
      <c r="B25" s="65" t="s">
        <v>65</v>
      </c>
      <c r="C25" s="66"/>
      <c r="D25" s="67"/>
      <c r="E25" s="68" t="n">
        <v>6484975.50859392</v>
      </c>
      <c r="F25" s="69" t="n">
        <v>6063146.14129057</v>
      </c>
      <c r="G25" s="69" t="n">
        <v>5869876.95198732</v>
      </c>
      <c r="H25" s="69" t="n">
        <v>5138342.97330066</v>
      </c>
      <c r="I25" s="69" t="n">
        <v>5035345.99894261</v>
      </c>
      <c r="J25" s="69" t="n">
        <v>4637306.76616781</v>
      </c>
      <c r="K25" s="69" t="n">
        <v>5935964.62873871</v>
      </c>
      <c r="L25" s="69" t="n">
        <v>6038105.51134696</v>
      </c>
      <c r="M25" s="69" t="n">
        <v>5798342.5759273</v>
      </c>
      <c r="N25" s="69" t="n">
        <v>6005385.00755401</v>
      </c>
      <c r="O25" s="69" t="n">
        <v>6354009.55613344</v>
      </c>
      <c r="P25" s="70" t="n">
        <v>6768797.85209671</v>
      </c>
      <c r="Q25" s="39"/>
      <c r="R25" s="39"/>
      <c r="S25" s="39"/>
      <c r="T25" s="39"/>
      <c r="U25" s="39"/>
    </row>
    <row r="26" customFormat="false" ht="12" hidden="false" customHeight="true" outlineLevel="0" collapsed="false">
      <c r="A26" s="72"/>
      <c r="B26" s="73"/>
      <c r="C26" s="74"/>
      <c r="D26" s="42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5"/>
      <c r="R26" s="39" t="s">
        <v>0</v>
      </c>
      <c r="S26" s="39" t="s">
        <v>1</v>
      </c>
      <c r="T26" s="39" t="s">
        <v>2</v>
      </c>
      <c r="U26" s="75"/>
    </row>
    <row r="27" customFormat="false" ht="12" hidden="false" customHeight="true" outlineLevel="0" collapsed="false">
      <c r="A27" s="72" t="s">
        <v>42</v>
      </c>
      <c r="B27" s="73"/>
      <c r="C27" s="76" t="n">
        <f aca="false">'1999'!R28</f>
        <v>20968806.4571575</v>
      </c>
      <c r="D27" s="42"/>
      <c r="E27" s="77" t="n">
        <f aca="false">SQRT(SUMSQ(SUM(E2:E3),E4:E12))</f>
        <v>27474698.3682337</v>
      </c>
      <c r="F27" s="77" t="n">
        <f aca="false">SQRT(SUMSQ(SUM(F2:F3),F4:F12))</f>
        <v>22770822.4825345</v>
      </c>
      <c r="G27" s="76" t="n">
        <f aca="false">SQRT(SUMSQ(SUM(G2:G3),G4:G12))</f>
        <v>32047743.1970066</v>
      </c>
      <c r="H27" s="77" t="n">
        <f aca="false">SQRT(SUMSQ(SUM(H2:H3),H4:H12))</f>
        <v>50357057.2915891</v>
      </c>
      <c r="I27" s="77" t="n">
        <f aca="false">SQRT(SUMSQ(SUM(I2:I3),I4:I12))</f>
        <v>49724127.3838948</v>
      </c>
      <c r="J27" s="76" t="n">
        <f aca="false">SQRT(SUMSQ(SUM(J2:J3),J4:J12))</f>
        <v>52983009.8853113</v>
      </c>
      <c r="K27" s="77" t="n">
        <f aca="false">SQRT(SUMSQ(SUM(K2:K3),K4:K12))</f>
        <v>48029858.9321966</v>
      </c>
      <c r="L27" s="77" t="n">
        <f aca="false">SQRT(SUMSQ(SUM(L2:L3),L4:L12))</f>
        <v>78762832.4294736</v>
      </c>
      <c r="M27" s="76" t="n">
        <f aca="false">SQRT(SUMSQ(SUM(M2:M3),M4:M12))</f>
        <v>54993633.7896106</v>
      </c>
      <c r="N27" s="77" t="n">
        <f aca="false">SQRT(SUMSQ(SUM(N2:N3),N4:N12))</f>
        <v>34610905.6231364</v>
      </c>
      <c r="O27" s="77" t="n">
        <f aca="false">SQRT(SUMSQ(SUM(O2:O3),O4:O12))</f>
        <v>81119047.9203184</v>
      </c>
      <c r="P27" s="76" t="n">
        <f aca="false">SQRT(SUMSQ(SUM(P2:P3),P4:P12))</f>
        <v>65821030.4660116</v>
      </c>
      <c r="Q27" s="75"/>
      <c r="R27" s="78" t="n">
        <f aca="false">AVERAGE($E27:$P27)</f>
        <v>49891230.6474431</v>
      </c>
      <c r="S27" s="78" t="n">
        <f aca="false">MAX($E27:$P27)</f>
        <v>81119047.9203184</v>
      </c>
      <c r="T27" s="78" t="n">
        <f aca="false">MIN($E27:$P27)</f>
        <v>22770822.4825345</v>
      </c>
      <c r="U27" s="75"/>
    </row>
    <row r="28" customFormat="false" ht="12" hidden="false" customHeight="true" outlineLevel="0" collapsed="false">
      <c r="A28" s="72" t="s">
        <v>43</v>
      </c>
      <c r="B28" s="73"/>
      <c r="C28" s="76" t="n">
        <f aca="false">'1999'!R29</f>
        <v>402833.5</v>
      </c>
      <c r="D28" s="42"/>
      <c r="E28" s="77" t="n">
        <f aca="false">E13</f>
        <v>337257</v>
      </c>
      <c r="F28" s="77" t="n">
        <f aca="false">F13</f>
        <v>198338.76</v>
      </c>
      <c r="G28" s="76" t="n">
        <f aca="false">G13</f>
        <v>44211.57</v>
      </c>
      <c r="H28" s="77" t="n">
        <f aca="false">H13</f>
        <v>34722.6</v>
      </c>
      <c r="I28" s="77" t="n">
        <f aca="false">I13</f>
        <v>153500.99</v>
      </c>
      <c r="J28" s="76" t="n">
        <f aca="false">J13</f>
        <v>68031.61</v>
      </c>
      <c r="K28" s="77" t="n">
        <f aca="false">K13</f>
        <v>106613.64</v>
      </c>
      <c r="L28" s="77" t="n">
        <f aca="false">L13</f>
        <v>129377.47</v>
      </c>
      <c r="M28" s="76" t="n">
        <f aca="false">M13</f>
        <v>58028.31</v>
      </c>
      <c r="N28" s="77" t="n">
        <f aca="false">N13</f>
        <v>194706.94</v>
      </c>
      <c r="O28" s="77" t="n">
        <f aca="false">O13</f>
        <v>50966.9</v>
      </c>
      <c r="P28" s="76" t="n">
        <f aca="false">P13</f>
        <v>252688.76</v>
      </c>
      <c r="Q28" s="75"/>
      <c r="R28" s="78" t="n">
        <f aca="false">AVERAGE($E28:$P28)</f>
        <v>135703.7125</v>
      </c>
      <c r="S28" s="78" t="n">
        <f aca="false">MAX($E28:$P28)</f>
        <v>337257</v>
      </c>
      <c r="T28" s="78" t="n">
        <f aca="false">MIN($E28:$P28)</f>
        <v>34722.6</v>
      </c>
      <c r="U28" s="75"/>
    </row>
    <row r="29" customFormat="false" ht="12" hidden="false" customHeight="true" outlineLevel="0" collapsed="false">
      <c r="A29" s="72" t="s">
        <v>44</v>
      </c>
      <c r="B29" s="73"/>
      <c r="C29" s="76" t="n">
        <f aca="false">'1999'!R30</f>
        <v>88015.32</v>
      </c>
      <c r="D29" s="42"/>
      <c r="E29" s="77" t="n">
        <f aca="false">E14</f>
        <v>23005</v>
      </c>
      <c r="F29" s="77" t="n">
        <f aca="false">F14</f>
        <v>475061.02</v>
      </c>
      <c r="G29" s="76" t="n">
        <f aca="false">G14</f>
        <v>140591.07</v>
      </c>
      <c r="H29" s="77" t="n">
        <f aca="false">H14</f>
        <v>94820.49</v>
      </c>
      <c r="I29" s="77" t="n">
        <f aca="false">I14</f>
        <v>24845.1</v>
      </c>
      <c r="J29" s="76" t="n">
        <f aca="false">J14</f>
        <v>45618.29</v>
      </c>
      <c r="K29" s="77" t="n">
        <f aca="false">K14</f>
        <v>28666.7</v>
      </c>
      <c r="L29" s="77" t="n">
        <f aca="false">L14</f>
        <v>123803.19</v>
      </c>
      <c r="M29" s="76" t="n">
        <f aca="false">M14</f>
        <v>54812.6</v>
      </c>
      <c r="N29" s="77" t="n">
        <f aca="false">N14</f>
        <v>199235.86</v>
      </c>
      <c r="O29" s="77" t="n">
        <f aca="false">O14</f>
        <v>34587.55</v>
      </c>
      <c r="P29" s="76" t="n">
        <f aca="false">P14</f>
        <v>236780.04</v>
      </c>
      <c r="Q29" s="75"/>
      <c r="R29" s="78" t="n">
        <f aca="false">AVERAGE($E29:$P29)</f>
        <v>123485.575833333</v>
      </c>
      <c r="S29" s="78" t="n">
        <f aca="false">MAX($E29:$P29)</f>
        <v>475061.02</v>
      </c>
      <c r="T29" s="78" t="n">
        <f aca="false">MIN($E29:$P29)</f>
        <v>23005</v>
      </c>
      <c r="U29" s="75"/>
    </row>
    <row r="30" customFormat="false" ht="12" hidden="false" customHeight="true" outlineLevel="0" collapsed="false">
      <c r="A30" s="72" t="s">
        <v>45</v>
      </c>
      <c r="B30" s="73"/>
      <c r="C30" s="76" t="n">
        <f aca="false">'1999'!R31</f>
        <v>26425551.596896</v>
      </c>
      <c r="D30" s="42"/>
      <c r="E30" s="77" t="n">
        <f aca="false">SQRT(SUMSQ(E15:E19))</f>
        <v>83247816.4971342</v>
      </c>
      <c r="F30" s="77" t="n">
        <f aca="false">SQRT(SUMSQ(F15:F19))</f>
        <v>69154923.8933872</v>
      </c>
      <c r="G30" s="76" t="n">
        <f aca="false">SQRT(SUMSQ(G15:G19))</f>
        <v>71062610.9487006</v>
      </c>
      <c r="H30" s="77" t="n">
        <f aca="false">SQRT(SUMSQ(H15:H19))</f>
        <v>68482442.6973994</v>
      </c>
      <c r="I30" s="77" t="n">
        <f aca="false">SQRT(SUMSQ(I15:I19))</f>
        <v>62335094.469554</v>
      </c>
      <c r="J30" s="76" t="n">
        <f aca="false">SQRT(SUMSQ(J15:J19))</f>
        <v>57299685.14686</v>
      </c>
      <c r="K30" s="77" t="n">
        <f aca="false">SQRT(SUMSQ(K15:K19))</f>
        <v>67635252.5524387</v>
      </c>
      <c r="L30" s="77" t="n">
        <f aca="false">SQRT(SUMSQ(L15:L19))</f>
        <v>66239891.020898</v>
      </c>
      <c r="M30" s="76" t="n">
        <f aca="false">SQRT(SUMSQ(M15:M19))</f>
        <v>60339679.1937805</v>
      </c>
      <c r="N30" s="77" t="n">
        <f aca="false">SQRT(SUMSQ(N15:N19))</f>
        <v>66225473.3757494</v>
      </c>
      <c r="O30" s="77" t="n">
        <f aca="false">SQRT(SUMSQ(O15:O19))</f>
        <v>67976908.421321</v>
      </c>
      <c r="P30" s="76" t="n">
        <f aca="false">SQRT(SUMSQ(P15:P19))</f>
        <v>90142203.2739926</v>
      </c>
      <c r="Q30" s="75"/>
      <c r="R30" s="78" t="n">
        <f aca="false">AVERAGE($E30:$P30)</f>
        <v>69178498.4576013</v>
      </c>
      <c r="S30" s="78" t="n">
        <f aca="false">MAX($E30:$P30)</f>
        <v>90142203.2739926</v>
      </c>
      <c r="T30" s="78" t="n">
        <f aca="false">MIN($E30:$P30)</f>
        <v>57299685.14686</v>
      </c>
      <c r="U30" s="75"/>
    </row>
    <row r="31" customFormat="false" ht="12" hidden="false" customHeight="true" outlineLevel="0" collapsed="false">
      <c r="A31" s="72" t="s">
        <v>46</v>
      </c>
      <c r="B31" s="73"/>
      <c r="C31" s="76" t="n">
        <f aca="false">'1999'!R32</f>
        <v>1388846.83526334</v>
      </c>
      <c r="D31" s="42"/>
      <c r="E31" s="77" t="n">
        <f aca="false">SQRT(SUMSQ(E20:E22))</f>
        <v>1746877.99033619</v>
      </c>
      <c r="F31" s="77" t="n">
        <f aca="false">SQRT(SUMSQ(F20:F22))</f>
        <v>1787825.09354383</v>
      </c>
      <c r="G31" s="76" t="n">
        <f aca="false">SQRT(SUMSQ(G20:G22))</f>
        <v>1609436.39929076</v>
      </c>
      <c r="H31" s="77" t="n">
        <f aca="false">SQRT(SUMSQ(H20:H22))</f>
        <v>1735166.91833408</v>
      </c>
      <c r="I31" s="77" t="n">
        <f aca="false">SQRT(SUMSQ(I20:I22))</f>
        <v>2181106.99868805</v>
      </c>
      <c r="J31" s="76" t="n">
        <f aca="false">SQRT(SUMSQ(J20:J22))</f>
        <v>5095712.75724388</v>
      </c>
      <c r="K31" s="77" t="n">
        <f aca="false">SQRT(SUMSQ(K20:K22))</f>
        <v>4095454.50341351</v>
      </c>
      <c r="L31" s="77" t="n">
        <f aca="false">SQRT(SUMSQ(L20:L22))</f>
        <v>2235325.23880687</v>
      </c>
      <c r="M31" s="76" t="n">
        <f aca="false">SQRT(SUMSQ(M20:M22))</f>
        <v>1974826.12315768</v>
      </c>
      <c r="N31" s="77" t="n">
        <f aca="false">SQRT(SUMSQ(N20:N22))</f>
        <v>1947269.5496233</v>
      </c>
      <c r="O31" s="77" t="n">
        <f aca="false">SQRT(SUMSQ(O20:O22))</f>
        <v>1664559.06827424</v>
      </c>
      <c r="P31" s="76" t="n">
        <f aca="false">SQRT(SUMSQ(P20:P22))</f>
        <v>2442919.85491913</v>
      </c>
      <c r="Q31" s="75"/>
      <c r="R31" s="78" t="n">
        <f aca="false">AVERAGE($E31:$P31)</f>
        <v>2376373.37463596</v>
      </c>
      <c r="S31" s="78" t="n">
        <f aca="false">MAX($E31:$P31)</f>
        <v>5095712.75724388</v>
      </c>
      <c r="T31" s="78" t="n">
        <f aca="false">MIN($E31:$P31)</f>
        <v>1609436.39929076</v>
      </c>
      <c r="U31" s="75"/>
    </row>
    <row r="32" customFormat="false" ht="12" hidden="false" customHeight="true" outlineLevel="0" collapsed="false">
      <c r="A32" s="72" t="s">
        <v>47</v>
      </c>
      <c r="B32" s="73"/>
      <c r="C32" s="76" t="n">
        <f aca="false">'1999'!R33</f>
        <v>1745908.45</v>
      </c>
      <c r="D32" s="42"/>
      <c r="E32" s="77" t="n">
        <f aca="false">E23</f>
        <v>1633506.52</v>
      </c>
      <c r="F32" s="77" t="n">
        <f aca="false">F23</f>
        <v>1654695.87</v>
      </c>
      <c r="G32" s="76" t="n">
        <f aca="false">G23</f>
        <v>1092013.53</v>
      </c>
      <c r="H32" s="77" t="n">
        <f aca="false">H23</f>
        <v>1030597.8</v>
      </c>
      <c r="I32" s="77" t="n">
        <f aca="false">I23</f>
        <v>1001385.49</v>
      </c>
      <c r="J32" s="76" t="n">
        <f aca="false">J23</f>
        <v>1006790.08</v>
      </c>
      <c r="K32" s="77" t="n">
        <f aca="false">K23</f>
        <v>976871.77</v>
      </c>
      <c r="L32" s="77" t="n">
        <f aca="false">L23</f>
        <v>920897.47</v>
      </c>
      <c r="M32" s="76" t="n">
        <f aca="false">M23</f>
        <v>942823.63</v>
      </c>
      <c r="N32" s="77" t="n">
        <f aca="false">N23</f>
        <v>861596.36</v>
      </c>
      <c r="O32" s="77" t="n">
        <f aca="false">O23</f>
        <v>865780.66</v>
      </c>
      <c r="P32" s="76" t="n">
        <f aca="false">P23</f>
        <v>853.04</v>
      </c>
      <c r="Q32" s="75"/>
      <c r="R32" s="78" t="n">
        <f aca="false">AVERAGE($E32:$P32)</f>
        <v>998984.351666667</v>
      </c>
      <c r="S32" s="78" t="n">
        <f aca="false">MAX($E32:$P32)</f>
        <v>1654695.87</v>
      </c>
      <c r="T32" s="78" t="n">
        <f aca="false">MIN($E32:$P32)</f>
        <v>853.04</v>
      </c>
      <c r="U32" s="75"/>
    </row>
    <row r="33" customFormat="false" ht="12" hidden="false" customHeight="true" outlineLevel="0" collapsed="false">
      <c r="A33" s="72" t="s">
        <v>48</v>
      </c>
      <c r="B33" s="73"/>
      <c r="C33" s="76" t="n">
        <f aca="false">'1999'!R34</f>
        <v>3589218.36</v>
      </c>
      <c r="D33" s="42"/>
      <c r="E33" s="77" t="n">
        <f aca="false">E24</f>
        <v>4053418.52</v>
      </c>
      <c r="F33" s="77" t="n">
        <f aca="false">F24</f>
        <v>3993940.33</v>
      </c>
      <c r="G33" s="76" t="n">
        <f aca="false">G24</f>
        <v>5162478.12</v>
      </c>
      <c r="H33" s="77" t="n">
        <f aca="false">H24</f>
        <v>5256057.14</v>
      </c>
      <c r="I33" s="77" t="n">
        <f aca="false">I24</f>
        <v>9779357.93</v>
      </c>
      <c r="J33" s="76" t="n">
        <f aca="false">J24</f>
        <v>9961765.73</v>
      </c>
      <c r="K33" s="77" t="n">
        <f aca="false">K24</f>
        <v>9622113.8</v>
      </c>
      <c r="L33" s="77" t="n">
        <f aca="false">L24</f>
        <v>9797984.01</v>
      </c>
      <c r="M33" s="76" t="n">
        <f aca="false">M24</f>
        <v>9716361.37</v>
      </c>
      <c r="N33" s="77" t="n">
        <f aca="false">N24</f>
        <v>9573588.16</v>
      </c>
      <c r="O33" s="77" t="n">
        <f aca="false">O24</f>
        <v>8367919.62</v>
      </c>
      <c r="P33" s="76" t="n">
        <f aca="false">P24</f>
        <v>7545462.57</v>
      </c>
      <c r="Q33" s="75"/>
      <c r="R33" s="78" t="n">
        <f aca="false">AVERAGE($E33:$P33)</f>
        <v>7735870.60833333</v>
      </c>
      <c r="S33" s="78" t="n">
        <f aca="false">MAX($E33:$P33)</f>
        <v>9961765.73</v>
      </c>
      <c r="T33" s="78" t="n">
        <f aca="false">MIN($E33:$P33)</f>
        <v>3993940.33</v>
      </c>
      <c r="U33" s="75"/>
    </row>
    <row r="34" customFormat="false" ht="12" hidden="false" customHeight="true" outlineLevel="0" collapsed="false">
      <c r="A34" s="72" t="s">
        <v>49</v>
      </c>
      <c r="B34" s="73"/>
      <c r="C34" s="76" t="n">
        <f aca="false">'1999'!R35</f>
        <v>2833349.55718782</v>
      </c>
      <c r="D34" s="42"/>
      <c r="E34" s="77" t="n">
        <f aca="false">E25</f>
        <v>6484975.50859392</v>
      </c>
      <c r="F34" s="77" t="n">
        <f aca="false">F25</f>
        <v>6063146.14129057</v>
      </c>
      <c r="G34" s="76" t="n">
        <f aca="false">G25</f>
        <v>5869876.95198732</v>
      </c>
      <c r="H34" s="77" t="n">
        <f aca="false">H25</f>
        <v>5138342.97330066</v>
      </c>
      <c r="I34" s="77" t="n">
        <f aca="false">I25</f>
        <v>5035345.99894261</v>
      </c>
      <c r="J34" s="76" t="n">
        <f aca="false">J25</f>
        <v>4637306.76616781</v>
      </c>
      <c r="K34" s="77" t="n">
        <f aca="false">K25</f>
        <v>5935964.62873871</v>
      </c>
      <c r="L34" s="77" t="n">
        <f aca="false">L25</f>
        <v>6038105.51134696</v>
      </c>
      <c r="M34" s="76" t="n">
        <f aca="false">M25</f>
        <v>5798342.5759273</v>
      </c>
      <c r="N34" s="77" t="n">
        <f aca="false">N25</f>
        <v>6005385.00755401</v>
      </c>
      <c r="O34" s="77" t="n">
        <f aca="false">O25</f>
        <v>6354009.55613344</v>
      </c>
      <c r="P34" s="76" t="n">
        <f aca="false">P25</f>
        <v>6768797.85209671</v>
      </c>
      <c r="Q34" s="75"/>
      <c r="R34" s="78" t="n">
        <f aca="false">AVERAGE($E34:$P34)</f>
        <v>5844133.28934</v>
      </c>
      <c r="S34" s="78" t="n">
        <f aca="false">MAX($E34:$P34)</f>
        <v>6768797.85209671</v>
      </c>
      <c r="T34" s="78" t="n">
        <f aca="false">MIN($E34:$P34)</f>
        <v>4637306.76616781</v>
      </c>
      <c r="U34" s="75"/>
    </row>
    <row r="35" customFormat="false" ht="12" hidden="false" customHeight="true" outlineLevel="0" collapsed="false">
      <c r="A35" s="75"/>
      <c r="B35" s="74"/>
      <c r="C35" s="79"/>
      <c r="D35" s="42"/>
      <c r="E35" s="74"/>
      <c r="F35" s="74"/>
      <c r="G35" s="79"/>
      <c r="H35" s="74"/>
      <c r="I35" s="74"/>
      <c r="J35" s="79"/>
      <c r="K35" s="74"/>
      <c r="L35" s="74"/>
      <c r="M35" s="79"/>
      <c r="N35" s="74"/>
      <c r="O35" s="74"/>
      <c r="P35" s="79"/>
      <c r="Q35" s="75"/>
      <c r="R35" s="75"/>
      <c r="S35" s="75"/>
      <c r="T35" s="75"/>
      <c r="U35" s="75"/>
    </row>
    <row r="36" customFormat="false" ht="12" hidden="false" customHeight="true" outlineLevel="0" collapsed="false">
      <c r="A36" s="75" t="s">
        <v>50</v>
      </c>
      <c r="B36" s="74"/>
      <c r="C36" s="80" t="n">
        <f aca="false">SQRT(SUMSQ(C27:C34))</f>
        <v>34118295.5752452</v>
      </c>
      <c r="D36" s="42"/>
      <c r="E36" s="81" t="n">
        <f aca="false">SQRT(SUMSQ(E27:E34))</f>
        <v>88030547.5888306</v>
      </c>
      <c r="F36" s="81" t="n">
        <f aca="false">SQRT(SUMSQ(F27:F34))</f>
        <v>73210836.0418406</v>
      </c>
      <c r="G36" s="80" t="n">
        <f aca="false">SQRT(SUMSQ(G27:G34))</f>
        <v>78370043.0918828</v>
      </c>
      <c r="H36" s="81" t="n">
        <f aca="false">SQRT(SUMSQ(H27:H34))</f>
        <v>85345122.9695365</v>
      </c>
      <c r="I36" s="81" t="n">
        <f aca="false">SQRT(SUMSQ(I27:I34))</f>
        <v>80529048.0382226</v>
      </c>
      <c r="J36" s="80" t="n">
        <f aca="false">SQRT(SUMSQ(J27:J34))</f>
        <v>78982157.9158046</v>
      </c>
      <c r="K36" s="81" t="n">
        <f aca="false">SQRT(SUMSQ(K27:K34))</f>
        <v>83826933.0300539</v>
      </c>
      <c r="L36" s="81" t="n">
        <f aca="false">SQRT(SUMSQ(L27:L34))</f>
        <v>103583989.788158</v>
      </c>
      <c r="M36" s="80" t="n">
        <f aca="false">SQRT(SUMSQ(M27:M34))</f>
        <v>82449986.8029963</v>
      </c>
      <c r="N36" s="81" t="n">
        <f aca="false">SQRT(SUMSQ(N27:N34))</f>
        <v>75604617.3454296</v>
      </c>
      <c r="O36" s="81" t="n">
        <f aca="false">SQRT(SUMSQ(O27:O34))</f>
        <v>106372363.220868</v>
      </c>
      <c r="P36" s="80" t="n">
        <f aca="false">SQRT(SUMSQ(P27:P34))</f>
        <v>112102021.690054</v>
      </c>
      <c r="Q36" s="75"/>
      <c r="R36" s="81" t="n">
        <f aca="false">SQRT(SUMSQ(R27:R34))</f>
        <v>85880591.0358839</v>
      </c>
      <c r="S36" s="81" t="n">
        <f aca="false">SQRT(SUMSQ(S27:S34))</f>
        <v>121983662.347029</v>
      </c>
      <c r="T36" s="81" t="n">
        <f aca="false">SQRT(SUMSQ(T27:T34))</f>
        <v>61982356.1104573</v>
      </c>
      <c r="U36" s="75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82"/>
      <c r="AO36" s="82"/>
      <c r="AP36" s="82"/>
      <c r="AQ36" s="82"/>
      <c r="AR36" s="82"/>
      <c r="AS36" s="82"/>
      <c r="AT36" s="82"/>
      <c r="AU36" s="82"/>
      <c r="AV36" s="82"/>
      <c r="AW36" s="82"/>
      <c r="AX36" s="82"/>
      <c r="AY36" s="82"/>
      <c r="AZ36" s="82"/>
      <c r="BA36" s="82"/>
      <c r="BB36" s="82"/>
      <c r="BC36" s="82"/>
      <c r="BD36" s="82"/>
      <c r="BE36" s="82"/>
      <c r="BF36" s="82"/>
      <c r="BG36" s="82"/>
      <c r="BH36" s="82"/>
      <c r="BI36" s="82"/>
      <c r="BJ36" s="82"/>
      <c r="BK36" s="82"/>
      <c r="BL36" s="82"/>
      <c r="BM36" s="82"/>
      <c r="BN36" s="82"/>
      <c r="BO36" s="82"/>
      <c r="BP36" s="82"/>
      <c r="BQ36" s="82"/>
      <c r="BR36" s="82"/>
      <c r="BS36" s="82"/>
      <c r="BT36" s="82"/>
      <c r="BU36" s="82"/>
      <c r="BV36" s="82"/>
      <c r="BW36" s="82"/>
      <c r="BX36" s="82"/>
      <c r="BY36" s="82"/>
      <c r="BZ36" s="82"/>
      <c r="CA36" s="82"/>
      <c r="CB36" s="82"/>
      <c r="CC36" s="82"/>
      <c r="CD36" s="82"/>
      <c r="CE36" s="82"/>
      <c r="CF36" s="82"/>
      <c r="CG36" s="82"/>
      <c r="CH36" s="82"/>
      <c r="CI36" s="82"/>
      <c r="CJ36" s="82"/>
      <c r="CK36" s="82"/>
      <c r="CL36" s="82"/>
      <c r="CM36" s="82"/>
      <c r="CN36" s="82"/>
      <c r="CO36" s="82"/>
      <c r="CP36" s="82"/>
      <c r="CQ36" s="82"/>
      <c r="CR36" s="82"/>
      <c r="CS36" s="82"/>
      <c r="CT36" s="82"/>
      <c r="CU36" s="82"/>
      <c r="CV36" s="82"/>
      <c r="CW36" s="82"/>
      <c r="CX36" s="82"/>
      <c r="CY36" s="82"/>
      <c r="CZ36" s="82"/>
      <c r="DA36" s="82"/>
      <c r="DB36" s="82"/>
      <c r="DC36" s="82"/>
      <c r="DD36" s="82"/>
      <c r="DE36" s="82"/>
      <c r="DF36" s="82"/>
      <c r="DG36" s="82"/>
      <c r="DH36" s="82"/>
      <c r="DI36" s="82"/>
      <c r="DJ36" s="82"/>
      <c r="DK36" s="82"/>
      <c r="DL36" s="82"/>
      <c r="DM36" s="82"/>
      <c r="DN36" s="82"/>
      <c r="DO36" s="82"/>
      <c r="DP36" s="82"/>
      <c r="DQ36" s="82"/>
      <c r="DR36" s="82"/>
      <c r="DS36" s="82"/>
      <c r="DT36" s="82"/>
      <c r="DU36" s="82"/>
      <c r="DV36" s="82"/>
      <c r="DW36" s="82"/>
      <c r="DX36" s="82"/>
      <c r="DY36" s="82"/>
      <c r="DZ36" s="82"/>
      <c r="EA36" s="82"/>
      <c r="EB36" s="82"/>
      <c r="EC36" s="82"/>
      <c r="ED36" s="82"/>
      <c r="EE36" s="82"/>
      <c r="EF36" s="82"/>
      <c r="EG36" s="82"/>
      <c r="EH36" s="82"/>
      <c r="EI36" s="82"/>
      <c r="EJ36" s="82"/>
      <c r="EK36" s="82"/>
      <c r="EL36" s="82"/>
      <c r="EM36" s="82"/>
      <c r="EN36" s="82"/>
      <c r="EO36" s="82"/>
      <c r="EP36" s="82"/>
      <c r="EQ36" s="82"/>
      <c r="ER36" s="82"/>
      <c r="ES36" s="82"/>
      <c r="ET36" s="82"/>
      <c r="EU36" s="82"/>
      <c r="EV36" s="82"/>
      <c r="EW36" s="82"/>
      <c r="EX36" s="82"/>
      <c r="EY36" s="82"/>
      <c r="EZ36" s="82"/>
      <c r="FA36" s="82"/>
      <c r="FB36" s="82"/>
      <c r="FC36" s="82"/>
      <c r="FD36" s="82"/>
      <c r="FE36" s="82"/>
      <c r="FF36" s="82"/>
      <c r="FG36" s="82"/>
      <c r="FH36" s="82"/>
      <c r="FI36" s="82"/>
      <c r="FJ36" s="82"/>
      <c r="FK36" s="82"/>
      <c r="FL36" s="82"/>
      <c r="FM36" s="82"/>
      <c r="FN36" s="82"/>
      <c r="FO36" s="82"/>
      <c r="FP36" s="82"/>
      <c r="FQ36" s="82"/>
      <c r="FR36" s="82"/>
      <c r="FS36" s="82"/>
      <c r="FT36" s="82"/>
      <c r="FU36" s="82"/>
      <c r="FV36" s="82"/>
      <c r="FW36" s="82"/>
      <c r="FX36" s="82"/>
      <c r="FY36" s="82"/>
      <c r="FZ36" s="82"/>
      <c r="GA36" s="82"/>
      <c r="GB36" s="82"/>
      <c r="GC36" s="82"/>
      <c r="GD36" s="82"/>
      <c r="GE36" s="82"/>
      <c r="GF36" s="82"/>
      <c r="GG36" s="82"/>
      <c r="GH36" s="82"/>
      <c r="GI36" s="82"/>
      <c r="GJ36" s="82"/>
      <c r="GK36" s="82"/>
      <c r="GL36" s="82"/>
      <c r="GM36" s="82"/>
      <c r="GN36" s="82"/>
      <c r="GO36" s="82"/>
      <c r="GP36" s="82"/>
      <c r="GQ36" s="82"/>
      <c r="GR36" s="82"/>
      <c r="GS36" s="82"/>
      <c r="GT36" s="82"/>
      <c r="GU36" s="82"/>
      <c r="GV36" s="82"/>
      <c r="GW36" s="82"/>
      <c r="GX36" s="82"/>
      <c r="GY36" s="82"/>
      <c r="GZ36" s="82"/>
      <c r="HA36" s="82"/>
      <c r="HB36" s="82"/>
      <c r="HC36" s="82"/>
      <c r="HD36" s="82"/>
      <c r="HE36" s="82"/>
      <c r="HF36" s="82"/>
      <c r="HG36" s="82"/>
      <c r="HH36" s="82"/>
      <c r="HI36" s="82"/>
      <c r="HJ36" s="82"/>
      <c r="HK36" s="82"/>
      <c r="HL36" s="82"/>
      <c r="HM36" s="82"/>
      <c r="HN36" s="82"/>
      <c r="HO36" s="82"/>
      <c r="HP36" s="82"/>
      <c r="HQ36" s="82"/>
      <c r="HR36" s="82"/>
      <c r="HS36" s="82"/>
      <c r="HT36" s="82"/>
      <c r="HU36" s="82"/>
      <c r="HV36" s="82"/>
      <c r="HW36" s="82"/>
      <c r="HX36" s="82"/>
      <c r="HY36" s="82"/>
      <c r="HZ36" s="82"/>
      <c r="IA36" s="82"/>
      <c r="IB36" s="82"/>
      <c r="IC36" s="82"/>
      <c r="ID36" s="82"/>
      <c r="IE36" s="82"/>
      <c r="IF36" s="82"/>
      <c r="IG36" s="82"/>
      <c r="IH36" s="82"/>
      <c r="II36" s="82"/>
      <c r="IJ36" s="82"/>
      <c r="IK36" s="82"/>
      <c r="IL36" s="82"/>
      <c r="IM36" s="82"/>
      <c r="IN36" s="82"/>
      <c r="IO36" s="82"/>
      <c r="IP36" s="82"/>
      <c r="IQ36" s="82"/>
      <c r="IR36" s="82"/>
      <c r="IS36" s="82"/>
      <c r="IT36" s="82"/>
      <c r="IU36" s="82"/>
      <c r="IV36" s="82"/>
      <c r="IW36" s="82"/>
    </row>
    <row r="37" customFormat="false" ht="12" hidden="false" customHeight="true" outlineLevel="0" collapsed="false">
      <c r="A37" s="75"/>
      <c r="B37" s="74"/>
      <c r="C37" s="74"/>
      <c r="D37" s="42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5"/>
      <c r="R37" s="75"/>
      <c r="S37" s="75"/>
      <c r="T37" s="75"/>
      <c r="U37" s="75"/>
    </row>
    <row r="38" customFormat="false" ht="12" hidden="false" customHeight="true" outlineLevel="0" collapsed="false">
      <c r="A38" s="75"/>
      <c r="B38" s="74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</row>
    <row r="39" customFormat="false" ht="12.75" hidden="false" customHeight="true" outlineLevel="0" collapsed="false">
      <c r="A39" s="75"/>
      <c r="B39" s="74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</row>
    <row r="41" customFormat="false" ht="12" hidden="true" customHeight="true" outlineLevel="0" collapsed="false">
      <c r="C41" s="34" t="s">
        <v>66</v>
      </c>
      <c r="E41" s="54" t="n">
        <v>119911136.190401</v>
      </c>
      <c r="F41" s="55" t="n">
        <v>139445086.63918</v>
      </c>
      <c r="G41" s="55" t="n">
        <v>80231710.8047828</v>
      </c>
      <c r="H41" s="55" t="n">
        <v>66391245.0846979</v>
      </c>
      <c r="I41" s="55" t="n">
        <v>69632080.4218782</v>
      </c>
      <c r="J41" s="55" t="n">
        <v>77867611.5470121</v>
      </c>
      <c r="K41" s="55" t="n">
        <v>73541114.4511004</v>
      </c>
      <c r="L41" s="55" t="n">
        <v>85909099.6047661</v>
      </c>
      <c r="M41" s="55" t="n">
        <v>66983312.5346663</v>
      </c>
      <c r="N41" s="55" t="n">
        <v>62341523.6362071</v>
      </c>
      <c r="O41" s="55" t="n">
        <v>62553992.8527886</v>
      </c>
      <c r="P41" s="56" t="n">
        <v>61548814.7799013</v>
      </c>
    </row>
    <row r="42" customFormat="false" ht="12" hidden="true" customHeight="true" outlineLevel="0" collapsed="false">
      <c r="C42" s="34" t="s">
        <v>67</v>
      </c>
      <c r="E42" s="77" t="n">
        <v>121011676.471614</v>
      </c>
      <c r="F42" s="77" t="n">
        <v>140185311.207525</v>
      </c>
      <c r="G42" s="76" t="n">
        <v>82538859.5931543</v>
      </c>
      <c r="H42" s="77" t="n">
        <v>67771407.2517384</v>
      </c>
      <c r="I42" s="77" t="n">
        <v>70269205.9120179</v>
      </c>
      <c r="J42" s="76" t="n">
        <v>78226546.9667872</v>
      </c>
      <c r="K42" s="77" t="n">
        <v>74463146.1979031</v>
      </c>
      <c r="L42" s="77" t="n">
        <v>86681874.8149021</v>
      </c>
      <c r="M42" s="76" t="n">
        <v>68777667.5173212</v>
      </c>
      <c r="N42" s="77" t="n">
        <v>66451919.9989704</v>
      </c>
      <c r="O42" s="77" t="n">
        <v>66839432.4810975</v>
      </c>
      <c r="P42" s="76" t="n">
        <v>67865071.0115322</v>
      </c>
    </row>
    <row r="43" customFormat="false" ht="12" hidden="true" customHeight="true" outlineLevel="0" collapsed="false"/>
    <row r="44" customFormat="false" ht="12" hidden="true" customHeight="true" outlineLevel="0" collapsed="false">
      <c r="E44" s="83" t="n">
        <f aca="false">E17-E41</f>
        <v>-58802468.5109799</v>
      </c>
      <c r="F44" s="83" t="n">
        <f aca="false">F17-F41</f>
        <v>-94572959.8970267</v>
      </c>
      <c r="G44" s="83" t="n">
        <f aca="false">G17-G41</f>
        <v>-32553873.8047828</v>
      </c>
      <c r="H44" s="83" t="n">
        <f aca="false">H17-H41</f>
        <v>-14770536.1084647</v>
      </c>
      <c r="I44" s="83" t="n">
        <f aca="false">I17-I41</f>
        <v>-24581298.6543218</v>
      </c>
      <c r="J44" s="83" t="n">
        <f aca="false">J17-J41</f>
        <v>-32271250.547012</v>
      </c>
      <c r="K44" s="83" t="n">
        <f aca="false">K17-K41</f>
        <v>-22977088.691911</v>
      </c>
      <c r="L44" s="83" t="n">
        <f aca="false">L17-L41</f>
        <v>-37870520.6873564</v>
      </c>
      <c r="M44" s="83" t="n">
        <f aca="false">M17-M41</f>
        <v>-26956372.5346663</v>
      </c>
      <c r="N44" s="83" t="n">
        <f aca="false">N17-N41</f>
        <v>-18400452.6362071</v>
      </c>
      <c r="O44" s="83" t="n">
        <f aca="false">O17-O41</f>
        <v>-18842560.8527886</v>
      </c>
      <c r="P44" s="83" t="n">
        <f aca="false">P17-P41</f>
        <v>5197274.22009866</v>
      </c>
    </row>
    <row r="45" customFormat="false" ht="12" hidden="true" customHeight="true" outlineLevel="0" collapsed="false">
      <c r="E45" s="83" t="n">
        <f aca="false">E30-E42</f>
        <v>-37763859.9744795</v>
      </c>
      <c r="F45" s="83" t="n">
        <f aca="false">F30-F42</f>
        <v>-71030387.3141374</v>
      </c>
      <c r="G45" s="83" t="n">
        <f aca="false">G30-G42</f>
        <v>-11476248.6444537</v>
      </c>
      <c r="H45" s="83" t="n">
        <f aca="false">H30-H42</f>
        <v>711035.445660949</v>
      </c>
      <c r="I45" s="83" t="n">
        <f aca="false">I30-I42</f>
        <v>-7934111.44246392</v>
      </c>
      <c r="J45" s="83" t="n">
        <f aca="false">J30-J42</f>
        <v>-20926861.8199272</v>
      </c>
      <c r="K45" s="83" t="n">
        <f aca="false">K30-K42</f>
        <v>-6827893.64546442</v>
      </c>
      <c r="L45" s="83" t="n">
        <f aca="false">L30-L42</f>
        <v>-20441983.7940041</v>
      </c>
      <c r="M45" s="83" t="n">
        <f aca="false">M30-M42</f>
        <v>-8437988.32354067</v>
      </c>
      <c r="N45" s="83" t="n">
        <f aca="false">N30-N42</f>
        <v>-226446.623221047</v>
      </c>
      <c r="O45" s="83" t="n">
        <f aca="false">O30-O42</f>
        <v>1137475.94022346</v>
      </c>
      <c r="P45" s="83" t="n">
        <f aca="false">P30-P42</f>
        <v>22277132.2624604</v>
      </c>
    </row>
    <row r="46" customFormat="false" ht="12" hidden="true" customHeight="true" outlineLevel="0" collapsed="false"/>
  </sheetData>
  <sheetProtection sheet="true" objects="true" scenarios="true"/>
  <printOptions headings="false" gridLines="false" gridLinesSet="true" horizontalCentered="false" verticalCentered="false"/>
  <pageMargins left="0.179861111111111" right="0.1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43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B23" activeCellId="0" sqref="B23:B24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41.99"/>
    <col collapsed="false" customWidth="true" hidden="false" outlineLevel="0" max="2" min="2" style="84" width="13.85"/>
    <col collapsed="false" customWidth="true" hidden="false" outlineLevel="0" max="3" min="3" style="1" width="11.56"/>
    <col collapsed="false" customWidth="true" hidden="false" outlineLevel="0" max="4" min="4" style="1" width="12.42"/>
    <col collapsed="false" customWidth="true" hidden="false" outlineLevel="0" max="5" min="5" style="85" width="38.41"/>
    <col collapsed="false" customWidth="true" hidden="false" outlineLevel="0" max="8" min="6" style="1" width="20.28"/>
    <col collapsed="false" customWidth="true" hidden="true" outlineLevel="0" max="9" min="9" style="1" width="5.56"/>
    <col collapsed="false" customWidth="false" hidden="true" outlineLevel="0" max="10" min="10" style="1" width="9.14"/>
    <col collapsed="false" customWidth="false" hidden="true" outlineLevel="0" max="11" min="11" style="84" width="9.14"/>
    <col collapsed="false" customWidth="false" hidden="true" outlineLevel="0" max="13" min="12" style="1" width="9.14"/>
    <col collapsed="false" customWidth="true" hidden="false" outlineLevel="0" max="14" min="14" style="1" width="4.14"/>
    <col collapsed="false" customWidth="true" hidden="false" outlineLevel="0" max="16" min="15" style="1" width="8.41"/>
    <col collapsed="false" customWidth="true" hidden="false" outlineLevel="0" max="18" min="17" style="84" width="8.41"/>
    <col collapsed="false" customWidth="false" hidden="false" outlineLevel="0" max="257" min="19" style="1" width="9.14"/>
  </cols>
  <sheetData>
    <row r="1" customFormat="false" ht="13.5" hidden="false" customHeight="false" outlineLevel="0" collapsed="false">
      <c r="A1" s="3" t="s">
        <v>68</v>
      </c>
    </row>
    <row r="2" customFormat="false" ht="24.95" hidden="false" customHeight="true" outlineLevel="0" collapsed="false">
      <c r="A2" s="86" t="s">
        <v>69</v>
      </c>
      <c r="B2" s="87" t="s">
        <v>70</v>
      </c>
      <c r="C2" s="88"/>
      <c r="D2" s="30" t="s">
        <v>71</v>
      </c>
      <c r="E2" s="89"/>
      <c r="F2" s="30"/>
      <c r="G2" s="30" t="s">
        <v>72</v>
      </c>
      <c r="H2" s="30" t="s">
        <v>73</v>
      </c>
      <c r="J2" s="90" t="s">
        <v>74</v>
      </c>
      <c r="K2" s="91"/>
      <c r="L2" s="92"/>
      <c r="M2" s="93" t="s">
        <v>75</v>
      </c>
      <c r="O2" s="90" t="s">
        <v>74</v>
      </c>
      <c r="P2" s="91"/>
      <c r="Q2" s="92"/>
      <c r="R2" s="93" t="s">
        <v>76</v>
      </c>
    </row>
    <row r="3" customFormat="false" ht="11.25" hidden="false" customHeight="false" outlineLevel="0" collapsed="false">
      <c r="B3" s="87"/>
      <c r="C3" s="30"/>
      <c r="F3" s="30"/>
      <c r="J3" s="94"/>
      <c r="K3" s="95"/>
      <c r="L3" s="96"/>
      <c r="M3" s="97"/>
      <c r="O3" s="94"/>
      <c r="P3" s="95"/>
      <c r="Q3" s="96"/>
      <c r="R3" s="98"/>
    </row>
    <row r="4" customFormat="false" ht="11.25" hidden="false" customHeight="false" outlineLevel="0" collapsed="false">
      <c r="A4" s="99" t="s">
        <v>4</v>
      </c>
      <c r="B4" s="100" t="n">
        <v>18742019</v>
      </c>
      <c r="C4" s="101" t="s">
        <v>77</v>
      </c>
      <c r="D4" s="1" t="s">
        <v>78</v>
      </c>
      <c r="E4" s="102" t="s">
        <v>79</v>
      </c>
      <c r="F4" s="8" t="s">
        <v>80</v>
      </c>
      <c r="G4" s="1" t="s">
        <v>3</v>
      </c>
      <c r="J4" s="103" t="n">
        <f aca="false">B4-L4</f>
        <v>-11701981</v>
      </c>
      <c r="K4" s="95"/>
      <c r="L4" s="96" t="n">
        <f aca="false">'6-30-99'!D4*1000</f>
        <v>30444000</v>
      </c>
      <c r="M4" s="97"/>
      <c r="O4" s="104" t="n">
        <f aca="false">B4-R4</f>
        <v>11071875.042669</v>
      </c>
      <c r="P4" s="105"/>
      <c r="Q4" s="96"/>
      <c r="R4" s="98" t="n">
        <f aca="false">1000*'3-31-99 and 98 end'!E26</f>
        <v>7670143.95733098</v>
      </c>
    </row>
    <row r="5" customFormat="false" ht="11.25" hidden="false" customHeight="false" outlineLevel="0" collapsed="false">
      <c r="A5" s="99" t="s">
        <v>7</v>
      </c>
      <c r="B5" s="100" t="n">
        <v>3654177</v>
      </c>
      <c r="C5" s="101" t="s">
        <v>77</v>
      </c>
      <c r="D5" s="1" t="s">
        <v>78</v>
      </c>
      <c r="E5" s="102" t="s">
        <v>79</v>
      </c>
      <c r="F5" s="8" t="s">
        <v>80</v>
      </c>
      <c r="G5" s="1" t="s">
        <v>3</v>
      </c>
      <c r="J5" s="103" t="n">
        <f aca="false">B5-L5</f>
        <v>-1940823</v>
      </c>
      <c r="K5" s="95"/>
      <c r="L5" s="96" t="n">
        <f aca="false">'6-30-99'!D5*1000</f>
        <v>5595000</v>
      </c>
      <c r="M5" s="97"/>
      <c r="O5" s="104" t="n">
        <f aca="false">B5-R5</f>
        <v>-832155.97924044</v>
      </c>
      <c r="P5" s="105"/>
      <c r="Q5" s="96"/>
      <c r="R5" s="98" t="n">
        <f aca="false">1000*'3-31-99 and 98 end'!E27</f>
        <v>4486332.97924044</v>
      </c>
    </row>
    <row r="6" customFormat="false" ht="11.25" hidden="false" customHeight="false" outlineLevel="0" collapsed="false">
      <c r="A6" s="99" t="s">
        <v>8</v>
      </c>
      <c r="B6" s="100" t="n">
        <v>6513072.74714849</v>
      </c>
      <c r="C6" s="101" t="s">
        <v>77</v>
      </c>
      <c r="D6" s="1" t="s">
        <v>78</v>
      </c>
      <c r="E6" s="102" t="s">
        <v>79</v>
      </c>
      <c r="F6" s="8" t="s">
        <v>81</v>
      </c>
      <c r="G6" s="1" t="s">
        <v>3</v>
      </c>
      <c r="J6" s="103" t="n">
        <f aca="false">B6-L6</f>
        <v>531072.74714849</v>
      </c>
      <c r="K6" s="95"/>
      <c r="L6" s="96" t="n">
        <f aca="false">'6-30-99'!D6*1000</f>
        <v>5982000</v>
      </c>
      <c r="M6" s="97"/>
      <c r="O6" s="104" t="n">
        <f aca="false">B6-R6</f>
        <v>-1429927.25285151</v>
      </c>
      <c r="P6" s="105"/>
      <c r="Q6" s="96"/>
      <c r="R6" s="98" t="n">
        <f aca="false">1000*'3-31-99 and 98 end'!E28</f>
        <v>7943000</v>
      </c>
    </row>
    <row r="7" customFormat="false" ht="11.25" hidden="false" customHeight="false" outlineLevel="0" collapsed="false">
      <c r="A7" s="99" t="s">
        <v>9</v>
      </c>
      <c r="B7" s="100" t="n">
        <v>1608245.29507195</v>
      </c>
      <c r="C7" s="101" t="s">
        <v>77</v>
      </c>
      <c r="D7" s="1" t="s">
        <v>78</v>
      </c>
      <c r="E7" s="102" t="s">
        <v>79</v>
      </c>
      <c r="F7" s="8" t="s">
        <v>81</v>
      </c>
      <c r="G7" s="1" t="s">
        <v>3</v>
      </c>
      <c r="J7" s="103" t="n">
        <f aca="false">B7-L7</f>
        <v>-386754.70492805</v>
      </c>
      <c r="K7" s="95"/>
      <c r="L7" s="96" t="n">
        <f aca="false">'6-30-99'!D7*1000</f>
        <v>1995000</v>
      </c>
      <c r="M7" s="97"/>
      <c r="O7" s="104" t="n">
        <f aca="false">B7-R7</f>
        <v>-112754.70492805</v>
      </c>
      <c r="P7" s="105"/>
      <c r="Q7" s="96"/>
      <c r="R7" s="98" t="n">
        <f aca="false">1000*'3-31-99 and 98 end'!E29</f>
        <v>1721000</v>
      </c>
    </row>
    <row r="8" customFormat="false" ht="11.25" hidden="false" customHeight="false" outlineLevel="0" collapsed="false">
      <c r="A8" s="99" t="s">
        <v>10</v>
      </c>
      <c r="B8" s="100" t="n">
        <v>222549</v>
      </c>
      <c r="C8" s="101" t="s">
        <v>77</v>
      </c>
      <c r="D8" s="1" t="s">
        <v>78</v>
      </c>
      <c r="E8" s="102" t="s">
        <v>79</v>
      </c>
      <c r="F8" s="8" t="s">
        <v>81</v>
      </c>
      <c r="G8" s="1" t="s">
        <v>3</v>
      </c>
      <c r="J8" s="103" t="n">
        <f aca="false">B8-L8</f>
        <v>-60760</v>
      </c>
      <c r="K8" s="95"/>
      <c r="L8" s="96" t="n">
        <f aca="false">'6-30-99'!L8*1000</f>
        <v>283309</v>
      </c>
      <c r="M8" s="97"/>
      <c r="O8" s="104" t="n">
        <f aca="false">B8-R8</f>
        <v>222549</v>
      </c>
      <c r="P8" s="105"/>
      <c r="Q8" s="96"/>
      <c r="R8" s="98"/>
    </row>
    <row r="9" customFormat="false" ht="11.25" hidden="false" customHeight="false" outlineLevel="0" collapsed="false">
      <c r="A9" s="99" t="s">
        <v>11</v>
      </c>
      <c r="B9" s="100" t="n">
        <v>94610</v>
      </c>
      <c r="C9" s="101" t="s">
        <v>77</v>
      </c>
      <c r="D9" s="1" t="s">
        <v>78</v>
      </c>
      <c r="E9" s="102" t="s">
        <v>79</v>
      </c>
      <c r="F9" s="8" t="s">
        <v>81</v>
      </c>
      <c r="G9" s="1" t="s">
        <v>3</v>
      </c>
      <c r="J9" s="103" t="n">
        <f aca="false">B9-L9</f>
        <v>-165390</v>
      </c>
      <c r="K9" s="95"/>
      <c r="L9" s="96" t="n">
        <f aca="false">'6-30-99'!M8*1000</f>
        <v>260000</v>
      </c>
      <c r="M9" s="97"/>
      <c r="O9" s="104" t="n">
        <f aca="false">B9-R9</f>
        <v>94610</v>
      </c>
      <c r="P9" s="105"/>
      <c r="Q9" s="96"/>
      <c r="R9" s="98"/>
    </row>
    <row r="10" customFormat="false" ht="11.25" hidden="false" customHeight="false" outlineLevel="0" collapsed="false">
      <c r="A10" s="99" t="s">
        <v>12</v>
      </c>
      <c r="B10" s="100" t="n">
        <v>421077</v>
      </c>
      <c r="C10" s="101" t="s">
        <v>77</v>
      </c>
      <c r="D10" s="1" t="s">
        <v>78</v>
      </c>
      <c r="E10" s="102" t="s">
        <v>79</v>
      </c>
      <c r="F10" s="8" t="s">
        <v>82</v>
      </c>
      <c r="G10" s="1" t="s">
        <v>83</v>
      </c>
      <c r="J10" s="103" t="n">
        <f aca="false">B10-L10</f>
        <v>-296511</v>
      </c>
      <c r="K10" s="95"/>
      <c r="L10" s="96" t="n">
        <f aca="false">'6-30-99'!D9*1000</f>
        <v>717588</v>
      </c>
      <c r="M10" s="97"/>
      <c r="O10" s="104" t="n">
        <f aca="false">B10-R10</f>
        <v>421077</v>
      </c>
      <c r="P10" s="105"/>
      <c r="Q10" s="96"/>
      <c r="R10" s="98"/>
    </row>
    <row r="11" customFormat="false" ht="11.25" hidden="false" customHeight="false" outlineLevel="0" collapsed="false">
      <c r="A11" s="99" t="s">
        <v>84</v>
      </c>
      <c r="B11" s="100" t="n">
        <v>945166</v>
      </c>
      <c r="C11" s="101" t="s">
        <v>77</v>
      </c>
      <c r="D11" s="1" t="s">
        <v>78</v>
      </c>
      <c r="E11" s="106" t="s">
        <v>85</v>
      </c>
      <c r="F11" s="8" t="s">
        <v>86</v>
      </c>
      <c r="G11" s="1" t="s">
        <v>3</v>
      </c>
      <c r="J11" s="103" t="n">
        <f aca="false">B11-L11</f>
        <v>64072.3613894378</v>
      </c>
      <c r="K11" s="95"/>
      <c r="L11" s="96" t="n">
        <f aca="false">'6-30-99'!D10*1000</f>
        <v>881093.638610562</v>
      </c>
      <c r="M11" s="97"/>
      <c r="O11" s="104" t="n">
        <f aca="false">B11-R11</f>
        <v>-122834</v>
      </c>
      <c r="P11" s="105"/>
      <c r="Q11" s="96"/>
      <c r="R11" s="98" t="n">
        <f aca="false">1000*'3-31-99 and 98 end'!E30</f>
        <v>1068000</v>
      </c>
    </row>
    <row r="12" customFormat="false" ht="11.25" hidden="false" customHeight="false" outlineLevel="0" collapsed="false">
      <c r="A12" s="99" t="s">
        <v>16</v>
      </c>
      <c r="B12" s="100" t="n">
        <v>411253.905078859</v>
      </c>
      <c r="C12" s="101" t="s">
        <v>77</v>
      </c>
      <c r="D12" s="1" t="s">
        <v>16</v>
      </c>
      <c r="E12" s="107" t="s">
        <v>87</v>
      </c>
      <c r="F12" s="8" t="s">
        <v>88</v>
      </c>
      <c r="G12" s="1" t="s">
        <v>3</v>
      </c>
      <c r="J12" s="103" t="n">
        <f aca="false">B12-L12</f>
        <v>272253.905078859</v>
      </c>
      <c r="K12" s="95"/>
      <c r="L12" s="96" t="n">
        <f aca="false">'6-30-99'!D11*1000</f>
        <v>139000</v>
      </c>
      <c r="M12" s="97"/>
      <c r="O12" s="104" t="n">
        <f aca="false">B12-R12</f>
        <v>334253.905078859</v>
      </c>
      <c r="P12" s="105"/>
      <c r="Q12" s="96"/>
      <c r="R12" s="98" t="n">
        <f aca="false">1000*'3-31-99 and 98 end'!E31</f>
        <v>77000</v>
      </c>
    </row>
    <row r="13" customFormat="false" ht="11.25" hidden="false" customHeight="false" outlineLevel="0" collapsed="false">
      <c r="A13" s="99" t="s">
        <v>17</v>
      </c>
      <c r="B13" s="100" t="n">
        <v>16806.1418330592</v>
      </c>
      <c r="C13" s="101" t="s">
        <v>77</v>
      </c>
      <c r="D13" s="1" t="s">
        <v>17</v>
      </c>
      <c r="E13" s="107" t="s">
        <v>87</v>
      </c>
      <c r="F13" s="8" t="s">
        <v>88</v>
      </c>
      <c r="G13" s="1" t="s">
        <v>3</v>
      </c>
      <c r="J13" s="103" t="n">
        <f aca="false">B13-L13</f>
        <v>-9193.85816694078</v>
      </c>
      <c r="K13" s="95"/>
      <c r="L13" s="96" t="n">
        <f aca="false">'6-30-99'!D12*1000</f>
        <v>26000</v>
      </c>
      <c r="M13" s="97"/>
      <c r="O13" s="104" t="n">
        <f aca="false">B13-R13</f>
        <v>-27193.8581669408</v>
      </c>
      <c r="P13" s="105"/>
      <c r="Q13" s="96"/>
      <c r="R13" s="98" t="n">
        <f aca="false">1000*'3-31-99 and 98 end'!E32</f>
        <v>44000</v>
      </c>
    </row>
    <row r="14" customFormat="false" ht="12" hidden="false" customHeight="false" outlineLevel="0" collapsed="false">
      <c r="A14" s="99" t="s">
        <v>19</v>
      </c>
      <c r="B14" s="100" t="n">
        <v>1948189.86652764</v>
      </c>
      <c r="C14" s="101" t="s">
        <v>77</v>
      </c>
      <c r="D14" s="1" t="s">
        <v>89</v>
      </c>
      <c r="E14" s="108" t="s">
        <v>90</v>
      </c>
      <c r="F14" s="8" t="s">
        <v>91</v>
      </c>
      <c r="G14" s="1" t="s">
        <v>92</v>
      </c>
      <c r="J14" s="103" t="n">
        <f aca="false">B14-L14</f>
        <v>-7347665.13347236</v>
      </c>
      <c r="K14" s="95"/>
      <c r="L14" s="96" t="n">
        <f aca="false">'6-30-99'!D13*1000</f>
        <v>9295855</v>
      </c>
      <c r="M14" s="97"/>
      <c r="O14" s="104" t="n">
        <f aca="false">B14-R14</f>
        <v>1948189.86652764</v>
      </c>
      <c r="P14" s="105"/>
      <c r="Q14" s="96"/>
      <c r="R14" s="98"/>
    </row>
    <row r="15" customFormat="false" ht="11.25" hidden="false" customHeight="false" outlineLevel="0" collapsed="false">
      <c r="A15" s="99" t="s">
        <v>21</v>
      </c>
      <c r="B15" s="100" t="n">
        <v>1028975</v>
      </c>
      <c r="C15" s="101" t="s">
        <v>77</v>
      </c>
      <c r="D15" s="1" t="s">
        <v>89</v>
      </c>
      <c r="E15" s="102" t="s">
        <v>79</v>
      </c>
      <c r="F15" s="8" t="s">
        <v>81</v>
      </c>
      <c r="G15" s="1" t="s">
        <v>3</v>
      </c>
      <c r="J15" s="103" t="n">
        <f aca="false">SQRT(SUMSQ(B15:B16))-L15</f>
        <v>-525628.24619881</v>
      </c>
      <c r="K15" s="95"/>
      <c r="L15" s="109" t="n">
        <f aca="false">'6-30-99'!D14*1000</f>
        <v>1582000</v>
      </c>
      <c r="M15" s="110"/>
      <c r="O15" s="104" t="n">
        <f aca="false">B15-R15</f>
        <v>498975</v>
      </c>
      <c r="P15" s="105"/>
      <c r="Q15" s="109"/>
      <c r="R15" s="111" t="n">
        <f aca="false">1000*'3-31-99 and 98 end'!E33</f>
        <v>530000</v>
      </c>
    </row>
    <row r="16" customFormat="false" ht="12" hidden="false" customHeight="false" outlineLevel="0" collapsed="false">
      <c r="A16" s="99" t="s">
        <v>22</v>
      </c>
      <c r="B16" s="100" t="n">
        <v>239022.45</v>
      </c>
      <c r="C16" s="101" t="s">
        <v>77</v>
      </c>
      <c r="D16" s="1" t="s">
        <v>89</v>
      </c>
      <c r="E16" s="102" t="s">
        <v>79</v>
      </c>
      <c r="F16" s="8" t="s">
        <v>81</v>
      </c>
      <c r="G16" s="1" t="s">
        <v>3</v>
      </c>
      <c r="J16" s="103"/>
      <c r="K16" s="95"/>
      <c r="L16" s="112" t="s">
        <v>93</v>
      </c>
      <c r="M16" s="113"/>
      <c r="N16" s="1" t="s">
        <v>23</v>
      </c>
      <c r="O16" s="104" t="n">
        <f aca="false">B16-R16</f>
        <v>239022.45</v>
      </c>
      <c r="P16" s="105"/>
      <c r="Q16" s="112"/>
      <c r="R16" s="114"/>
    </row>
    <row r="17" customFormat="false" ht="11.25" hidden="false" customHeight="false" outlineLevel="0" collapsed="false">
      <c r="A17" s="99" t="s">
        <v>25</v>
      </c>
      <c r="B17" s="100" t="n">
        <v>12351283.0194861</v>
      </c>
      <c r="C17" s="115" t="s">
        <v>77</v>
      </c>
      <c r="D17" s="116" t="s">
        <v>89</v>
      </c>
      <c r="E17" s="106" t="s">
        <v>94</v>
      </c>
      <c r="F17" s="8" t="s">
        <v>95</v>
      </c>
      <c r="G17" s="1" t="s">
        <v>96</v>
      </c>
      <c r="J17" s="103" t="n">
        <f aca="false">B17-L17</f>
        <v>-3494716.98051389</v>
      </c>
      <c r="K17" s="95"/>
      <c r="L17" s="96" t="n">
        <f aca="false">'6-30-99'!D15*1000</f>
        <v>15846000</v>
      </c>
      <c r="M17" s="97"/>
      <c r="O17" s="104" t="n">
        <f aca="false">B17-R17</f>
        <v>3558283.01948611</v>
      </c>
      <c r="P17" s="105"/>
      <c r="Q17" s="96"/>
      <c r="R17" s="98" t="n">
        <f aca="false">1000*'3-31-99 and 98 end'!E34</f>
        <v>8793000</v>
      </c>
    </row>
    <row r="18" customFormat="false" ht="11.25" hidden="false" customHeight="false" outlineLevel="0" collapsed="false">
      <c r="A18" s="99" t="s">
        <v>97</v>
      </c>
      <c r="B18" s="100" t="n">
        <v>4050000</v>
      </c>
      <c r="C18" s="101" t="s">
        <v>77</v>
      </c>
      <c r="D18" s="1" t="s">
        <v>89</v>
      </c>
      <c r="E18" s="117" t="s">
        <v>98</v>
      </c>
      <c r="F18" s="8" t="s">
        <v>99</v>
      </c>
      <c r="J18" s="103"/>
      <c r="K18" s="95"/>
      <c r="L18" s="96"/>
      <c r="M18" s="97"/>
      <c r="O18" s="104"/>
      <c r="P18" s="105"/>
      <c r="Q18" s="96"/>
      <c r="R18" s="98"/>
    </row>
    <row r="19" customFormat="false" ht="11.25" hidden="false" customHeight="false" outlineLevel="0" collapsed="false">
      <c r="A19" s="99" t="s">
        <v>28</v>
      </c>
      <c r="B19" s="100" t="n">
        <v>5201871.63471803</v>
      </c>
      <c r="C19" s="115" t="s">
        <v>77</v>
      </c>
      <c r="D19" s="116" t="s">
        <v>89</v>
      </c>
      <c r="E19" s="108" t="s">
        <v>100</v>
      </c>
      <c r="F19" s="8" t="s">
        <v>101</v>
      </c>
      <c r="G19" s="1" t="s">
        <v>102</v>
      </c>
      <c r="H19" s="1" t="s">
        <v>103</v>
      </c>
      <c r="J19" s="103" t="n">
        <f aca="false">B19-L19</f>
        <v>2142871.63471803</v>
      </c>
      <c r="K19" s="95"/>
      <c r="L19" s="96" t="n">
        <f aca="false">'6-30-99'!D16*1000</f>
        <v>3059000</v>
      </c>
      <c r="M19" s="97"/>
      <c r="O19" s="104" t="n">
        <f aca="false">B19-R19</f>
        <v>-3530128.36528198</v>
      </c>
      <c r="P19" s="105"/>
      <c r="Q19" s="96"/>
      <c r="R19" s="98" t="n">
        <f aca="false">1000*'3-31-99 and 98 end'!E35</f>
        <v>8732000</v>
      </c>
    </row>
    <row r="20" customFormat="false" ht="11.25" hidden="false" customHeight="false" outlineLevel="0" collapsed="false">
      <c r="A20" s="99" t="s">
        <v>30</v>
      </c>
      <c r="B20" s="100" t="n">
        <v>0</v>
      </c>
      <c r="C20" s="101" t="s">
        <v>104</v>
      </c>
      <c r="D20" s="101" t="s">
        <v>78</v>
      </c>
      <c r="E20" s="117" t="s">
        <v>105</v>
      </c>
      <c r="F20" s="8" t="s">
        <v>106</v>
      </c>
      <c r="G20" s="1" t="s">
        <v>102</v>
      </c>
      <c r="J20" s="103" t="n">
        <f aca="false">B20-L20</f>
        <v>-17552000</v>
      </c>
      <c r="K20" s="95"/>
      <c r="L20" s="96" t="n">
        <f aca="false">'6-30-99'!D17*1000</f>
        <v>17552000</v>
      </c>
      <c r="M20" s="97"/>
      <c r="O20" s="104" t="n">
        <f aca="false">B20-R20</f>
        <v>-10399000</v>
      </c>
      <c r="P20" s="105"/>
      <c r="Q20" s="96"/>
      <c r="R20" s="98" t="n">
        <f aca="false">1000*'3-31-99 and 98 end'!E36</f>
        <v>10399000</v>
      </c>
    </row>
    <row r="21" customFormat="false" ht="11.25" hidden="false" customHeight="false" outlineLevel="0" collapsed="false">
      <c r="A21" s="99" t="s">
        <v>33</v>
      </c>
      <c r="B21" s="100" t="n">
        <v>1649441</v>
      </c>
      <c r="C21" s="101" t="s">
        <v>104</v>
      </c>
      <c r="D21" s="101" t="s">
        <v>78</v>
      </c>
      <c r="E21" s="117" t="s">
        <v>79</v>
      </c>
      <c r="F21" s="8" t="s">
        <v>107</v>
      </c>
      <c r="G21" s="1" t="s">
        <v>108</v>
      </c>
      <c r="J21" s="103" t="n">
        <f aca="false">B21-L21</f>
        <v>-1477477</v>
      </c>
      <c r="K21" s="95"/>
      <c r="L21" s="96" t="n">
        <f aca="false">'6-30-99'!D18*1000</f>
        <v>3126918</v>
      </c>
      <c r="M21" s="97"/>
      <c r="O21" s="104" t="n">
        <f aca="false">B21-R21</f>
        <v>1186441</v>
      </c>
      <c r="P21" s="105"/>
      <c r="Q21" s="96"/>
      <c r="R21" s="98" t="n">
        <f aca="false">1000*'3-31-99 and 98 end'!E37</f>
        <v>463000</v>
      </c>
    </row>
    <row r="22" customFormat="false" ht="11.25" hidden="false" customHeight="false" outlineLevel="0" collapsed="false">
      <c r="A22" s="99" t="s">
        <v>36</v>
      </c>
      <c r="B22" s="100" t="n">
        <v>267043</v>
      </c>
      <c r="C22" s="101" t="s">
        <v>104</v>
      </c>
      <c r="D22" s="101" t="s">
        <v>78</v>
      </c>
      <c r="E22" s="118" t="s">
        <v>109</v>
      </c>
      <c r="F22" s="8" t="s">
        <v>110</v>
      </c>
      <c r="G22" s="1" t="s">
        <v>111</v>
      </c>
      <c r="J22" s="103"/>
      <c r="K22" s="95"/>
      <c r="L22" s="96" t="s">
        <v>112</v>
      </c>
      <c r="M22" s="97"/>
      <c r="N22" s="1" t="s">
        <v>23</v>
      </c>
      <c r="O22" s="104" t="n">
        <f aca="false">B22-R22</f>
        <v>267043</v>
      </c>
      <c r="P22" s="105"/>
      <c r="Q22" s="96"/>
      <c r="R22" s="98"/>
    </row>
    <row r="23" customFormat="false" ht="11.25" hidden="false" customHeight="false" outlineLevel="0" collapsed="false">
      <c r="A23" s="99" t="s">
        <v>38</v>
      </c>
      <c r="B23" s="100" t="n">
        <v>4272190.53</v>
      </c>
      <c r="C23" s="101" t="s">
        <v>104</v>
      </c>
      <c r="D23" s="101" t="s">
        <v>16</v>
      </c>
      <c r="E23" s="118" t="s">
        <v>113</v>
      </c>
      <c r="F23" s="8"/>
      <c r="G23" s="1" t="s">
        <v>114</v>
      </c>
      <c r="H23" s="1" t="s">
        <v>115</v>
      </c>
      <c r="J23" s="103" t="n">
        <f aca="false">B23-L23</f>
        <v>1570190.53</v>
      </c>
      <c r="K23" s="95"/>
      <c r="L23" s="96" t="n">
        <f aca="false">'6-30-99'!D20*1000</f>
        <v>2702000</v>
      </c>
      <c r="M23" s="97"/>
      <c r="O23" s="104" t="n">
        <f aca="false">B23-R23</f>
        <v>3875190.53</v>
      </c>
      <c r="P23" s="105"/>
      <c r="Q23" s="96"/>
      <c r="R23" s="98" t="n">
        <f aca="false">1000*'3-31-99 and 98 end'!E39</f>
        <v>397000</v>
      </c>
    </row>
    <row r="24" customFormat="false" ht="11.25" hidden="false" customHeight="false" outlineLevel="0" collapsed="false">
      <c r="A24" s="99" t="s">
        <v>39</v>
      </c>
      <c r="B24" s="100" t="n">
        <v>4736824.84</v>
      </c>
      <c r="C24" s="101" t="s">
        <v>104</v>
      </c>
      <c r="D24" s="101" t="s">
        <v>17</v>
      </c>
      <c r="E24" s="118" t="s">
        <v>113</v>
      </c>
      <c r="F24" s="8"/>
      <c r="G24" s="1" t="s">
        <v>114</v>
      </c>
      <c r="H24" s="1" t="s">
        <v>116</v>
      </c>
      <c r="J24" s="103" t="n">
        <f aca="false">B24-L24</f>
        <v>4736824.84</v>
      </c>
      <c r="K24" s="95"/>
      <c r="L24" s="96" t="n">
        <f aca="false">'6-30-99'!D19*1000</f>
        <v>0</v>
      </c>
      <c r="M24" s="97"/>
      <c r="O24" s="104" t="n">
        <f aca="false">B24-R24</f>
        <v>4736824.84</v>
      </c>
      <c r="P24" s="105"/>
      <c r="Q24" s="96"/>
      <c r="R24" s="98" t="n">
        <f aca="false">1000*'3-31-99 and 98 end'!E38</f>
        <v>0</v>
      </c>
    </row>
    <row r="25" customFormat="false" ht="11.25" hidden="false" customHeight="false" outlineLevel="0" collapsed="false">
      <c r="J25" s="94"/>
      <c r="K25" s="95"/>
      <c r="L25" s="119"/>
      <c r="M25" s="97"/>
      <c r="O25" s="104"/>
      <c r="P25" s="105"/>
      <c r="Q25" s="96"/>
      <c r="R25" s="98"/>
    </row>
    <row r="26" customFormat="false" ht="11.25" hidden="false" customHeight="false" outlineLevel="0" collapsed="false">
      <c r="J26" s="94"/>
      <c r="K26" s="95"/>
      <c r="L26" s="119"/>
      <c r="M26" s="97"/>
      <c r="O26" s="104"/>
      <c r="P26" s="105"/>
      <c r="Q26" s="96"/>
      <c r="R26" s="98"/>
    </row>
    <row r="27" customFormat="false" ht="11.25" hidden="false" customHeight="false" outlineLevel="0" collapsed="false">
      <c r="J27" s="94"/>
      <c r="K27" s="95"/>
      <c r="L27" s="119"/>
      <c r="M27" s="97"/>
      <c r="O27" s="104"/>
      <c r="P27" s="105"/>
      <c r="Q27" s="96"/>
      <c r="R27" s="98"/>
    </row>
    <row r="28" customFormat="false" ht="11.25" hidden="false" customHeight="false" outlineLevel="0" collapsed="false">
      <c r="J28" s="94"/>
      <c r="K28" s="95"/>
      <c r="L28" s="119"/>
      <c r="M28" s="97"/>
      <c r="O28" s="104"/>
      <c r="P28" s="105"/>
      <c r="Q28" s="96"/>
      <c r="R28" s="98"/>
    </row>
    <row r="29" customFormat="false" ht="11.25" hidden="false" customHeight="false" outlineLevel="0" collapsed="false">
      <c r="J29" s="94"/>
      <c r="K29" s="95"/>
      <c r="L29" s="119"/>
      <c r="M29" s="97"/>
      <c r="O29" s="104"/>
      <c r="P29" s="105"/>
      <c r="Q29" s="96"/>
      <c r="R29" s="98"/>
    </row>
    <row r="30" customFormat="false" ht="11.25" hidden="false" customHeight="false" outlineLevel="0" collapsed="false">
      <c r="J30" s="94"/>
      <c r="K30" s="95"/>
      <c r="L30" s="119"/>
      <c r="M30" s="97"/>
      <c r="O30" s="104"/>
      <c r="P30" s="105"/>
      <c r="Q30" s="96"/>
      <c r="R30" s="98"/>
    </row>
    <row r="31" customFormat="false" ht="11.25" hidden="false" customHeight="false" outlineLevel="0" collapsed="false">
      <c r="J31" s="94"/>
      <c r="K31" s="95"/>
      <c r="L31" s="119"/>
      <c r="M31" s="97"/>
      <c r="O31" s="104"/>
      <c r="P31" s="105"/>
      <c r="Q31" s="96"/>
      <c r="R31" s="98"/>
    </row>
    <row r="32" customFormat="false" ht="12.75" hidden="false" customHeight="false" outlineLevel="0" collapsed="false">
      <c r="A32" s="3" t="s">
        <v>117</v>
      </c>
      <c r="F32" s="120"/>
      <c r="H32" s="121"/>
      <c r="I32" s="121"/>
      <c r="J32" s="122"/>
      <c r="K32" s="95"/>
      <c r="L32" s="119"/>
      <c r="M32" s="97"/>
      <c r="O32" s="123"/>
      <c r="P32" s="105"/>
      <c r="Q32" s="96"/>
      <c r="R32" s="98"/>
    </row>
    <row r="33" customFormat="false" ht="11.25" hidden="false" customHeight="false" outlineLevel="0" collapsed="false">
      <c r="F33" s="124"/>
      <c r="G33" s="125"/>
      <c r="H33" s="124"/>
      <c r="I33" s="124"/>
      <c r="J33" s="103" t="n">
        <f aca="false">B35-'6-30-99'!C28*1000</f>
        <v>-13202656.3597904</v>
      </c>
      <c r="K33" s="95" t="n">
        <f aca="false">C35-'6-30-99'!D28*1000</f>
        <v>-16157439.0087564</v>
      </c>
      <c r="L33" s="96" t="n">
        <f aca="false">'6-30-99'!C28*1000</f>
        <v>36606187.8994143</v>
      </c>
      <c r="M33" s="98" t="n">
        <f aca="false">'6-30-99'!D28*1000</f>
        <v>17828357.1923698</v>
      </c>
      <c r="O33" s="104" t="n">
        <f aca="false">B35-Q33</f>
        <v>2918531.53962392</v>
      </c>
      <c r="P33" s="105" t="n">
        <f aca="false">C35-R33</f>
        <v>-8791081.81638657</v>
      </c>
      <c r="Q33" s="96" t="n">
        <f aca="false">'3-31-99 and 98 end'!D57*1000</f>
        <v>20485000</v>
      </c>
      <c r="R33" s="98" t="n">
        <f aca="false">'3-31-99 and 98 end'!E57*1000</f>
        <v>10462000</v>
      </c>
    </row>
    <row r="34" customFormat="false" ht="11.25" hidden="false" customHeight="false" outlineLevel="0" collapsed="false">
      <c r="B34" s="87" t="s">
        <v>77</v>
      </c>
      <c r="C34" s="86" t="s">
        <v>104</v>
      </c>
      <c r="F34" s="126"/>
      <c r="G34" s="125"/>
      <c r="H34" s="124"/>
      <c r="I34" s="124"/>
      <c r="J34" s="103" t="n">
        <f aca="false">B36-'6-30-99'!C29*1000</f>
        <v>272253.905078859</v>
      </c>
      <c r="K34" s="95" t="n">
        <f aca="false">C36-'6-30-99'!D29*1000</f>
        <v>1570190.53</v>
      </c>
      <c r="L34" s="96" t="n">
        <f aca="false">'6-30-99'!C29*1000</f>
        <v>139000</v>
      </c>
      <c r="M34" s="98" t="n">
        <f aca="false">'6-30-99'!D29*1000</f>
        <v>2702000</v>
      </c>
      <c r="O34" s="104" t="n">
        <f aca="false">B36-Q34</f>
        <v>334253.905078859</v>
      </c>
      <c r="P34" s="105" t="n">
        <f aca="false">C36-R34</f>
        <v>3875190.53</v>
      </c>
      <c r="Q34" s="96" t="n">
        <f aca="false">'3-31-99 and 98 end'!D59*1000</f>
        <v>77000</v>
      </c>
      <c r="R34" s="98" t="n">
        <f aca="false">'3-31-99 and 98 end'!E59*1000</f>
        <v>397000</v>
      </c>
    </row>
    <row r="35" customFormat="false" ht="11.25" hidden="false" customHeight="false" outlineLevel="0" collapsed="false">
      <c r="A35" s="86" t="s">
        <v>78</v>
      </c>
      <c r="B35" s="127" t="n">
        <f aca="false">SQRT(SUMSQ(SUM(B4:B5),B6:B11))</f>
        <v>23403531.5396239</v>
      </c>
      <c r="C35" s="128" t="n">
        <f aca="false">SQRT(SUMSQ(B20:B22))</f>
        <v>1670918.18361343</v>
      </c>
      <c r="F35" s="126"/>
      <c r="G35" s="129"/>
      <c r="H35" s="124"/>
      <c r="I35" s="124"/>
      <c r="J35" s="103" t="n">
        <f aca="false">B37-'6-30-99'!C30*1000</f>
        <v>-9193.85816694078</v>
      </c>
      <c r="K35" s="95" t="n">
        <f aca="false">C37-'6-30-99'!D30*1000</f>
        <v>4736824.84</v>
      </c>
      <c r="L35" s="96" t="n">
        <f aca="false">'6-30-99'!C30*1000</f>
        <v>26000</v>
      </c>
      <c r="M35" s="98" t="n">
        <f aca="false">'6-30-99'!D30*1000</f>
        <v>0</v>
      </c>
      <c r="O35" s="104" t="n">
        <f aca="false">B37-Q35</f>
        <v>-27193.8581669408</v>
      </c>
      <c r="P35" s="105" t="n">
        <f aca="false">C37-R35</f>
        <v>4736824.84</v>
      </c>
      <c r="Q35" s="96" t="n">
        <f aca="false">'3-31-99 and 98 end'!D58*1000</f>
        <v>44000</v>
      </c>
      <c r="R35" s="98" t="n">
        <f aca="false">'3-31-99 and 98 end'!E58*1000</f>
        <v>0</v>
      </c>
    </row>
    <row r="36" customFormat="false" ht="11.25" hidden="false" customHeight="false" outlineLevel="0" collapsed="false">
      <c r="A36" s="86" t="s">
        <v>118</v>
      </c>
      <c r="B36" s="130" t="n">
        <f aca="false">B12</f>
        <v>411253.905078859</v>
      </c>
      <c r="C36" s="128" t="n">
        <f aca="false">B23</f>
        <v>4272190.53</v>
      </c>
      <c r="F36" s="126"/>
      <c r="G36" s="125"/>
      <c r="H36" s="124"/>
      <c r="I36" s="124"/>
      <c r="J36" s="103" t="n">
        <f aca="false">B38-'6-30-99'!C31*1000</f>
        <v>-2041024.99020045</v>
      </c>
      <c r="K36" s="95" t="n">
        <f aca="false">C38-'6-30-99'!D31*1000</f>
        <v>0</v>
      </c>
      <c r="L36" s="96" t="n">
        <f aca="false">'6-30-99'!C31*1000</f>
        <v>16215915.6694897</v>
      </c>
      <c r="M36" s="98" t="n">
        <f aca="false">'6-30-99'!D31*1000</f>
        <v>0</v>
      </c>
      <c r="O36" s="104" t="n">
        <f aca="false">B38-Q36</f>
        <v>1770890.6792892</v>
      </c>
      <c r="P36" s="105" t="n">
        <f aca="false">C38-R36</f>
        <v>0</v>
      </c>
      <c r="Q36" s="96" t="n">
        <f aca="false">'3-31-99 and 98 end'!D60*1000</f>
        <v>12404000</v>
      </c>
      <c r="R36" s="98" t="n">
        <f aca="false">'3-31-99 and 98 end'!E60*1000</f>
        <v>0</v>
      </c>
    </row>
    <row r="37" customFormat="false" ht="11.25" hidden="false" customHeight="false" outlineLevel="0" collapsed="false">
      <c r="A37" s="86" t="s">
        <v>119</v>
      </c>
      <c r="B37" s="130" t="n">
        <f aca="false">B13</f>
        <v>16806.1418330592</v>
      </c>
      <c r="C37" s="128" t="n">
        <f aca="false">B24</f>
        <v>4736824.84</v>
      </c>
      <c r="F37" s="126"/>
      <c r="G37" s="125"/>
      <c r="H37" s="124"/>
      <c r="I37" s="124"/>
      <c r="J37" s="131"/>
      <c r="K37" s="95"/>
      <c r="L37" s="96"/>
      <c r="M37" s="98"/>
      <c r="O37" s="132"/>
      <c r="P37" s="105"/>
      <c r="Q37" s="96"/>
      <c r="R37" s="98"/>
    </row>
    <row r="38" customFormat="false" ht="12" hidden="false" customHeight="false" outlineLevel="0" collapsed="false">
      <c r="A38" s="86" t="s">
        <v>89</v>
      </c>
      <c r="B38" s="130" t="n">
        <f aca="false">SQRT(SUMSQ(B14:B19))</f>
        <v>14174890.6792892</v>
      </c>
      <c r="C38" s="128" t="n">
        <v>0</v>
      </c>
      <c r="F38" s="101"/>
      <c r="J38" s="133"/>
      <c r="K38" s="134" t="n">
        <f aca="false">C40-M38</f>
        <v>-15762708.4047227</v>
      </c>
      <c r="L38" s="135"/>
      <c r="M38" s="114" t="n">
        <f aca="false">'6-30-99'!F31*1000</f>
        <v>43910591.3727651</v>
      </c>
      <c r="O38" s="136"/>
      <c r="P38" s="137" t="n">
        <f aca="false">C40-R38</f>
        <v>2011445.58648633</v>
      </c>
      <c r="Q38" s="135"/>
      <c r="R38" s="114" t="n">
        <f aca="false">SQRT(SUMSQ(Q33:R36))</f>
        <v>26136437.381556</v>
      </c>
    </row>
    <row r="39" customFormat="false" ht="11.25" hidden="false" customHeight="false" outlineLevel="0" collapsed="false">
      <c r="A39" s="86"/>
      <c r="C39" s="124"/>
      <c r="F39" s="101"/>
    </row>
    <row r="40" customFormat="false" ht="11.25" hidden="false" customHeight="false" outlineLevel="0" collapsed="false">
      <c r="A40" s="86" t="s">
        <v>50</v>
      </c>
      <c r="C40" s="128" t="n">
        <f aca="false">SQRT(SUMSQ(B35:C38))</f>
        <v>28147882.9680424</v>
      </c>
      <c r="F40" s="101"/>
    </row>
    <row r="41" customFormat="false" ht="12" hidden="false" customHeight="false" outlineLevel="0" collapsed="false">
      <c r="F41" s="101"/>
    </row>
    <row r="42" customFormat="false" ht="11.25" hidden="false" customHeight="false" outlineLevel="0" collapsed="false">
      <c r="C42" s="138" t="s">
        <v>120</v>
      </c>
    </row>
    <row r="43" customFormat="false" ht="12" hidden="false" customHeight="false" outlineLevel="0" collapsed="false">
      <c r="C43" s="139" t="n">
        <v>25599414.174076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48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G14" activeCellId="0" sqref="G14:G17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40" width="10.71"/>
    <col collapsed="false" customWidth="true" hidden="false" outlineLevel="0" max="2" min="2" style="140" width="5.71"/>
    <col collapsed="false" customWidth="true" hidden="false" outlineLevel="0" max="3" min="3" style="140" width="14.85"/>
    <col collapsed="false" customWidth="true" hidden="false" outlineLevel="0" max="4" min="4" style="140" width="10.71"/>
    <col collapsed="false" customWidth="true" hidden="false" outlineLevel="0" max="5" min="5" style="140" width="2.7"/>
    <col collapsed="false" customWidth="true" hidden="false" outlineLevel="0" max="6" min="6" style="140" width="20.56"/>
    <col collapsed="false" customWidth="true" hidden="false" outlineLevel="0" max="7" min="7" style="140" width="6.85"/>
    <col collapsed="false" customWidth="true" hidden="false" outlineLevel="0" max="8" min="8" style="140" width="6.7"/>
    <col collapsed="false" customWidth="true" hidden="false" outlineLevel="0" max="9" min="9" style="141" width="15.56"/>
    <col collapsed="false" customWidth="true" hidden="false" outlineLevel="0" max="10" min="10" style="140" width="23.99"/>
    <col collapsed="false" customWidth="false" hidden="false" outlineLevel="0" max="12" min="11" style="140" width="9.14"/>
    <col collapsed="false" customWidth="true" hidden="false" outlineLevel="0" max="13" min="13" style="140" width="9.85"/>
    <col collapsed="false" customWidth="true" hidden="false" outlineLevel="0" max="14" min="14" style="140" width="11.13"/>
    <col collapsed="false" customWidth="false" hidden="false" outlineLevel="0" max="257" min="15" style="140" width="9.14"/>
  </cols>
  <sheetData>
    <row r="1" customFormat="false" ht="12.75" hidden="false" customHeight="false" outlineLevel="0" collapsed="false">
      <c r="A1" s="142" t="s">
        <v>68</v>
      </c>
    </row>
    <row r="2" customFormat="false" ht="24.95" hidden="false" customHeight="true" outlineLevel="0" collapsed="false">
      <c r="A2" s="86" t="s">
        <v>121</v>
      </c>
      <c r="B2" s="143" t="s">
        <v>69</v>
      </c>
      <c r="C2" s="143"/>
      <c r="D2" s="88" t="s">
        <v>70</v>
      </c>
      <c r="E2" s="88"/>
      <c r="F2" s="144" t="s">
        <v>71</v>
      </c>
      <c r="G2" s="145" t="s">
        <v>122</v>
      </c>
      <c r="H2" s="145" t="s">
        <v>123</v>
      </c>
      <c r="I2" s="145" t="s">
        <v>124</v>
      </c>
      <c r="J2" s="145" t="s">
        <v>125</v>
      </c>
    </row>
    <row r="3" customFormat="false" ht="11.25" hidden="false" customHeight="false" outlineLevel="0" collapsed="false">
      <c r="D3" s="144"/>
      <c r="E3" s="144"/>
    </row>
    <row r="4" customFormat="false" ht="11.25" hidden="false" customHeight="false" outlineLevel="0" collapsed="false">
      <c r="A4" s="141" t="n">
        <v>1</v>
      </c>
      <c r="C4" s="99" t="s">
        <v>4</v>
      </c>
      <c r="D4" s="128" t="n">
        <v>30444</v>
      </c>
      <c r="E4" s="146"/>
      <c r="F4" s="141" t="s">
        <v>126</v>
      </c>
      <c r="G4" s="147" t="s">
        <v>127</v>
      </c>
      <c r="H4" s="147" t="s">
        <v>128</v>
      </c>
      <c r="I4" s="147" t="s">
        <v>129</v>
      </c>
      <c r="J4" s="140" t="s">
        <v>130</v>
      </c>
    </row>
    <row r="5" customFormat="false" ht="11.25" hidden="false" customHeight="false" outlineLevel="0" collapsed="false">
      <c r="A5" s="141" t="n">
        <v>2</v>
      </c>
      <c r="C5" s="99" t="s">
        <v>7</v>
      </c>
      <c r="D5" s="128" t="n">
        <v>5595</v>
      </c>
      <c r="E5" s="146"/>
      <c r="F5" s="141" t="s">
        <v>126</v>
      </c>
      <c r="G5" s="147" t="s">
        <v>127</v>
      </c>
      <c r="H5" s="147" t="s">
        <v>128</v>
      </c>
      <c r="I5" s="147" t="s">
        <v>129</v>
      </c>
      <c r="J5" s="140" t="s">
        <v>130</v>
      </c>
    </row>
    <row r="6" customFormat="false" ht="11.25" hidden="false" customHeight="false" outlineLevel="0" collapsed="false">
      <c r="A6" s="141" t="n">
        <v>3</v>
      </c>
      <c r="C6" s="99" t="s">
        <v>8</v>
      </c>
      <c r="D6" s="128" t="n">
        <v>5982</v>
      </c>
      <c r="E6" s="146"/>
      <c r="F6" s="141" t="s">
        <v>126</v>
      </c>
      <c r="G6" s="147" t="s">
        <v>3</v>
      </c>
      <c r="H6" s="147" t="s">
        <v>128</v>
      </c>
      <c r="I6" s="147" t="s">
        <v>131</v>
      </c>
      <c r="J6" s="140" t="s">
        <v>130</v>
      </c>
    </row>
    <row r="7" customFormat="false" ht="11.25" hidden="false" customHeight="false" outlineLevel="0" collapsed="false">
      <c r="A7" s="141" t="n">
        <v>4</v>
      </c>
      <c r="C7" s="99" t="s">
        <v>132</v>
      </c>
      <c r="D7" s="128" t="n">
        <v>1995</v>
      </c>
      <c r="E7" s="146"/>
      <c r="F7" s="141" t="s">
        <v>126</v>
      </c>
      <c r="G7" s="147" t="s">
        <v>3</v>
      </c>
      <c r="H7" s="147" t="s">
        <v>133</v>
      </c>
      <c r="I7" s="147" t="s">
        <v>131</v>
      </c>
      <c r="J7" s="140" t="s">
        <v>130</v>
      </c>
      <c r="L7" s="140" t="s">
        <v>134</v>
      </c>
      <c r="M7" s="140" t="s">
        <v>135</v>
      </c>
      <c r="N7" s="140" t="s">
        <v>136</v>
      </c>
    </row>
    <row r="8" customFormat="false" ht="11.25" hidden="false" customHeight="false" outlineLevel="0" collapsed="false">
      <c r="A8" s="141" t="n">
        <v>5</v>
      </c>
      <c r="C8" s="99" t="s">
        <v>137</v>
      </c>
      <c r="D8" s="128" t="n">
        <f aca="false">N8</f>
        <v>384.530869347313</v>
      </c>
      <c r="E8" s="146"/>
      <c r="F8" s="141" t="s">
        <v>126</v>
      </c>
      <c r="G8" s="147" t="s">
        <v>138</v>
      </c>
      <c r="H8" s="147" t="s">
        <v>139</v>
      </c>
      <c r="I8" s="147" t="s">
        <v>140</v>
      </c>
      <c r="J8" s="140" t="s">
        <v>130</v>
      </c>
      <c r="L8" s="148" t="n">
        <v>283.309</v>
      </c>
      <c r="M8" s="148" t="n">
        <v>260</v>
      </c>
      <c r="N8" s="148" t="n">
        <f aca="false">SQRT(SUMSQ(L8:M8))</f>
        <v>384.530869347313</v>
      </c>
    </row>
    <row r="9" customFormat="false" ht="11.25" hidden="false" customHeight="false" outlineLevel="0" collapsed="false">
      <c r="A9" s="141" t="n">
        <v>6</v>
      </c>
      <c r="C9" s="99" t="s">
        <v>141</v>
      </c>
      <c r="D9" s="128" t="n">
        <v>717.588</v>
      </c>
      <c r="E9" s="146"/>
      <c r="F9" s="141" t="s">
        <v>126</v>
      </c>
      <c r="G9" s="147" t="s">
        <v>138</v>
      </c>
      <c r="H9" s="147" t="s">
        <v>139</v>
      </c>
      <c r="I9" s="147" t="s">
        <v>140</v>
      </c>
      <c r="J9" s="140" t="s">
        <v>130</v>
      </c>
      <c r="L9" s="99" t="s">
        <v>142</v>
      </c>
      <c r="M9" s="99" t="s">
        <v>143</v>
      </c>
      <c r="N9" s="99" t="s">
        <v>136</v>
      </c>
    </row>
    <row r="10" customFormat="false" ht="11.25" hidden="false" customHeight="false" outlineLevel="0" collapsed="false">
      <c r="A10" s="141" t="n">
        <v>7</v>
      </c>
      <c r="C10" s="99" t="s">
        <v>84</v>
      </c>
      <c r="D10" s="128" t="n">
        <f aca="false">N10</f>
        <v>881.093638610562</v>
      </c>
      <c r="E10" s="146"/>
      <c r="F10" s="141" t="s">
        <v>126</v>
      </c>
      <c r="G10" s="147" t="s">
        <v>138</v>
      </c>
      <c r="H10" s="147" t="s">
        <v>139</v>
      </c>
      <c r="I10" s="147" t="s">
        <v>140</v>
      </c>
      <c r="J10" s="140" t="s">
        <v>144</v>
      </c>
      <c r="L10" s="148" t="n">
        <f aca="false">SQRT(SUMSQ(114000,853000))/1000</f>
        <v>860.584103966603</v>
      </c>
      <c r="M10" s="148" t="n">
        <v>189</v>
      </c>
      <c r="N10" s="148" t="n">
        <f aca="false">SQRT(SUMSQ(L10:M10))</f>
        <v>881.093638610562</v>
      </c>
    </row>
    <row r="11" customFormat="false" ht="11.25" hidden="false" customHeight="false" outlineLevel="0" collapsed="false">
      <c r="A11" s="141" t="n">
        <v>8</v>
      </c>
      <c r="C11" s="99" t="s">
        <v>16</v>
      </c>
      <c r="D11" s="128" t="n">
        <v>139</v>
      </c>
      <c r="E11" s="146"/>
      <c r="F11" s="141" t="s">
        <v>145</v>
      </c>
      <c r="G11" s="147" t="s">
        <v>138</v>
      </c>
      <c r="H11" s="147" t="s">
        <v>139</v>
      </c>
      <c r="I11" s="147" t="s">
        <v>131</v>
      </c>
      <c r="J11" s="140" t="s">
        <v>146</v>
      </c>
    </row>
    <row r="12" customFormat="false" ht="11.25" hidden="false" customHeight="false" outlineLevel="0" collapsed="false">
      <c r="A12" s="141" t="n">
        <v>9</v>
      </c>
      <c r="C12" s="99" t="s">
        <v>17</v>
      </c>
      <c r="D12" s="128" t="n">
        <v>26</v>
      </c>
      <c r="E12" s="146"/>
      <c r="F12" s="141" t="s">
        <v>147</v>
      </c>
      <c r="G12" s="147" t="s">
        <v>138</v>
      </c>
      <c r="H12" s="147" t="s">
        <v>139</v>
      </c>
      <c r="I12" s="147" t="s">
        <v>131</v>
      </c>
      <c r="J12" s="140" t="s">
        <v>146</v>
      </c>
    </row>
    <row r="13" customFormat="false" ht="11.25" hidden="false" customHeight="false" outlineLevel="0" collapsed="false">
      <c r="A13" s="141" t="n">
        <v>10</v>
      </c>
      <c r="C13" s="99" t="s">
        <v>148</v>
      </c>
      <c r="D13" s="128" t="n">
        <f aca="false">5559.999+3735.856</f>
        <v>9295.855</v>
      </c>
      <c r="F13" s="141" t="s">
        <v>149</v>
      </c>
      <c r="G13" s="141" t="s">
        <v>138</v>
      </c>
      <c r="H13" s="141" t="s">
        <v>150</v>
      </c>
      <c r="I13" s="147" t="s">
        <v>131</v>
      </c>
      <c r="J13" s="140" t="s">
        <v>151</v>
      </c>
    </row>
    <row r="14" customFormat="false" ht="11.25" hidden="false" customHeight="false" outlineLevel="0" collapsed="false">
      <c r="A14" s="141" t="n">
        <v>11</v>
      </c>
      <c r="C14" s="99" t="s">
        <v>89</v>
      </c>
      <c r="D14" s="128" t="n">
        <v>1582</v>
      </c>
      <c r="E14" s="146"/>
      <c r="F14" s="141" t="s">
        <v>149</v>
      </c>
      <c r="G14" s="147" t="s">
        <v>3</v>
      </c>
      <c r="H14" s="147" t="s">
        <v>150</v>
      </c>
      <c r="I14" s="147" t="s">
        <v>131</v>
      </c>
      <c r="J14" s="140" t="s">
        <v>130</v>
      </c>
    </row>
    <row r="15" customFormat="false" ht="11.25" hidden="false" customHeight="false" outlineLevel="0" collapsed="false">
      <c r="A15" s="141" t="n">
        <v>12</v>
      </c>
      <c r="C15" s="99" t="s">
        <v>152</v>
      </c>
      <c r="D15" s="128" t="n">
        <v>15846</v>
      </c>
      <c r="E15" s="146"/>
      <c r="F15" s="141" t="s">
        <v>149</v>
      </c>
      <c r="G15" s="147" t="s">
        <v>138</v>
      </c>
      <c r="H15" s="147" t="s">
        <v>150</v>
      </c>
      <c r="I15" s="147" t="s">
        <v>153</v>
      </c>
      <c r="J15" s="140" t="s">
        <v>154</v>
      </c>
      <c r="L15" s="99" t="s">
        <v>155</v>
      </c>
      <c r="M15" s="99" t="s">
        <v>156</v>
      </c>
      <c r="N15" s="99" t="s">
        <v>136</v>
      </c>
    </row>
    <row r="16" customFormat="false" ht="11.25" hidden="false" customHeight="false" outlineLevel="0" collapsed="false">
      <c r="A16" s="141" t="n">
        <v>13</v>
      </c>
      <c r="C16" s="99" t="s">
        <v>157</v>
      </c>
      <c r="D16" s="128" t="n">
        <v>3059</v>
      </c>
      <c r="E16" s="146"/>
      <c r="F16" s="141" t="s">
        <v>149</v>
      </c>
      <c r="G16" s="147" t="s">
        <v>138</v>
      </c>
      <c r="H16" s="147" t="s">
        <v>150</v>
      </c>
      <c r="I16" s="147" t="s">
        <v>158</v>
      </c>
      <c r="J16" s="140" t="s">
        <v>130</v>
      </c>
      <c r="L16" s="148" t="n">
        <v>0</v>
      </c>
      <c r="M16" s="148" t="n">
        <v>0</v>
      </c>
      <c r="N16" s="148" t="n">
        <f aca="false">SQRT(SUMSQ(L16:M16))</f>
        <v>0</v>
      </c>
    </row>
    <row r="17" customFormat="false" ht="11.25" hidden="false" customHeight="false" outlineLevel="0" collapsed="false">
      <c r="A17" s="141" t="n">
        <v>14</v>
      </c>
      <c r="C17" s="99" t="s">
        <v>30</v>
      </c>
      <c r="D17" s="128" t="n">
        <v>17552</v>
      </c>
      <c r="E17" s="146"/>
      <c r="F17" s="149" t="s">
        <v>159</v>
      </c>
      <c r="G17" s="147" t="s">
        <v>127</v>
      </c>
      <c r="H17" s="147" t="s">
        <v>128</v>
      </c>
      <c r="I17" s="141" t="s">
        <v>160</v>
      </c>
      <c r="J17" s="140" t="s">
        <v>161</v>
      </c>
      <c r="L17" s="99" t="s">
        <v>162</v>
      </c>
      <c r="M17" s="99" t="s">
        <v>163</v>
      </c>
      <c r="N17" s="99" t="s">
        <v>136</v>
      </c>
    </row>
    <row r="18" customFormat="false" ht="11.25" hidden="false" customHeight="false" outlineLevel="0" collapsed="false">
      <c r="A18" s="141" t="n">
        <v>15</v>
      </c>
      <c r="C18" s="99" t="s">
        <v>33</v>
      </c>
      <c r="D18" s="128" t="n">
        <f aca="false">N18</f>
        <v>3126.918</v>
      </c>
      <c r="F18" s="149" t="s">
        <v>159</v>
      </c>
      <c r="G18" s="147" t="s">
        <v>138</v>
      </c>
      <c r="H18" s="147" t="s">
        <v>139</v>
      </c>
      <c r="I18" s="141" t="s">
        <v>164</v>
      </c>
      <c r="J18" s="140" t="s">
        <v>164</v>
      </c>
      <c r="L18" s="150" t="n">
        <v>3163.741</v>
      </c>
      <c r="M18" s="150" t="n">
        <v>169.963</v>
      </c>
      <c r="N18" s="148" t="n">
        <v>3126.918</v>
      </c>
    </row>
    <row r="19" customFormat="false" ht="11.25" hidden="false" customHeight="false" outlineLevel="0" collapsed="false">
      <c r="A19" s="141" t="n">
        <v>16</v>
      </c>
      <c r="B19" s="144"/>
      <c r="C19" s="99" t="s">
        <v>165</v>
      </c>
      <c r="D19" s="128" t="n">
        <v>0</v>
      </c>
      <c r="F19" s="149" t="s">
        <v>166</v>
      </c>
      <c r="G19" s="147" t="s">
        <v>138</v>
      </c>
      <c r="H19" s="147" t="s">
        <v>139</v>
      </c>
      <c r="I19" s="147" t="s">
        <v>131</v>
      </c>
      <c r="J19" s="140" t="s">
        <v>167</v>
      </c>
      <c r="N19" s="151"/>
    </row>
    <row r="20" customFormat="false" ht="11.25" hidden="false" customHeight="false" outlineLevel="0" collapsed="false">
      <c r="A20" s="141" t="n">
        <v>17</v>
      </c>
      <c r="C20" s="99" t="s">
        <v>168</v>
      </c>
      <c r="D20" s="128" t="n">
        <v>2702</v>
      </c>
      <c r="F20" s="149" t="s">
        <v>169</v>
      </c>
      <c r="G20" s="141" t="s">
        <v>138</v>
      </c>
      <c r="H20" s="141" t="s">
        <v>150</v>
      </c>
      <c r="I20" s="147" t="s">
        <v>131</v>
      </c>
      <c r="J20" s="140" t="s">
        <v>167</v>
      </c>
    </row>
    <row r="21" customFormat="false" ht="11.25" hidden="false" customHeight="false" outlineLevel="0" collapsed="false">
      <c r="A21" s="141"/>
      <c r="I21" s="140"/>
    </row>
    <row r="22" customFormat="false" ht="11.25" hidden="false" customHeight="false" outlineLevel="0" collapsed="false">
      <c r="A22" s="141"/>
    </row>
    <row r="23" customFormat="false" ht="11.25" hidden="false" customHeight="false" outlineLevel="0" collapsed="false">
      <c r="A23" s="141"/>
    </row>
    <row r="24" customFormat="false" ht="11.25" hidden="false" customHeight="false" outlineLevel="0" collapsed="false">
      <c r="A24" s="141"/>
    </row>
    <row r="25" customFormat="false" ht="12.75" hidden="false" customHeight="false" outlineLevel="0" collapsed="false">
      <c r="A25" s="142" t="s">
        <v>170</v>
      </c>
    </row>
    <row r="26" customFormat="false" ht="11.25" hidden="false" customHeight="false" outlineLevel="0" collapsed="false">
      <c r="A26" s="141"/>
    </row>
    <row r="27" customFormat="false" ht="11.25" hidden="false" customHeight="false" outlineLevel="0" collapsed="false">
      <c r="A27" s="141"/>
      <c r="C27" s="86" t="s">
        <v>77</v>
      </c>
      <c r="D27" s="86" t="s">
        <v>104</v>
      </c>
      <c r="G27" s="146"/>
      <c r="H27" s="121"/>
      <c r="I27" s="121"/>
      <c r="J27" s="146"/>
    </row>
    <row r="28" customFormat="false" ht="11.25" hidden="false" customHeight="false" outlineLevel="0" collapsed="false">
      <c r="B28" s="86" t="s">
        <v>78</v>
      </c>
      <c r="C28" s="128" t="n">
        <f aca="false">SQRT(SUMSQ((D4+D5),D6:D10))</f>
        <v>36606.1878994143</v>
      </c>
      <c r="D28" s="128" t="n">
        <f aca="false">SQRT(SUMSQ(D17:D18))</f>
        <v>17828.3571923698</v>
      </c>
      <c r="F28" s="152"/>
      <c r="G28" s="121"/>
      <c r="H28" s="124"/>
      <c r="I28" s="124"/>
      <c r="J28" s="146"/>
    </row>
    <row r="29" customFormat="false" ht="11.25" hidden="false" customHeight="false" outlineLevel="0" collapsed="false">
      <c r="B29" s="86" t="s">
        <v>118</v>
      </c>
      <c r="C29" s="153" t="n">
        <f aca="false">D11</f>
        <v>139</v>
      </c>
      <c r="D29" s="128" t="n">
        <f aca="false">D20</f>
        <v>2702</v>
      </c>
      <c r="F29" s="152"/>
      <c r="G29" s="121"/>
      <c r="H29" s="124"/>
      <c r="I29" s="124"/>
      <c r="J29" s="146"/>
    </row>
    <row r="30" customFormat="false" ht="11.25" hidden="false" customHeight="false" outlineLevel="0" collapsed="false">
      <c r="B30" s="86" t="s">
        <v>119</v>
      </c>
      <c r="C30" s="153" t="n">
        <f aca="false">D12</f>
        <v>26</v>
      </c>
      <c r="D30" s="128" t="n">
        <f aca="false">D19</f>
        <v>0</v>
      </c>
      <c r="F30" s="154" t="s">
        <v>171</v>
      </c>
      <c r="G30" s="121"/>
      <c r="H30" s="155"/>
      <c r="I30" s="124"/>
      <c r="J30" s="146"/>
    </row>
    <row r="31" customFormat="false" ht="11.25" hidden="false" customHeight="false" outlineLevel="0" collapsed="false">
      <c r="B31" s="86" t="s">
        <v>89</v>
      </c>
      <c r="C31" s="153" t="n">
        <f aca="false">SQRT(SUMSQ(D14:D16))</f>
        <v>16215.9156694897</v>
      </c>
      <c r="D31" s="128" t="n">
        <v>0</v>
      </c>
      <c r="F31" s="128" t="n">
        <f aca="false">SQRT(SUMSQ(C28:D31))</f>
        <v>43910.5913727651</v>
      </c>
      <c r="G31" s="121"/>
      <c r="H31" s="155"/>
      <c r="I31" s="124"/>
      <c r="J31" s="146"/>
    </row>
    <row r="32" customFormat="false" ht="11.25" hidden="false" customHeight="false" outlineLevel="0" collapsed="false">
      <c r="B32" s="86"/>
      <c r="C32" s="155"/>
      <c r="D32" s="124"/>
      <c r="F32" s="152"/>
      <c r="G32" s="121"/>
      <c r="H32" s="155"/>
      <c r="I32" s="124"/>
      <c r="J32" s="146"/>
    </row>
    <row r="33" customFormat="false" ht="32.25" hidden="false" customHeight="false" outlineLevel="0" collapsed="false">
      <c r="B33" s="156"/>
      <c r="C33" s="157" t="s">
        <v>172</v>
      </c>
      <c r="D33" s="157" t="s">
        <v>173</v>
      </c>
      <c r="F33" s="152"/>
      <c r="G33" s="86"/>
      <c r="H33" s="155"/>
      <c r="I33" s="124"/>
    </row>
    <row r="34" customFormat="false" ht="11.25" hidden="false" customHeight="false" outlineLevel="0" collapsed="false">
      <c r="B34" s="158" t="s">
        <v>78</v>
      </c>
      <c r="C34" s="159" t="n">
        <f aca="false">C28-C44</f>
        <v>11827.2193852297</v>
      </c>
      <c r="D34" s="159" t="n">
        <f aca="false">D28-D44</f>
        <v>8698.80287685144</v>
      </c>
      <c r="F34" s="152"/>
      <c r="G34" s="86"/>
      <c r="H34" s="155"/>
      <c r="I34" s="124"/>
    </row>
    <row r="35" customFormat="false" ht="11.25" hidden="false" customHeight="false" outlineLevel="0" collapsed="false">
      <c r="B35" s="158" t="s">
        <v>119</v>
      </c>
      <c r="C35" s="160" t="n">
        <f aca="false">C30-C45</f>
        <v>-39.631</v>
      </c>
      <c r="D35" s="159" t="n">
        <f aca="false">D30-D45</f>
        <v>0</v>
      </c>
      <c r="F35" s="152"/>
      <c r="G35" s="86"/>
      <c r="H35" s="155"/>
      <c r="I35" s="124"/>
    </row>
    <row r="36" customFormat="false" ht="11.25" hidden="false" customHeight="false" outlineLevel="0" collapsed="false">
      <c r="B36" s="158" t="s">
        <v>118</v>
      </c>
      <c r="C36" s="160" t="n">
        <f aca="false">C29-C46</f>
        <v>37.567</v>
      </c>
      <c r="D36" s="159" t="n">
        <f aca="false">D29-D46</f>
        <v>1830</v>
      </c>
      <c r="F36" s="152"/>
      <c r="G36" s="86"/>
      <c r="H36" s="155"/>
      <c r="I36" s="124"/>
    </row>
    <row r="37" customFormat="false" ht="11.25" hidden="false" customHeight="false" outlineLevel="0" collapsed="false">
      <c r="B37" s="158" t="s">
        <v>89</v>
      </c>
      <c r="C37" s="160" t="n">
        <f aca="false">C31-C47</f>
        <v>2096.2731929984</v>
      </c>
      <c r="D37" s="159" t="n">
        <f aca="false">D31-D47</f>
        <v>0</v>
      </c>
      <c r="F37" s="152"/>
      <c r="G37" s="86"/>
      <c r="H37" s="155"/>
      <c r="I37" s="124"/>
    </row>
    <row r="38" customFormat="false" ht="11.25" hidden="false" customHeight="false" outlineLevel="0" collapsed="false">
      <c r="B38" s="86"/>
      <c r="C38" s="155"/>
      <c r="D38" s="124"/>
      <c r="F38" s="152"/>
    </row>
    <row r="39" customFormat="false" ht="11.25" hidden="false" customHeight="false" outlineLevel="0" collapsed="false">
      <c r="B39" s="86"/>
      <c r="C39" s="155"/>
      <c r="D39" s="124"/>
      <c r="F39" s="152"/>
    </row>
    <row r="40" customFormat="false" ht="11.25" hidden="false" customHeight="false" outlineLevel="0" collapsed="false">
      <c r="A40" s="141"/>
      <c r="F40" s="152"/>
    </row>
    <row r="41" customFormat="false" ht="12.75" hidden="false" customHeight="false" outlineLevel="0" collapsed="false">
      <c r="A41" s="142" t="s">
        <v>174</v>
      </c>
    </row>
    <row r="42" customFormat="false" ht="11.25" hidden="false" customHeight="false" outlineLevel="0" collapsed="false">
      <c r="A42" s="141"/>
    </row>
    <row r="43" customFormat="false" ht="11.25" hidden="false" customHeight="false" outlineLevel="0" collapsed="false">
      <c r="A43" s="141"/>
      <c r="C43" s="86" t="s">
        <v>77</v>
      </c>
      <c r="D43" s="86" t="s">
        <v>104</v>
      </c>
    </row>
    <row r="44" customFormat="false" ht="11.25" hidden="false" customHeight="false" outlineLevel="0" collapsed="false">
      <c r="B44" s="86" t="s">
        <v>78</v>
      </c>
      <c r="C44" s="128" t="n">
        <v>24778.9685141846</v>
      </c>
      <c r="D44" s="128" t="n">
        <v>9129.55431551836</v>
      </c>
      <c r="F44" s="152"/>
    </row>
    <row r="45" customFormat="false" ht="11.25" hidden="false" customHeight="false" outlineLevel="0" collapsed="false">
      <c r="B45" s="86" t="s">
        <v>119</v>
      </c>
      <c r="C45" s="153" t="n">
        <v>65.631</v>
      </c>
      <c r="D45" s="128" t="n">
        <v>0</v>
      </c>
      <c r="F45" s="154" t="s">
        <v>175</v>
      </c>
    </row>
    <row r="46" customFormat="false" ht="11.25" hidden="false" customHeight="false" outlineLevel="0" collapsed="false">
      <c r="B46" s="86" t="s">
        <v>118</v>
      </c>
      <c r="C46" s="153" t="n">
        <v>101.433</v>
      </c>
      <c r="D46" s="128" t="n">
        <v>872</v>
      </c>
    </row>
    <row r="47" customFormat="false" ht="11.25" hidden="false" customHeight="false" outlineLevel="0" collapsed="false">
      <c r="B47" s="86" t="s">
        <v>89</v>
      </c>
      <c r="C47" s="153" t="n">
        <v>14119.6424764913</v>
      </c>
      <c r="D47" s="128" t="n">
        <v>0</v>
      </c>
      <c r="F47" s="152"/>
    </row>
    <row r="48" customFormat="false" ht="11.25" hidden="false" customHeight="false" outlineLevel="0" collapsed="false">
      <c r="A48" s="141"/>
      <c r="F48" s="152"/>
    </row>
  </sheetData>
  <mergeCells count="1">
    <mergeCell ref="B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6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4" activeCellId="0" sqref="G14:G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7"/>
    <col collapsed="false" customWidth="true" hidden="false" outlineLevel="0" max="2" min="2" style="0" width="5.71"/>
    <col collapsed="false" customWidth="true" hidden="false" outlineLevel="0" max="4" min="4" style="0" width="10.71"/>
    <col collapsed="false" customWidth="true" hidden="false" outlineLevel="0" max="6" min="6" style="0" width="3.7"/>
    <col collapsed="false" customWidth="true" hidden="false" outlineLevel="0" max="7" min="7" style="0" width="20.56"/>
    <col collapsed="false" customWidth="true" hidden="false" outlineLevel="0" max="8" min="8" style="0" width="6.99"/>
    <col collapsed="false" customWidth="true" hidden="false" outlineLevel="0" max="10" min="10" style="0" width="15.56"/>
    <col collapsed="false" customWidth="true" hidden="false" outlineLevel="0" max="11" min="11" style="0" width="23.99"/>
  </cols>
  <sheetData>
    <row r="1" customFormat="false" ht="12.75" hidden="false" customHeight="false" outlineLevel="0" collapsed="false">
      <c r="A1" s="142" t="s">
        <v>176</v>
      </c>
      <c r="B1" s="140"/>
      <c r="C1" s="140"/>
      <c r="D1" s="140"/>
      <c r="E1" s="140"/>
      <c r="F1" s="140"/>
      <c r="G1" s="140"/>
      <c r="H1" s="140"/>
      <c r="I1" s="140"/>
      <c r="J1" s="141"/>
      <c r="K1" s="140"/>
    </row>
    <row r="2" customFormat="false" ht="13.5" hidden="false" customHeight="false" outlineLevel="0" collapsed="false">
      <c r="A2" s="140"/>
      <c r="B2" s="142"/>
      <c r="C2" s="140"/>
      <c r="D2" s="140"/>
      <c r="E2" s="140"/>
      <c r="F2" s="140"/>
      <c r="G2" s="140"/>
      <c r="H2" s="140"/>
      <c r="I2" s="140"/>
      <c r="J2" s="141"/>
      <c r="K2" s="140"/>
    </row>
    <row r="3" customFormat="false" ht="13.5" hidden="false" customHeight="false" outlineLevel="0" collapsed="false">
      <c r="A3" s="140"/>
      <c r="B3" s="161" t="n">
        <v>36250</v>
      </c>
      <c r="C3" s="161"/>
      <c r="D3" s="161"/>
      <c r="E3" s="161"/>
      <c r="F3" s="161"/>
      <c r="G3" s="161"/>
      <c r="H3" s="161"/>
      <c r="I3" s="161"/>
      <c r="J3" s="161"/>
      <c r="K3" s="161"/>
    </row>
    <row r="4" customFormat="false" ht="22.5" hidden="false" customHeight="false" outlineLevel="0" collapsed="false">
      <c r="A4" s="140"/>
      <c r="B4" s="162" t="s">
        <v>121</v>
      </c>
      <c r="C4" s="163" t="s">
        <v>69</v>
      </c>
      <c r="D4" s="163"/>
      <c r="E4" s="163" t="s">
        <v>70</v>
      </c>
      <c r="F4" s="163"/>
      <c r="G4" s="164" t="s">
        <v>71</v>
      </c>
      <c r="H4" s="165" t="s">
        <v>122</v>
      </c>
      <c r="I4" s="165" t="s">
        <v>123</v>
      </c>
      <c r="J4" s="165" t="s">
        <v>124</v>
      </c>
      <c r="K4" s="166" t="s">
        <v>125</v>
      </c>
    </row>
    <row r="5" customFormat="false" ht="12.75" hidden="false" customHeight="false" outlineLevel="0" collapsed="false">
      <c r="A5" s="140"/>
      <c r="B5" s="167"/>
      <c r="C5" s="146"/>
      <c r="D5" s="146"/>
      <c r="E5" s="168"/>
      <c r="F5" s="168"/>
      <c r="G5" s="146"/>
      <c r="H5" s="146"/>
      <c r="I5" s="146"/>
      <c r="J5" s="149"/>
      <c r="K5" s="169"/>
    </row>
    <row r="6" customFormat="false" ht="12.75" hidden="false" customHeight="false" outlineLevel="0" collapsed="false">
      <c r="A6" s="140"/>
      <c r="B6" s="170" t="n">
        <v>1</v>
      </c>
      <c r="C6" s="146"/>
      <c r="D6" s="171" t="s">
        <v>4</v>
      </c>
      <c r="E6" s="128" t="n">
        <v>16643.6147787183</v>
      </c>
      <c r="F6" s="146"/>
      <c r="G6" s="149" t="s">
        <v>126</v>
      </c>
      <c r="H6" s="172" t="s">
        <v>127</v>
      </c>
      <c r="I6" s="172" t="s">
        <v>128</v>
      </c>
      <c r="J6" s="172" t="s">
        <v>129</v>
      </c>
      <c r="K6" s="169" t="s">
        <v>130</v>
      </c>
    </row>
    <row r="7" customFormat="false" ht="12.75" hidden="false" customHeight="false" outlineLevel="0" collapsed="false">
      <c r="A7" s="140"/>
      <c r="B7" s="170" t="n">
        <v>2</v>
      </c>
      <c r="C7" s="146"/>
      <c r="D7" s="171" t="s">
        <v>7</v>
      </c>
      <c r="E7" s="128" t="n">
        <v>6935.7935782248</v>
      </c>
      <c r="F7" s="146"/>
      <c r="G7" s="149" t="s">
        <v>126</v>
      </c>
      <c r="H7" s="172" t="s">
        <v>127</v>
      </c>
      <c r="I7" s="172" t="s">
        <v>128</v>
      </c>
      <c r="J7" s="172" t="s">
        <v>129</v>
      </c>
      <c r="K7" s="169" t="s">
        <v>130</v>
      </c>
    </row>
    <row r="8" customFormat="false" ht="12.75" hidden="false" customHeight="false" outlineLevel="0" collapsed="false">
      <c r="A8" s="140"/>
      <c r="B8" s="170" t="n">
        <v>3</v>
      </c>
      <c r="C8" s="146"/>
      <c r="D8" s="171" t="s">
        <v>8</v>
      </c>
      <c r="E8" s="128" t="n">
        <v>7378</v>
      </c>
      <c r="F8" s="146"/>
      <c r="G8" s="149" t="s">
        <v>126</v>
      </c>
      <c r="H8" s="172" t="s">
        <v>3</v>
      </c>
      <c r="I8" s="172" t="s">
        <v>128</v>
      </c>
      <c r="J8" s="172" t="s">
        <v>131</v>
      </c>
      <c r="K8" s="169" t="s">
        <v>130</v>
      </c>
    </row>
    <row r="9" customFormat="false" ht="12.75" hidden="false" customHeight="false" outlineLevel="0" collapsed="false">
      <c r="A9" s="140"/>
      <c r="B9" s="170" t="n">
        <v>4</v>
      </c>
      <c r="C9" s="146"/>
      <c r="D9" s="171" t="s">
        <v>132</v>
      </c>
      <c r="E9" s="128" t="n">
        <v>1225</v>
      </c>
      <c r="F9" s="146"/>
      <c r="G9" s="149" t="s">
        <v>126</v>
      </c>
      <c r="H9" s="172" t="s">
        <v>177</v>
      </c>
      <c r="I9" s="172" t="s">
        <v>133</v>
      </c>
      <c r="J9" s="172" t="s">
        <v>131</v>
      </c>
      <c r="K9" s="169" t="s">
        <v>130</v>
      </c>
    </row>
    <row r="10" customFormat="false" ht="12.75" hidden="false" customHeight="false" outlineLevel="0" collapsed="false">
      <c r="A10" s="140"/>
      <c r="B10" s="170" t="n">
        <v>5</v>
      </c>
      <c r="C10" s="146"/>
      <c r="D10" s="171" t="s">
        <v>84</v>
      </c>
      <c r="E10" s="128" t="n">
        <f aca="false">O10</f>
        <v>0</v>
      </c>
      <c r="F10" s="146"/>
      <c r="G10" s="149" t="s">
        <v>126</v>
      </c>
      <c r="H10" s="172" t="s">
        <v>138</v>
      </c>
      <c r="I10" s="172" t="s">
        <v>139</v>
      </c>
      <c r="J10" s="149" t="s">
        <v>160</v>
      </c>
      <c r="K10" s="169" t="s">
        <v>144</v>
      </c>
    </row>
    <row r="11" customFormat="false" ht="12.75" hidden="false" customHeight="false" outlineLevel="0" collapsed="false">
      <c r="A11" s="140"/>
      <c r="B11" s="170" t="n">
        <v>6</v>
      </c>
      <c r="C11" s="146"/>
      <c r="D11" s="171" t="s">
        <v>16</v>
      </c>
      <c r="E11" s="128" t="n">
        <v>101.433</v>
      </c>
      <c r="F11" s="146"/>
      <c r="G11" s="149" t="s">
        <v>145</v>
      </c>
      <c r="H11" s="172" t="s">
        <v>138</v>
      </c>
      <c r="I11" s="172" t="s">
        <v>139</v>
      </c>
      <c r="J11" s="172" t="s">
        <v>178</v>
      </c>
      <c r="K11" s="169" t="s">
        <v>146</v>
      </c>
    </row>
    <row r="12" customFormat="false" ht="12.75" hidden="false" customHeight="false" outlineLevel="0" collapsed="false">
      <c r="A12" s="140"/>
      <c r="B12" s="170" t="n">
        <v>7</v>
      </c>
      <c r="C12" s="146"/>
      <c r="D12" s="171" t="s">
        <v>17</v>
      </c>
      <c r="E12" s="128" t="n">
        <v>65.631</v>
      </c>
      <c r="F12" s="146"/>
      <c r="G12" s="149" t="s">
        <v>147</v>
      </c>
      <c r="H12" s="172" t="s">
        <v>138</v>
      </c>
      <c r="I12" s="172" t="s">
        <v>139</v>
      </c>
      <c r="J12" s="172" t="s">
        <v>178</v>
      </c>
      <c r="K12" s="169" t="s">
        <v>146</v>
      </c>
    </row>
    <row r="13" customFormat="false" ht="12.75" hidden="false" customHeight="false" outlineLevel="0" collapsed="false">
      <c r="A13" s="140"/>
      <c r="B13" s="170" t="n">
        <v>8</v>
      </c>
      <c r="C13" s="146"/>
      <c r="D13" s="171" t="s">
        <v>89</v>
      </c>
      <c r="E13" s="128" t="n">
        <v>855</v>
      </c>
      <c r="F13" s="146"/>
      <c r="G13" s="149" t="s">
        <v>149</v>
      </c>
      <c r="H13" s="172" t="s">
        <v>3</v>
      </c>
      <c r="I13" s="172" t="s">
        <v>150</v>
      </c>
      <c r="J13" s="172" t="s">
        <v>131</v>
      </c>
      <c r="K13" s="169" t="s">
        <v>130</v>
      </c>
    </row>
    <row r="14" customFormat="false" ht="12.75" hidden="false" customHeight="false" outlineLevel="0" collapsed="false">
      <c r="A14" s="140"/>
      <c r="B14" s="170" t="n">
        <v>9</v>
      </c>
      <c r="C14" s="146"/>
      <c r="D14" s="171" t="s">
        <v>152</v>
      </c>
      <c r="E14" s="128" t="n">
        <v>12427</v>
      </c>
      <c r="F14" s="146"/>
      <c r="G14" s="149" t="s">
        <v>149</v>
      </c>
      <c r="H14" s="172" t="s">
        <v>138</v>
      </c>
      <c r="I14" s="172" t="s">
        <v>150</v>
      </c>
      <c r="J14" s="172" t="s">
        <v>153</v>
      </c>
      <c r="K14" s="169" t="s">
        <v>154</v>
      </c>
    </row>
    <row r="15" customFormat="false" ht="12.75" hidden="false" customHeight="false" outlineLevel="0" collapsed="false">
      <c r="A15" s="140"/>
      <c r="B15" s="170" t="n">
        <v>10</v>
      </c>
      <c r="C15" s="146"/>
      <c r="D15" s="171" t="s">
        <v>157</v>
      </c>
      <c r="E15" s="128" t="n">
        <v>10186.544</v>
      </c>
      <c r="F15" s="146"/>
      <c r="G15" s="149" t="s">
        <v>149</v>
      </c>
      <c r="H15" s="172" t="s">
        <v>138</v>
      </c>
      <c r="I15" s="172" t="s">
        <v>150</v>
      </c>
      <c r="J15" s="172" t="s">
        <v>158</v>
      </c>
      <c r="K15" s="169" t="s">
        <v>154</v>
      </c>
    </row>
    <row r="16" customFormat="false" ht="12.75" hidden="false" customHeight="false" outlineLevel="0" collapsed="false">
      <c r="A16" s="140"/>
      <c r="B16" s="170" t="n">
        <v>11</v>
      </c>
      <c r="C16" s="146"/>
      <c r="D16" s="171" t="s">
        <v>30</v>
      </c>
      <c r="E16" s="128" t="n">
        <v>9129</v>
      </c>
      <c r="F16" s="146"/>
      <c r="G16" s="149" t="s">
        <v>159</v>
      </c>
      <c r="H16" s="172" t="s">
        <v>127</v>
      </c>
      <c r="I16" s="172" t="s">
        <v>128</v>
      </c>
      <c r="J16" s="149" t="s">
        <v>160</v>
      </c>
      <c r="K16" s="169" t="s">
        <v>130</v>
      </c>
    </row>
    <row r="17" customFormat="false" ht="12.75" hidden="false" customHeight="false" outlineLevel="0" collapsed="false">
      <c r="A17" s="140"/>
      <c r="B17" s="170" t="n">
        <v>12</v>
      </c>
      <c r="C17" s="146"/>
      <c r="D17" s="171" t="s">
        <v>33</v>
      </c>
      <c r="E17" s="128" t="n">
        <f aca="false">O17</f>
        <v>0</v>
      </c>
      <c r="F17" s="146"/>
      <c r="G17" s="149" t="s">
        <v>159</v>
      </c>
      <c r="H17" s="172" t="s">
        <v>138</v>
      </c>
      <c r="I17" s="172" t="s">
        <v>139</v>
      </c>
      <c r="J17" s="149" t="s">
        <v>164</v>
      </c>
      <c r="K17" s="173" t="s">
        <v>164</v>
      </c>
    </row>
    <row r="18" customFormat="false" ht="12.75" hidden="false" customHeight="false" outlineLevel="0" collapsed="false">
      <c r="A18" s="140"/>
      <c r="B18" s="170" t="n">
        <v>13</v>
      </c>
      <c r="C18" s="168"/>
      <c r="D18" s="171" t="s">
        <v>165</v>
      </c>
      <c r="E18" s="128" t="n">
        <v>0</v>
      </c>
      <c r="F18" s="146"/>
      <c r="G18" s="149" t="s">
        <v>166</v>
      </c>
      <c r="H18" s="172" t="s">
        <v>138</v>
      </c>
      <c r="I18" s="172" t="s">
        <v>139</v>
      </c>
      <c r="J18" s="149" t="s">
        <v>179</v>
      </c>
      <c r="K18" s="173" t="s">
        <v>180</v>
      </c>
    </row>
    <row r="19" customFormat="false" ht="12.75" hidden="false" customHeight="false" outlineLevel="0" collapsed="false">
      <c r="A19" s="140"/>
      <c r="B19" s="170" t="n">
        <v>14</v>
      </c>
      <c r="C19" s="146"/>
      <c r="D19" s="171" t="s">
        <v>168</v>
      </c>
      <c r="E19" s="128" t="n">
        <v>872</v>
      </c>
      <c r="F19" s="146"/>
      <c r="G19" s="149" t="s">
        <v>169</v>
      </c>
      <c r="H19" s="149" t="s">
        <v>138</v>
      </c>
      <c r="I19" s="149" t="s">
        <v>150</v>
      </c>
      <c r="J19" s="149" t="s">
        <v>179</v>
      </c>
      <c r="K19" s="173" t="s">
        <v>180</v>
      </c>
    </row>
    <row r="20" customFormat="false" ht="13.5" hidden="false" customHeight="false" outlineLevel="0" collapsed="false">
      <c r="A20" s="140"/>
      <c r="B20" s="174"/>
      <c r="C20" s="175"/>
      <c r="D20" s="176"/>
      <c r="E20" s="177"/>
      <c r="F20" s="175"/>
      <c r="G20" s="178"/>
      <c r="H20" s="178"/>
      <c r="I20" s="178"/>
      <c r="J20" s="178"/>
      <c r="K20" s="179"/>
    </row>
    <row r="21" customFormat="false" ht="12.75" hidden="false" customHeight="false" outlineLevel="0" collapsed="false">
      <c r="A21" s="140"/>
      <c r="B21" s="141"/>
      <c r="C21" s="140"/>
      <c r="D21" s="99"/>
      <c r="E21" s="124"/>
      <c r="F21" s="140"/>
      <c r="G21" s="149"/>
      <c r="H21" s="141"/>
      <c r="I21" s="141"/>
      <c r="J21" s="141"/>
      <c r="K21" s="141"/>
    </row>
    <row r="22" customFormat="false" ht="13.5" hidden="false" customHeight="false" outlineLevel="0" collapsed="false">
      <c r="A22" s="140"/>
      <c r="B22" s="141"/>
      <c r="C22" s="140"/>
      <c r="D22" s="99"/>
      <c r="E22" s="124"/>
      <c r="F22" s="140"/>
      <c r="G22" s="149"/>
      <c r="H22" s="141"/>
      <c r="I22" s="141"/>
      <c r="J22" s="141"/>
      <c r="K22" s="141"/>
    </row>
    <row r="23" customFormat="false" ht="13.5" hidden="false" customHeight="false" outlineLevel="0" collapsed="false">
      <c r="A23" s="140"/>
      <c r="B23" s="161" t="n">
        <v>36160</v>
      </c>
      <c r="C23" s="161"/>
      <c r="D23" s="161"/>
      <c r="E23" s="161"/>
      <c r="F23" s="161"/>
      <c r="G23" s="161"/>
      <c r="H23" s="161"/>
      <c r="I23" s="161"/>
      <c r="J23" s="161"/>
      <c r="K23" s="161"/>
    </row>
    <row r="24" customFormat="false" ht="22.5" hidden="false" customHeight="false" outlineLevel="0" collapsed="false">
      <c r="A24" s="140"/>
      <c r="B24" s="162" t="s">
        <v>121</v>
      </c>
      <c r="C24" s="163" t="s">
        <v>69</v>
      </c>
      <c r="D24" s="163"/>
      <c r="E24" s="163" t="s">
        <v>70</v>
      </c>
      <c r="F24" s="163"/>
      <c r="G24" s="164" t="s">
        <v>71</v>
      </c>
      <c r="H24" s="165" t="s">
        <v>122</v>
      </c>
      <c r="I24" s="165" t="s">
        <v>123</v>
      </c>
      <c r="J24" s="165" t="s">
        <v>124</v>
      </c>
      <c r="K24" s="166" t="s">
        <v>125</v>
      </c>
    </row>
    <row r="25" customFormat="false" ht="12.75" hidden="false" customHeight="false" outlineLevel="0" collapsed="false">
      <c r="A25" s="140"/>
      <c r="B25" s="167"/>
      <c r="C25" s="146"/>
      <c r="D25" s="146"/>
      <c r="E25" s="168"/>
      <c r="F25" s="168"/>
      <c r="G25" s="146"/>
      <c r="H25" s="146"/>
      <c r="I25" s="146"/>
      <c r="J25" s="149"/>
      <c r="K25" s="169"/>
    </row>
    <row r="26" customFormat="false" ht="12.75" hidden="false" customHeight="false" outlineLevel="0" collapsed="false">
      <c r="A26" s="140"/>
      <c r="B26" s="170" t="n">
        <v>1</v>
      </c>
      <c r="C26" s="146"/>
      <c r="D26" s="171" t="s">
        <v>4</v>
      </c>
      <c r="E26" s="128" t="n">
        <f aca="false">7670143.95733098/1000</f>
        <v>7670.14395733098</v>
      </c>
      <c r="F26" s="146"/>
      <c r="G26" s="149" t="s">
        <v>126</v>
      </c>
      <c r="H26" s="172" t="s">
        <v>127</v>
      </c>
      <c r="I26" s="172" t="s">
        <v>128</v>
      </c>
      <c r="J26" s="172" t="s">
        <v>181</v>
      </c>
      <c r="K26" s="169" t="s">
        <v>130</v>
      </c>
    </row>
    <row r="27" customFormat="false" ht="12.75" hidden="false" customHeight="false" outlineLevel="0" collapsed="false">
      <c r="A27" s="140"/>
      <c r="B27" s="170" t="n">
        <v>2</v>
      </c>
      <c r="C27" s="146"/>
      <c r="D27" s="171" t="s">
        <v>7</v>
      </c>
      <c r="E27" s="128" t="n">
        <f aca="false">4486332.97924044/1000</f>
        <v>4486.33297924044</v>
      </c>
      <c r="F27" s="146"/>
      <c r="G27" s="149" t="s">
        <v>126</v>
      </c>
      <c r="H27" s="172" t="s">
        <v>127</v>
      </c>
      <c r="I27" s="172" t="s">
        <v>128</v>
      </c>
      <c r="J27" s="172" t="s">
        <v>181</v>
      </c>
      <c r="K27" s="169" t="s">
        <v>130</v>
      </c>
    </row>
    <row r="28" customFormat="false" ht="12.75" hidden="false" customHeight="false" outlineLevel="0" collapsed="false">
      <c r="A28" s="140"/>
      <c r="B28" s="170" t="n">
        <v>3</v>
      </c>
      <c r="C28" s="146"/>
      <c r="D28" s="171" t="s">
        <v>8</v>
      </c>
      <c r="E28" s="128" t="n">
        <v>7943</v>
      </c>
      <c r="F28" s="146"/>
      <c r="G28" s="149" t="s">
        <v>126</v>
      </c>
      <c r="H28" s="172" t="s">
        <v>3</v>
      </c>
      <c r="I28" s="172" t="s">
        <v>128</v>
      </c>
      <c r="J28" s="172" t="s">
        <v>131</v>
      </c>
      <c r="K28" s="169" t="s">
        <v>130</v>
      </c>
    </row>
    <row r="29" customFormat="false" ht="12.75" hidden="false" customHeight="false" outlineLevel="0" collapsed="false">
      <c r="A29" s="140"/>
      <c r="B29" s="170" t="n">
        <v>4</v>
      </c>
      <c r="C29" s="146"/>
      <c r="D29" s="171" t="s">
        <v>132</v>
      </c>
      <c r="E29" s="128" t="n">
        <v>1721</v>
      </c>
      <c r="F29" s="146"/>
      <c r="G29" s="149" t="s">
        <v>126</v>
      </c>
      <c r="H29" s="172" t="s">
        <v>177</v>
      </c>
      <c r="I29" s="172" t="s">
        <v>133</v>
      </c>
      <c r="J29" s="172" t="s">
        <v>131</v>
      </c>
      <c r="K29" s="169" t="s">
        <v>130</v>
      </c>
    </row>
    <row r="30" customFormat="false" ht="12.75" hidden="false" customHeight="false" outlineLevel="0" collapsed="false">
      <c r="A30" s="140"/>
      <c r="B30" s="170" t="n">
        <v>5</v>
      </c>
      <c r="C30" s="146"/>
      <c r="D30" s="171" t="s">
        <v>84</v>
      </c>
      <c r="E30" s="128" t="n">
        <v>1068</v>
      </c>
      <c r="F30" s="146"/>
      <c r="G30" s="149" t="s">
        <v>126</v>
      </c>
      <c r="H30" s="172" t="s">
        <v>138</v>
      </c>
      <c r="I30" s="172" t="s">
        <v>139</v>
      </c>
      <c r="J30" s="172" t="s">
        <v>181</v>
      </c>
      <c r="K30" s="169" t="s">
        <v>144</v>
      </c>
    </row>
    <row r="31" customFormat="false" ht="12.75" hidden="false" customHeight="false" outlineLevel="0" collapsed="false">
      <c r="A31" s="140"/>
      <c r="B31" s="170" t="n">
        <v>6</v>
      </c>
      <c r="C31" s="146"/>
      <c r="D31" s="171" t="s">
        <v>16</v>
      </c>
      <c r="E31" s="128" t="n">
        <v>77</v>
      </c>
      <c r="F31" s="146"/>
      <c r="G31" s="149" t="s">
        <v>145</v>
      </c>
      <c r="H31" s="172" t="s">
        <v>138</v>
      </c>
      <c r="I31" s="172" t="s">
        <v>139</v>
      </c>
      <c r="J31" s="172" t="s">
        <v>182</v>
      </c>
      <c r="K31" s="169" t="s">
        <v>146</v>
      </c>
    </row>
    <row r="32" customFormat="false" ht="12.75" hidden="false" customHeight="false" outlineLevel="0" collapsed="false">
      <c r="A32" s="140"/>
      <c r="B32" s="170" t="n">
        <v>7</v>
      </c>
      <c r="C32" s="146"/>
      <c r="D32" s="171" t="s">
        <v>17</v>
      </c>
      <c r="E32" s="128" t="n">
        <v>44</v>
      </c>
      <c r="F32" s="146"/>
      <c r="G32" s="149" t="s">
        <v>147</v>
      </c>
      <c r="H32" s="172" t="s">
        <v>138</v>
      </c>
      <c r="I32" s="172" t="s">
        <v>139</v>
      </c>
      <c r="J32" s="172" t="s">
        <v>182</v>
      </c>
      <c r="K32" s="169" t="s">
        <v>146</v>
      </c>
    </row>
    <row r="33" customFormat="false" ht="12.75" hidden="false" customHeight="false" outlineLevel="0" collapsed="false">
      <c r="A33" s="140"/>
      <c r="B33" s="170" t="n">
        <v>8</v>
      </c>
      <c r="C33" s="146"/>
      <c r="D33" s="171" t="s">
        <v>89</v>
      </c>
      <c r="E33" s="128" t="n">
        <v>530</v>
      </c>
      <c r="F33" s="146"/>
      <c r="G33" s="149" t="s">
        <v>149</v>
      </c>
      <c r="H33" s="172" t="s">
        <v>3</v>
      </c>
      <c r="I33" s="172" t="s">
        <v>150</v>
      </c>
      <c r="J33" s="172" t="s">
        <v>182</v>
      </c>
      <c r="K33" s="169" t="s">
        <v>130</v>
      </c>
    </row>
    <row r="34" customFormat="false" ht="12.75" hidden="false" customHeight="false" outlineLevel="0" collapsed="false">
      <c r="A34" s="140"/>
      <c r="B34" s="170" t="n">
        <v>9</v>
      </c>
      <c r="C34" s="146"/>
      <c r="D34" s="171" t="s">
        <v>152</v>
      </c>
      <c r="E34" s="128" t="n">
        <v>8793</v>
      </c>
      <c r="F34" s="146"/>
      <c r="G34" s="149" t="s">
        <v>149</v>
      </c>
      <c r="H34" s="172" t="s">
        <v>138</v>
      </c>
      <c r="I34" s="172" t="s">
        <v>150</v>
      </c>
      <c r="J34" s="172" t="s">
        <v>153</v>
      </c>
      <c r="K34" s="169" t="s">
        <v>182</v>
      </c>
    </row>
    <row r="35" customFormat="false" ht="12.75" hidden="false" customHeight="false" outlineLevel="0" collapsed="false">
      <c r="A35" s="140"/>
      <c r="B35" s="170" t="n">
        <v>10</v>
      </c>
      <c r="C35" s="146"/>
      <c r="D35" s="171" t="s">
        <v>157</v>
      </c>
      <c r="E35" s="128" t="n">
        <v>8732</v>
      </c>
      <c r="F35" s="146"/>
      <c r="G35" s="149" t="s">
        <v>149</v>
      </c>
      <c r="H35" s="172" t="s">
        <v>138</v>
      </c>
      <c r="I35" s="172" t="s">
        <v>150</v>
      </c>
      <c r="J35" s="172" t="s">
        <v>158</v>
      </c>
      <c r="K35" s="169" t="s">
        <v>182</v>
      </c>
    </row>
    <row r="36" customFormat="false" ht="12.75" hidden="false" customHeight="false" outlineLevel="0" collapsed="false">
      <c r="A36" s="140"/>
      <c r="B36" s="170" t="n">
        <v>11</v>
      </c>
      <c r="C36" s="146"/>
      <c r="D36" s="171" t="s">
        <v>30</v>
      </c>
      <c r="E36" s="128" t="n">
        <v>10399</v>
      </c>
      <c r="F36" s="146"/>
      <c r="G36" s="149" t="s">
        <v>159</v>
      </c>
      <c r="H36" s="172" t="s">
        <v>127</v>
      </c>
      <c r="I36" s="172" t="s">
        <v>128</v>
      </c>
      <c r="J36" s="172" t="s">
        <v>181</v>
      </c>
      <c r="K36" s="169" t="s">
        <v>130</v>
      </c>
    </row>
    <row r="37" customFormat="false" ht="12.75" hidden="false" customHeight="false" outlineLevel="0" collapsed="false">
      <c r="A37" s="140"/>
      <c r="B37" s="170" t="n">
        <v>12</v>
      </c>
      <c r="C37" s="146"/>
      <c r="D37" s="171" t="s">
        <v>33</v>
      </c>
      <c r="E37" s="128" t="n">
        <v>463</v>
      </c>
      <c r="F37" s="146"/>
      <c r="G37" s="149" t="s">
        <v>159</v>
      </c>
      <c r="H37" s="172" t="s">
        <v>138</v>
      </c>
      <c r="I37" s="172" t="s">
        <v>139</v>
      </c>
      <c r="J37" s="149" t="s">
        <v>164</v>
      </c>
      <c r="K37" s="173" t="s">
        <v>164</v>
      </c>
    </row>
    <row r="38" customFormat="false" ht="12.75" hidden="false" customHeight="false" outlineLevel="0" collapsed="false">
      <c r="A38" s="140"/>
      <c r="B38" s="170" t="n">
        <v>13</v>
      </c>
      <c r="C38" s="168"/>
      <c r="D38" s="171" t="s">
        <v>165</v>
      </c>
      <c r="E38" s="128" t="n">
        <v>0</v>
      </c>
      <c r="F38" s="146"/>
      <c r="G38" s="149" t="s">
        <v>166</v>
      </c>
      <c r="H38" s="172" t="s">
        <v>138</v>
      </c>
      <c r="I38" s="172" t="s">
        <v>139</v>
      </c>
      <c r="J38" s="149" t="s">
        <v>182</v>
      </c>
      <c r="K38" s="173" t="s">
        <v>180</v>
      </c>
    </row>
    <row r="39" customFormat="false" ht="12.75" hidden="false" customHeight="false" outlineLevel="0" collapsed="false">
      <c r="A39" s="140"/>
      <c r="B39" s="170" t="n">
        <v>14</v>
      </c>
      <c r="C39" s="146"/>
      <c r="D39" s="171" t="s">
        <v>168</v>
      </c>
      <c r="E39" s="128" t="n">
        <v>397</v>
      </c>
      <c r="F39" s="146"/>
      <c r="G39" s="149" t="s">
        <v>169</v>
      </c>
      <c r="H39" s="149" t="s">
        <v>138</v>
      </c>
      <c r="I39" s="149" t="s">
        <v>150</v>
      </c>
      <c r="J39" s="149" t="s">
        <v>182</v>
      </c>
      <c r="K39" s="173" t="s">
        <v>180</v>
      </c>
    </row>
    <row r="40" customFormat="false" ht="13.5" hidden="false" customHeight="false" outlineLevel="0" collapsed="false">
      <c r="A40" s="140"/>
      <c r="B40" s="174"/>
      <c r="C40" s="175"/>
      <c r="D40" s="176"/>
      <c r="E40" s="177"/>
      <c r="F40" s="175"/>
      <c r="G40" s="178"/>
      <c r="H40" s="178"/>
      <c r="I40" s="178"/>
      <c r="J40" s="178"/>
      <c r="K40" s="179"/>
    </row>
    <row r="41" customFormat="false" ht="12.75" hidden="false" customHeight="false" outlineLevel="0" collapsed="false">
      <c r="A41" s="140"/>
      <c r="B41" s="141"/>
      <c r="C41" s="140"/>
      <c r="D41" s="140"/>
      <c r="E41" s="140"/>
      <c r="F41" s="140"/>
      <c r="G41" s="140"/>
      <c r="H41" s="140"/>
      <c r="I41" s="140"/>
      <c r="J41" s="141"/>
      <c r="K41" s="140"/>
    </row>
    <row r="42" customFormat="false" ht="12.75" hidden="false" customHeight="false" outlineLevel="0" collapsed="false">
      <c r="A42" s="140"/>
      <c r="B42" s="141"/>
      <c r="C42" s="140"/>
      <c r="D42" s="140"/>
      <c r="E42" s="140"/>
      <c r="F42" s="140"/>
      <c r="G42" s="140"/>
      <c r="H42" s="140"/>
      <c r="I42" s="140"/>
      <c r="J42" s="141"/>
      <c r="K42" s="140"/>
    </row>
    <row r="43" customFormat="false" ht="12.75" hidden="false" customHeight="false" outlineLevel="0" collapsed="false">
      <c r="A43" s="140"/>
      <c r="B43" s="141"/>
      <c r="C43" s="140"/>
      <c r="D43" s="140"/>
      <c r="E43" s="140"/>
      <c r="F43" s="140"/>
      <c r="G43" s="140"/>
      <c r="H43" s="140"/>
      <c r="I43" s="140"/>
      <c r="J43" s="141"/>
      <c r="K43" s="140"/>
    </row>
    <row r="44" customFormat="false" ht="12.75" hidden="false" customHeight="false" outlineLevel="0" collapsed="false">
      <c r="A44" s="140"/>
      <c r="B44" s="142" t="s">
        <v>174</v>
      </c>
      <c r="C44" s="140"/>
      <c r="D44" s="140"/>
      <c r="E44" s="140"/>
      <c r="F44" s="140"/>
      <c r="G44" s="140"/>
      <c r="H44" s="140"/>
      <c r="I44" s="140"/>
      <c r="J44" s="141"/>
      <c r="K44" s="140"/>
    </row>
    <row r="45" customFormat="false" ht="12.75" hidden="false" customHeight="false" outlineLevel="0" collapsed="false">
      <c r="A45" s="140"/>
      <c r="B45" s="141"/>
      <c r="C45" s="140"/>
      <c r="D45" s="140"/>
      <c r="E45" s="140"/>
      <c r="F45" s="140"/>
      <c r="G45" s="140"/>
      <c r="H45" s="140"/>
      <c r="I45" s="140"/>
      <c r="J45" s="141"/>
      <c r="K45" s="140"/>
    </row>
    <row r="46" customFormat="false" ht="12.75" hidden="false" customHeight="false" outlineLevel="0" collapsed="false">
      <c r="A46" s="140"/>
      <c r="B46" s="141"/>
      <c r="C46" s="140"/>
      <c r="D46" s="86" t="s">
        <v>77</v>
      </c>
      <c r="E46" s="86" t="s">
        <v>104</v>
      </c>
      <c r="F46" s="140"/>
      <c r="G46" s="140"/>
      <c r="H46" s="140"/>
      <c r="I46" s="140"/>
      <c r="J46" s="141"/>
      <c r="K46" s="140"/>
    </row>
    <row r="47" customFormat="false" ht="12.75" hidden="false" customHeight="false" outlineLevel="0" collapsed="false">
      <c r="A47" s="140"/>
      <c r="B47" s="140"/>
      <c r="C47" s="86" t="s">
        <v>78</v>
      </c>
      <c r="D47" s="128" t="n">
        <f aca="false">SQRT(SUMSQ((E6+E7),E8:E10))</f>
        <v>24737.0977979123</v>
      </c>
      <c r="E47" s="128" t="n">
        <f aca="false">SQRT(SUMSQ(E16:E17))</f>
        <v>9129</v>
      </c>
      <c r="F47" s="140"/>
      <c r="G47" s="152"/>
      <c r="H47" s="140"/>
      <c r="I47" s="140"/>
      <c r="J47" s="141"/>
      <c r="K47" s="140"/>
    </row>
    <row r="48" customFormat="false" ht="12.75" hidden="false" customHeight="false" outlineLevel="0" collapsed="false">
      <c r="A48" s="140"/>
      <c r="B48" s="140"/>
      <c r="C48" s="86" t="s">
        <v>119</v>
      </c>
      <c r="D48" s="153" t="n">
        <f aca="false">E12</f>
        <v>65.631</v>
      </c>
      <c r="E48" s="128" t="n">
        <f aca="false">E18</f>
        <v>0</v>
      </c>
      <c r="F48" s="140"/>
      <c r="G48" s="154" t="s">
        <v>175</v>
      </c>
      <c r="H48" s="140"/>
      <c r="I48" s="140"/>
      <c r="J48" s="141"/>
      <c r="K48" s="140"/>
    </row>
    <row r="49" customFormat="false" ht="12.75" hidden="false" customHeight="false" outlineLevel="0" collapsed="false">
      <c r="A49" s="140"/>
      <c r="B49" s="140"/>
      <c r="C49" s="86" t="s">
        <v>118</v>
      </c>
      <c r="D49" s="153" t="n">
        <f aca="false">E11</f>
        <v>101.433</v>
      </c>
      <c r="E49" s="128" t="n">
        <f aca="false">E19</f>
        <v>872</v>
      </c>
      <c r="F49" s="140"/>
      <c r="G49" s="152"/>
      <c r="H49" s="140"/>
      <c r="I49" s="140"/>
      <c r="J49" s="141"/>
      <c r="K49" s="140"/>
    </row>
    <row r="50" customFormat="false" ht="12.75" hidden="false" customHeight="false" outlineLevel="0" collapsed="false">
      <c r="A50" s="140"/>
      <c r="B50" s="140"/>
      <c r="C50" s="86" t="s">
        <v>89</v>
      </c>
      <c r="D50" s="153" t="n">
        <f aca="false">SQRT(SUMSQ(E13:E15))</f>
        <v>16091.209794914</v>
      </c>
      <c r="E50" s="128" t="n">
        <v>0</v>
      </c>
      <c r="F50" s="140"/>
      <c r="G50" s="152"/>
      <c r="H50" s="140"/>
      <c r="I50" s="140"/>
      <c r="J50" s="141"/>
      <c r="K50" s="140"/>
    </row>
    <row r="51" customFormat="false" ht="12.75" hidden="false" customHeight="false" outlineLevel="0" collapsed="false">
      <c r="A51" s="140"/>
      <c r="B51" s="140"/>
      <c r="C51" s="86"/>
      <c r="D51" s="155"/>
      <c r="E51" s="124"/>
      <c r="F51" s="140"/>
      <c r="G51" s="152"/>
      <c r="H51" s="140"/>
      <c r="I51" s="140"/>
      <c r="J51" s="141"/>
      <c r="K51" s="140"/>
    </row>
    <row r="52" customFormat="false" ht="12.75" hidden="false" customHeight="false" outlineLevel="0" collapsed="false">
      <c r="A52" s="140"/>
      <c r="B52" s="140"/>
      <c r="C52" s="86"/>
      <c r="D52" s="155"/>
      <c r="E52" s="124"/>
      <c r="F52" s="140"/>
      <c r="G52" s="152"/>
      <c r="H52" s="140"/>
      <c r="I52" s="140"/>
      <c r="J52" s="141"/>
      <c r="K52" s="140"/>
    </row>
    <row r="53" customFormat="false" ht="12.75" hidden="false" customHeight="false" outlineLevel="0" collapsed="false">
      <c r="A53" s="140"/>
      <c r="B53" s="141"/>
      <c r="C53" s="140"/>
      <c r="D53" s="140"/>
      <c r="E53" s="140"/>
      <c r="F53" s="140"/>
      <c r="G53" s="152"/>
      <c r="H53" s="140"/>
      <c r="I53" s="140"/>
      <c r="J53" s="141"/>
      <c r="K53" s="140"/>
    </row>
    <row r="54" customFormat="false" ht="12.75" hidden="false" customHeight="false" outlineLevel="0" collapsed="false">
      <c r="A54" s="140"/>
      <c r="B54" s="142" t="s">
        <v>183</v>
      </c>
      <c r="C54" s="140"/>
      <c r="D54" s="140"/>
      <c r="E54" s="140"/>
      <c r="F54" s="140"/>
      <c r="G54" s="140"/>
      <c r="H54" s="140"/>
      <c r="I54" s="140"/>
      <c r="J54" s="141"/>
      <c r="K54" s="140"/>
    </row>
    <row r="55" customFormat="false" ht="12.75" hidden="false" customHeight="false" outlineLevel="0" collapsed="false">
      <c r="A55" s="140"/>
      <c r="B55" s="141"/>
      <c r="C55" s="140"/>
      <c r="D55" s="140"/>
      <c r="E55" s="140"/>
      <c r="F55" s="140"/>
      <c r="G55" s="140"/>
      <c r="H55" s="140"/>
      <c r="I55" s="140"/>
      <c r="J55" s="141"/>
      <c r="K55" s="140"/>
    </row>
    <row r="56" customFormat="false" ht="12.75" hidden="false" customHeight="false" outlineLevel="0" collapsed="false">
      <c r="A56" s="140"/>
      <c r="B56" s="141"/>
      <c r="C56" s="140"/>
      <c r="D56" s="86" t="s">
        <v>77</v>
      </c>
      <c r="E56" s="86" t="s">
        <v>104</v>
      </c>
      <c r="F56" s="140"/>
      <c r="G56" s="140"/>
      <c r="H56" s="140"/>
      <c r="I56" s="140"/>
      <c r="J56" s="141"/>
      <c r="K56" s="140"/>
    </row>
    <row r="57" customFormat="false" ht="12.75" hidden="false" customHeight="false" outlineLevel="0" collapsed="false">
      <c r="A57" s="140"/>
      <c r="B57" s="140"/>
      <c r="C57" s="86" t="s">
        <v>78</v>
      </c>
      <c r="D57" s="128" t="n">
        <v>20485</v>
      </c>
      <c r="E57" s="128" t="n">
        <v>10462</v>
      </c>
      <c r="F57" s="140"/>
      <c r="G57" s="152"/>
      <c r="H57" s="140"/>
      <c r="I57" s="140"/>
      <c r="J57" s="141"/>
      <c r="K57" s="140"/>
    </row>
    <row r="58" customFormat="false" ht="12.75" hidden="false" customHeight="false" outlineLevel="0" collapsed="false">
      <c r="A58" s="140"/>
      <c r="B58" s="140"/>
      <c r="C58" s="86" t="s">
        <v>119</v>
      </c>
      <c r="D58" s="153" t="n">
        <v>44</v>
      </c>
      <c r="E58" s="128" t="n">
        <v>0</v>
      </c>
      <c r="F58" s="140"/>
      <c r="G58" s="154" t="s">
        <v>175</v>
      </c>
      <c r="H58" s="140"/>
      <c r="I58" s="140"/>
      <c r="J58" s="141"/>
      <c r="K58" s="140"/>
    </row>
    <row r="59" customFormat="false" ht="12.75" hidden="false" customHeight="false" outlineLevel="0" collapsed="false">
      <c r="A59" s="140"/>
      <c r="B59" s="140"/>
      <c r="C59" s="86" t="s">
        <v>118</v>
      </c>
      <c r="D59" s="153" t="n">
        <v>77</v>
      </c>
      <c r="E59" s="128" t="n">
        <v>397</v>
      </c>
      <c r="F59" s="140"/>
      <c r="G59" s="140"/>
      <c r="H59" s="140"/>
      <c r="I59" s="140"/>
      <c r="J59" s="141"/>
      <c r="K59" s="140"/>
    </row>
    <row r="60" customFormat="false" ht="12.75" hidden="false" customHeight="false" outlineLevel="0" collapsed="false">
      <c r="A60" s="140"/>
      <c r="B60" s="140"/>
      <c r="C60" s="86" t="s">
        <v>89</v>
      </c>
      <c r="D60" s="153" t="n">
        <v>12404</v>
      </c>
      <c r="E60" s="128" t="n">
        <v>0</v>
      </c>
      <c r="F60" s="140"/>
      <c r="G60" s="152"/>
      <c r="H60" s="140"/>
      <c r="I60" s="140"/>
      <c r="J60" s="141"/>
      <c r="K60" s="140"/>
    </row>
  </sheetData>
  <mergeCells count="4">
    <mergeCell ref="B3:K3"/>
    <mergeCell ref="C4:D4"/>
    <mergeCell ref="B23:K23"/>
    <mergeCell ref="C24:D2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4" ySplit="1" topLeftCell="E2" activePane="bottomRight" state="frozen"/>
      <selection pane="topLeft" activeCell="A1" activeCellId="0" sqref="A1"/>
      <selection pane="topRight" activeCell="E1" activeCellId="0" sqref="E1"/>
      <selection pane="bottomLeft" activeCell="A2" activeCellId="0" sqref="A2"/>
      <selection pane="bottomRight" activeCell="F8" activeCellId="0" sqref="F8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34" width="54.41"/>
    <col collapsed="false" customWidth="true" hidden="false" outlineLevel="0" max="2" min="2" style="35" width="3.85"/>
    <col collapsed="false" customWidth="true" hidden="false" outlineLevel="0" max="3" min="3" style="35" width="11.56"/>
    <col collapsed="false" customWidth="true" hidden="false" outlineLevel="0" max="4" min="4" style="35" width="2.56"/>
    <col collapsed="false" customWidth="true" hidden="false" outlineLevel="0" max="16" min="5" style="36" width="12.14"/>
    <col collapsed="false" customWidth="true" hidden="false" outlineLevel="0" max="17" min="17" style="37" width="2.13"/>
    <col collapsed="false" customWidth="true" hidden="false" outlineLevel="0" max="20" min="18" style="38" width="12.14"/>
    <col collapsed="false" customWidth="true" hidden="false" outlineLevel="0" max="21" min="21" style="37" width="3.7"/>
    <col collapsed="false" customWidth="false" hidden="false" outlineLevel="0" max="257" min="22" style="37" width="9.14"/>
  </cols>
  <sheetData>
    <row r="1" customFormat="false" ht="12" hidden="false" customHeight="true" outlineLevel="0" collapsed="false">
      <c r="A1" s="180"/>
      <c r="B1" s="181"/>
      <c r="C1" s="182" t="n">
        <v>36861</v>
      </c>
      <c r="D1" s="183"/>
      <c r="E1" s="182" t="n">
        <v>36892</v>
      </c>
      <c r="F1" s="182" t="n">
        <v>36923</v>
      </c>
      <c r="G1" s="182" t="n">
        <v>36951</v>
      </c>
      <c r="H1" s="182" t="n">
        <v>36982</v>
      </c>
      <c r="I1" s="182" t="n">
        <v>37012</v>
      </c>
      <c r="J1" s="182" t="n">
        <v>37043</v>
      </c>
      <c r="K1" s="182" t="n">
        <v>37073</v>
      </c>
      <c r="L1" s="182" t="n">
        <v>37104</v>
      </c>
      <c r="M1" s="182" t="n">
        <v>37135</v>
      </c>
      <c r="N1" s="182" t="n">
        <v>37165</v>
      </c>
      <c r="O1" s="182" t="n">
        <v>37196</v>
      </c>
      <c r="P1" s="182" t="n">
        <v>37226</v>
      </c>
      <c r="Q1" s="180"/>
      <c r="R1" s="180" t="s">
        <v>0</v>
      </c>
      <c r="S1" s="180" t="s">
        <v>1</v>
      </c>
      <c r="T1" s="180" t="s">
        <v>2</v>
      </c>
      <c r="U1" s="180"/>
    </row>
    <row r="2" customFormat="false" ht="12" hidden="false" customHeight="true" outlineLevel="0" collapsed="false">
      <c r="A2" s="184" t="s">
        <v>4</v>
      </c>
      <c r="B2" s="185" t="s">
        <v>52</v>
      </c>
      <c r="C2" s="186"/>
      <c r="D2" s="187"/>
      <c r="E2" s="47"/>
      <c r="F2" s="48"/>
      <c r="G2" s="48"/>
      <c r="H2" s="48"/>
      <c r="I2" s="48"/>
      <c r="J2" s="48"/>
      <c r="K2" s="48"/>
      <c r="L2" s="48"/>
      <c r="M2" s="48"/>
      <c r="N2" s="48"/>
      <c r="O2" s="48"/>
      <c r="P2" s="49"/>
      <c r="Q2" s="180"/>
      <c r="R2" s="180"/>
      <c r="S2" s="180"/>
      <c r="T2" s="180"/>
      <c r="U2" s="180"/>
    </row>
    <row r="3" customFormat="false" ht="12" hidden="false" customHeight="true" outlineLevel="0" collapsed="false">
      <c r="A3" s="188" t="s">
        <v>7</v>
      </c>
      <c r="B3" s="189" t="s">
        <v>52</v>
      </c>
      <c r="C3" s="190"/>
      <c r="D3" s="191"/>
      <c r="E3" s="54"/>
      <c r="F3" s="55"/>
      <c r="G3" s="55"/>
      <c r="H3" s="55"/>
      <c r="I3" s="55"/>
      <c r="J3" s="55"/>
      <c r="K3" s="55"/>
      <c r="L3" s="55"/>
      <c r="M3" s="55"/>
      <c r="N3" s="55"/>
      <c r="O3" s="55"/>
      <c r="P3" s="56"/>
      <c r="Q3" s="180"/>
      <c r="R3" s="180"/>
      <c r="S3" s="180"/>
      <c r="T3" s="180"/>
      <c r="U3" s="180"/>
    </row>
    <row r="4" customFormat="false" ht="12" hidden="false" customHeight="true" outlineLevel="0" collapsed="false">
      <c r="A4" s="188" t="s">
        <v>8</v>
      </c>
      <c r="B4" s="189" t="s">
        <v>52</v>
      </c>
      <c r="C4" s="190"/>
      <c r="D4" s="191"/>
      <c r="E4" s="54"/>
      <c r="F4" s="55"/>
      <c r="G4" s="55"/>
      <c r="H4" s="55"/>
      <c r="I4" s="55"/>
      <c r="J4" s="55"/>
      <c r="K4" s="55"/>
      <c r="L4" s="55"/>
      <c r="M4" s="55"/>
      <c r="N4" s="55"/>
      <c r="O4" s="55"/>
      <c r="P4" s="56"/>
      <c r="Q4" s="180"/>
      <c r="R4" s="180"/>
      <c r="S4" s="180"/>
      <c r="T4" s="180"/>
      <c r="U4" s="180"/>
    </row>
    <row r="5" customFormat="false" ht="12" hidden="false" customHeight="true" outlineLevel="0" collapsed="false">
      <c r="A5" s="188" t="s">
        <v>9</v>
      </c>
      <c r="B5" s="189" t="s">
        <v>52</v>
      </c>
      <c r="C5" s="190"/>
      <c r="D5" s="191"/>
      <c r="E5" s="54"/>
      <c r="F5" s="55"/>
      <c r="G5" s="55"/>
      <c r="H5" s="55"/>
      <c r="I5" s="55"/>
      <c r="J5" s="55"/>
      <c r="K5" s="55"/>
      <c r="L5" s="55"/>
      <c r="M5" s="55"/>
      <c r="N5" s="55"/>
      <c r="O5" s="55"/>
      <c r="P5" s="56"/>
      <c r="Q5" s="180"/>
      <c r="R5" s="180"/>
      <c r="S5" s="180"/>
      <c r="T5" s="180"/>
      <c r="U5" s="180"/>
    </row>
    <row r="6" customFormat="false" ht="12" hidden="false" customHeight="true" outlineLevel="0" collapsed="false">
      <c r="A6" s="188" t="s">
        <v>10</v>
      </c>
      <c r="B6" s="189" t="s">
        <v>52</v>
      </c>
      <c r="C6" s="190"/>
      <c r="D6" s="191"/>
      <c r="E6" s="54"/>
      <c r="F6" s="55"/>
      <c r="G6" s="55"/>
      <c r="H6" s="55"/>
      <c r="I6" s="55"/>
      <c r="J6" s="55"/>
      <c r="K6" s="55"/>
      <c r="L6" s="55"/>
      <c r="M6" s="55"/>
      <c r="N6" s="55"/>
      <c r="O6" s="55"/>
      <c r="P6" s="56"/>
      <c r="Q6" s="180"/>
      <c r="R6" s="180"/>
      <c r="S6" s="180"/>
      <c r="T6" s="180"/>
      <c r="U6" s="180"/>
    </row>
    <row r="7" customFormat="false" ht="12" hidden="false" customHeight="true" outlineLevel="0" collapsed="false">
      <c r="A7" s="188" t="s">
        <v>11</v>
      </c>
      <c r="B7" s="189" t="s">
        <v>52</v>
      </c>
      <c r="C7" s="190"/>
      <c r="D7" s="191"/>
      <c r="E7" s="54"/>
      <c r="F7" s="55"/>
      <c r="G7" s="55"/>
      <c r="H7" s="55"/>
      <c r="I7" s="55"/>
      <c r="J7" s="55"/>
      <c r="K7" s="55"/>
      <c r="L7" s="55"/>
      <c r="M7" s="55"/>
      <c r="N7" s="55"/>
      <c r="O7" s="55"/>
      <c r="P7" s="56"/>
      <c r="Q7" s="180"/>
      <c r="R7" s="180"/>
      <c r="S7" s="180"/>
      <c r="T7" s="180"/>
      <c r="U7" s="180"/>
    </row>
    <row r="8" customFormat="false" ht="12" hidden="false" customHeight="true" outlineLevel="0" collapsed="false">
      <c r="A8" s="188" t="s">
        <v>12</v>
      </c>
      <c r="B8" s="189" t="s">
        <v>52</v>
      </c>
      <c r="C8" s="190"/>
      <c r="D8" s="191"/>
      <c r="E8" s="54"/>
      <c r="F8" s="55"/>
      <c r="G8" s="55"/>
      <c r="H8" s="55"/>
      <c r="I8" s="55"/>
      <c r="J8" s="55"/>
      <c r="K8" s="55"/>
      <c r="L8" s="55"/>
      <c r="M8" s="55"/>
      <c r="N8" s="55"/>
      <c r="O8" s="55"/>
      <c r="P8" s="56"/>
      <c r="Q8" s="180"/>
      <c r="R8" s="180"/>
      <c r="S8" s="180"/>
      <c r="T8" s="180"/>
      <c r="U8" s="180"/>
    </row>
    <row r="9" customFormat="false" ht="12" hidden="false" customHeight="true" outlineLevel="0" collapsed="false">
      <c r="A9" s="188" t="s">
        <v>14</v>
      </c>
      <c r="B9" s="189" t="s">
        <v>52</v>
      </c>
      <c r="C9" s="190"/>
      <c r="D9" s="191"/>
      <c r="E9" s="54"/>
      <c r="F9" s="55"/>
      <c r="G9" s="55"/>
      <c r="H9" s="55"/>
      <c r="I9" s="55"/>
      <c r="J9" s="55"/>
      <c r="K9" s="55"/>
      <c r="L9" s="55"/>
      <c r="M9" s="55"/>
      <c r="N9" s="55"/>
      <c r="O9" s="55"/>
      <c r="P9" s="56"/>
      <c r="Q9" s="180"/>
      <c r="R9" s="180"/>
      <c r="S9" s="180"/>
      <c r="T9" s="180"/>
      <c r="U9" s="180"/>
    </row>
    <row r="10" customFormat="false" ht="12" hidden="false" customHeight="true" outlineLevel="0" collapsed="false">
      <c r="A10" s="188" t="s">
        <v>53</v>
      </c>
      <c r="B10" s="189" t="s">
        <v>52</v>
      </c>
      <c r="C10" s="190"/>
      <c r="D10" s="191"/>
      <c r="E10" s="54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180"/>
      <c r="R10" s="180"/>
      <c r="S10" s="180"/>
      <c r="T10" s="180"/>
      <c r="U10" s="180"/>
    </row>
    <row r="11" customFormat="false" ht="12" hidden="false" customHeight="true" outlineLevel="0" collapsed="false">
      <c r="A11" s="188" t="s">
        <v>54</v>
      </c>
      <c r="B11" s="189" t="s">
        <v>52</v>
      </c>
      <c r="C11" s="190"/>
      <c r="D11" s="191"/>
      <c r="E11" s="54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6"/>
      <c r="Q11" s="180"/>
      <c r="R11" s="180"/>
      <c r="S11" s="180"/>
      <c r="T11" s="180"/>
      <c r="U11" s="180"/>
    </row>
    <row r="12" customFormat="false" ht="12" hidden="false" customHeight="true" outlineLevel="0" collapsed="false">
      <c r="A12" s="192" t="s">
        <v>55</v>
      </c>
      <c r="B12" s="193" t="s">
        <v>52</v>
      </c>
      <c r="C12" s="194"/>
      <c r="D12" s="195"/>
      <c r="E12" s="61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3"/>
      <c r="Q12" s="180"/>
      <c r="R12" s="180"/>
      <c r="S12" s="180"/>
      <c r="T12" s="180"/>
      <c r="U12" s="180"/>
    </row>
    <row r="13" customFormat="false" ht="12" hidden="false" customHeight="true" outlineLevel="0" collapsed="false">
      <c r="A13" s="196" t="s">
        <v>16</v>
      </c>
      <c r="B13" s="197" t="s">
        <v>56</v>
      </c>
      <c r="C13" s="198"/>
      <c r="D13" s="199"/>
      <c r="E13" s="68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70"/>
      <c r="Q13" s="180"/>
      <c r="R13" s="180"/>
      <c r="S13" s="180"/>
      <c r="T13" s="180"/>
      <c r="U13" s="180"/>
    </row>
    <row r="14" customFormat="false" ht="12" hidden="false" customHeight="true" outlineLevel="0" collapsed="false">
      <c r="A14" s="196" t="s">
        <v>17</v>
      </c>
      <c r="B14" s="197" t="s">
        <v>57</v>
      </c>
      <c r="C14" s="198"/>
      <c r="D14" s="199"/>
      <c r="E14" s="68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70"/>
      <c r="Q14" s="180"/>
      <c r="R14" s="180"/>
      <c r="S14" s="180"/>
      <c r="T14" s="180"/>
      <c r="U14" s="180"/>
    </row>
    <row r="15" customFormat="false" ht="12" hidden="false" customHeight="true" outlineLevel="0" collapsed="false">
      <c r="A15" s="184" t="s">
        <v>21</v>
      </c>
      <c r="B15" s="185" t="s">
        <v>58</v>
      </c>
      <c r="C15" s="186"/>
      <c r="D15" s="187"/>
      <c r="E15" s="47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9"/>
      <c r="Q15" s="180"/>
      <c r="R15" s="180"/>
      <c r="S15" s="180"/>
      <c r="T15" s="180"/>
      <c r="U15" s="180"/>
    </row>
    <row r="16" customFormat="false" ht="12" hidden="false" customHeight="true" outlineLevel="0" collapsed="false">
      <c r="A16" s="188" t="s">
        <v>22</v>
      </c>
      <c r="B16" s="189" t="s">
        <v>58</v>
      </c>
      <c r="C16" s="190"/>
      <c r="D16" s="191"/>
      <c r="E16" s="54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6"/>
      <c r="Q16" s="180"/>
      <c r="R16" s="180"/>
      <c r="S16" s="180"/>
      <c r="T16" s="180"/>
      <c r="U16" s="180"/>
    </row>
    <row r="17" customFormat="false" ht="12" hidden="false" customHeight="true" outlineLevel="0" collapsed="false">
      <c r="A17" s="188" t="s">
        <v>25</v>
      </c>
      <c r="B17" s="189" t="s">
        <v>58</v>
      </c>
      <c r="C17" s="190"/>
      <c r="D17" s="191"/>
      <c r="E17" s="54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6"/>
      <c r="Q17" s="180" t="n">
        <v>-66746089</v>
      </c>
      <c r="R17" s="180"/>
      <c r="S17" s="180"/>
      <c r="T17" s="180"/>
      <c r="U17" s="180"/>
    </row>
    <row r="18" customFormat="false" ht="12" hidden="false" customHeight="true" outlineLevel="0" collapsed="false">
      <c r="A18" s="188" t="s">
        <v>28</v>
      </c>
      <c r="B18" s="189" t="s">
        <v>58</v>
      </c>
      <c r="C18" s="190"/>
      <c r="D18" s="191"/>
      <c r="E18" s="54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6"/>
      <c r="Q18" s="180"/>
      <c r="R18" s="180"/>
      <c r="S18" s="180"/>
      <c r="T18" s="180"/>
      <c r="U18" s="180"/>
    </row>
    <row r="19" customFormat="false" ht="12" hidden="false" customHeight="true" outlineLevel="0" collapsed="false">
      <c r="A19" s="192" t="s">
        <v>59</v>
      </c>
      <c r="B19" s="193" t="s">
        <v>58</v>
      </c>
      <c r="C19" s="194"/>
      <c r="D19" s="195"/>
      <c r="E19" s="61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3"/>
      <c r="Q19" s="180"/>
      <c r="R19" s="180"/>
      <c r="S19" s="180"/>
      <c r="T19" s="180"/>
      <c r="U19" s="180"/>
    </row>
    <row r="20" customFormat="false" ht="12" hidden="false" customHeight="true" outlineLevel="0" collapsed="false">
      <c r="A20" s="184" t="s">
        <v>60</v>
      </c>
      <c r="B20" s="185" t="s">
        <v>61</v>
      </c>
      <c r="C20" s="186"/>
      <c r="D20" s="187"/>
      <c r="E20" s="47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9"/>
      <c r="Q20" s="180"/>
      <c r="R20" s="180"/>
      <c r="S20" s="180"/>
      <c r="T20" s="180"/>
      <c r="U20" s="180"/>
    </row>
    <row r="21" customFormat="false" ht="12" hidden="false" customHeight="true" outlineLevel="0" collapsed="false">
      <c r="A21" s="188" t="s">
        <v>34</v>
      </c>
      <c r="B21" s="189" t="s">
        <v>61</v>
      </c>
      <c r="C21" s="190"/>
      <c r="D21" s="191"/>
      <c r="E21" s="54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71"/>
      <c r="Q21" s="180"/>
      <c r="R21" s="180"/>
      <c r="S21" s="180"/>
      <c r="T21" s="180"/>
      <c r="U21" s="180"/>
    </row>
    <row r="22" customFormat="false" ht="12" hidden="false" customHeight="true" outlineLevel="0" collapsed="false">
      <c r="A22" s="192" t="s">
        <v>36</v>
      </c>
      <c r="B22" s="193" t="s">
        <v>61</v>
      </c>
      <c r="C22" s="194"/>
      <c r="D22" s="195"/>
      <c r="E22" s="61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3"/>
      <c r="Q22" s="180"/>
      <c r="R22" s="180"/>
      <c r="S22" s="180"/>
      <c r="T22" s="180"/>
      <c r="U22" s="180"/>
    </row>
    <row r="23" customFormat="false" ht="12" hidden="false" customHeight="true" outlineLevel="0" collapsed="false">
      <c r="A23" s="196" t="s">
        <v>38</v>
      </c>
      <c r="B23" s="197" t="s">
        <v>62</v>
      </c>
      <c r="C23" s="198"/>
      <c r="D23" s="199"/>
      <c r="E23" s="68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70"/>
      <c r="Q23" s="180"/>
      <c r="R23" s="180"/>
      <c r="S23" s="180"/>
      <c r="T23" s="180"/>
      <c r="U23" s="180"/>
    </row>
    <row r="24" customFormat="false" ht="12" hidden="false" customHeight="true" outlineLevel="0" collapsed="false">
      <c r="A24" s="196" t="s">
        <v>39</v>
      </c>
      <c r="B24" s="197" t="s">
        <v>63</v>
      </c>
      <c r="C24" s="198"/>
      <c r="D24" s="199"/>
      <c r="E24" s="68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70"/>
      <c r="Q24" s="180"/>
      <c r="R24" s="180"/>
      <c r="S24" s="180"/>
      <c r="T24" s="180"/>
      <c r="U24" s="180"/>
    </row>
    <row r="25" customFormat="false" ht="12" hidden="false" customHeight="true" outlineLevel="0" collapsed="false">
      <c r="A25" s="196" t="s">
        <v>64</v>
      </c>
      <c r="B25" s="197" t="s">
        <v>65</v>
      </c>
      <c r="C25" s="198"/>
      <c r="D25" s="199"/>
      <c r="E25" s="68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70"/>
      <c r="Q25" s="180"/>
      <c r="R25" s="180"/>
      <c r="S25" s="180"/>
      <c r="T25" s="180"/>
      <c r="U25" s="180"/>
    </row>
    <row r="26" customFormat="false" ht="12" hidden="false" customHeight="true" outlineLevel="0" collapsed="false">
      <c r="A26" s="200"/>
      <c r="B26" s="201"/>
      <c r="C26" s="202"/>
      <c r="D26" s="183"/>
      <c r="E26" s="202"/>
      <c r="F26" s="202"/>
      <c r="G26" s="202"/>
      <c r="H26" s="202"/>
      <c r="I26" s="202"/>
      <c r="J26" s="202"/>
      <c r="K26" s="202"/>
      <c r="L26" s="202"/>
      <c r="M26" s="202"/>
      <c r="N26" s="202"/>
      <c r="O26" s="202"/>
      <c r="P26" s="202"/>
      <c r="Q26" s="203"/>
      <c r="R26" s="180" t="s">
        <v>0</v>
      </c>
      <c r="S26" s="180" t="s">
        <v>1</v>
      </c>
      <c r="T26" s="180" t="s">
        <v>2</v>
      </c>
      <c r="U26" s="203"/>
    </row>
    <row r="27" customFormat="false" ht="12" hidden="false" customHeight="true" outlineLevel="0" collapsed="false">
      <c r="A27" s="200" t="s">
        <v>42</v>
      </c>
      <c r="B27" s="201"/>
      <c r="C27" s="76" t="n">
        <f aca="false">'2000'!P27</f>
        <v>65821030.4660116</v>
      </c>
      <c r="D27" s="183"/>
      <c r="E27" s="77" t="n">
        <f aca="false">SQRT(SUMSQ(SUM(E2:E3),E4:E12))</f>
        <v>0</v>
      </c>
      <c r="F27" s="77" t="n">
        <f aca="false">SQRT(SUMSQ(SUM(F2:F3),F4:F12))</f>
        <v>0</v>
      </c>
      <c r="G27" s="76" t="n">
        <f aca="false">SQRT(SUMSQ(SUM(G2:G3),G4:G12))</f>
        <v>0</v>
      </c>
      <c r="H27" s="77" t="n">
        <f aca="false">SQRT(SUMSQ(SUM(H2:H3),H4:H12))</f>
        <v>0</v>
      </c>
      <c r="I27" s="77" t="n">
        <f aca="false">SQRT(SUMSQ(SUM(I2:I3),I4:I12))</f>
        <v>0</v>
      </c>
      <c r="J27" s="76" t="n">
        <f aca="false">SQRT(SUMSQ(SUM(J2:J3),J4:J12))</f>
        <v>0</v>
      </c>
      <c r="K27" s="77" t="n">
        <f aca="false">SQRT(SUMSQ(SUM(K2:K3),K4:K12))</f>
        <v>0</v>
      </c>
      <c r="L27" s="77" t="n">
        <f aca="false">SQRT(SUMSQ(SUM(L2:L3),L4:L12))</f>
        <v>0</v>
      </c>
      <c r="M27" s="76" t="n">
        <f aca="false">SQRT(SUMSQ(SUM(M2:M3),M4:M12))</f>
        <v>0</v>
      </c>
      <c r="N27" s="77" t="n">
        <f aca="false">SQRT(SUMSQ(SUM(N2:N3),N4:N12))</f>
        <v>0</v>
      </c>
      <c r="O27" s="77" t="n">
        <f aca="false">SQRT(SUMSQ(SUM(O2:O3),O4:O12))</f>
        <v>0</v>
      </c>
      <c r="P27" s="76" t="n">
        <f aca="false">SQRT(SUMSQ(SUM(P2:P3),P4:P12))</f>
        <v>0</v>
      </c>
      <c r="Q27" s="203"/>
      <c r="R27" s="78" t="n">
        <f aca="false">AVERAGE($E27:$P27)</f>
        <v>0</v>
      </c>
      <c r="S27" s="78" t="n">
        <f aca="false">MAX($E27:$P27)</f>
        <v>0</v>
      </c>
      <c r="T27" s="78" t="n">
        <f aca="false">MIN($E27:$P27)</f>
        <v>0</v>
      </c>
      <c r="U27" s="203"/>
    </row>
    <row r="28" customFormat="false" ht="12" hidden="false" customHeight="true" outlineLevel="0" collapsed="false">
      <c r="A28" s="200" t="s">
        <v>43</v>
      </c>
      <c r="B28" s="201"/>
      <c r="C28" s="76" t="n">
        <f aca="false">'2000'!P28</f>
        <v>252688.76</v>
      </c>
      <c r="D28" s="183"/>
      <c r="E28" s="77" t="n">
        <f aca="false">E13</f>
        <v>0</v>
      </c>
      <c r="F28" s="77" t="n">
        <f aca="false">F13</f>
        <v>0</v>
      </c>
      <c r="G28" s="76" t="n">
        <f aca="false">G13</f>
        <v>0</v>
      </c>
      <c r="H28" s="77" t="n">
        <f aca="false">H13</f>
        <v>0</v>
      </c>
      <c r="I28" s="77" t="n">
        <f aca="false">I13</f>
        <v>0</v>
      </c>
      <c r="J28" s="76" t="n">
        <f aca="false">J13</f>
        <v>0</v>
      </c>
      <c r="K28" s="77" t="n">
        <f aca="false">K13</f>
        <v>0</v>
      </c>
      <c r="L28" s="77" t="n">
        <f aca="false">L13</f>
        <v>0</v>
      </c>
      <c r="M28" s="76" t="n">
        <f aca="false">M13</f>
        <v>0</v>
      </c>
      <c r="N28" s="77" t="n">
        <f aca="false">N13</f>
        <v>0</v>
      </c>
      <c r="O28" s="77" t="n">
        <f aca="false">O13</f>
        <v>0</v>
      </c>
      <c r="P28" s="76" t="n">
        <f aca="false">P13</f>
        <v>0</v>
      </c>
      <c r="Q28" s="203"/>
      <c r="R28" s="78" t="n">
        <f aca="false">AVERAGE($E28:$P28)</f>
        <v>0</v>
      </c>
      <c r="S28" s="78" t="n">
        <f aca="false">MAX($E28:$P28)</f>
        <v>0</v>
      </c>
      <c r="T28" s="78" t="n">
        <f aca="false">MIN($E28:$P28)</f>
        <v>0</v>
      </c>
      <c r="U28" s="203"/>
    </row>
    <row r="29" customFormat="false" ht="12" hidden="false" customHeight="true" outlineLevel="0" collapsed="false">
      <c r="A29" s="200" t="s">
        <v>44</v>
      </c>
      <c r="B29" s="201"/>
      <c r="C29" s="76" t="n">
        <f aca="false">'2000'!P29</f>
        <v>236780.04</v>
      </c>
      <c r="D29" s="183"/>
      <c r="E29" s="77" t="n">
        <f aca="false">E14</f>
        <v>0</v>
      </c>
      <c r="F29" s="77" t="n">
        <f aca="false">F14</f>
        <v>0</v>
      </c>
      <c r="G29" s="76" t="n">
        <f aca="false">G14</f>
        <v>0</v>
      </c>
      <c r="H29" s="77" t="n">
        <f aca="false">H14</f>
        <v>0</v>
      </c>
      <c r="I29" s="77" t="n">
        <f aca="false">I14</f>
        <v>0</v>
      </c>
      <c r="J29" s="76" t="n">
        <f aca="false">J14</f>
        <v>0</v>
      </c>
      <c r="K29" s="77" t="n">
        <f aca="false">K14</f>
        <v>0</v>
      </c>
      <c r="L29" s="77" t="n">
        <f aca="false">L14</f>
        <v>0</v>
      </c>
      <c r="M29" s="76" t="n">
        <f aca="false">M14</f>
        <v>0</v>
      </c>
      <c r="N29" s="77" t="n">
        <f aca="false">N14</f>
        <v>0</v>
      </c>
      <c r="O29" s="77" t="n">
        <f aca="false">O14</f>
        <v>0</v>
      </c>
      <c r="P29" s="76" t="n">
        <f aca="false">P14</f>
        <v>0</v>
      </c>
      <c r="Q29" s="203"/>
      <c r="R29" s="78" t="n">
        <f aca="false">AVERAGE($E29:$P29)</f>
        <v>0</v>
      </c>
      <c r="S29" s="78" t="n">
        <f aca="false">MAX($E29:$P29)</f>
        <v>0</v>
      </c>
      <c r="T29" s="78" t="n">
        <f aca="false">MIN($E29:$P29)</f>
        <v>0</v>
      </c>
      <c r="U29" s="203"/>
    </row>
    <row r="30" customFormat="false" ht="12" hidden="false" customHeight="true" outlineLevel="0" collapsed="false">
      <c r="A30" s="200" t="s">
        <v>45</v>
      </c>
      <c r="B30" s="201"/>
      <c r="C30" s="76" t="n">
        <f aca="false">'2000'!P30</f>
        <v>90142203.2739926</v>
      </c>
      <c r="D30" s="183"/>
      <c r="E30" s="77" t="n">
        <f aca="false">SQRT(SUMSQ(E15:E19))</f>
        <v>0</v>
      </c>
      <c r="F30" s="77" t="n">
        <f aca="false">SQRT(SUMSQ(F15:F19))</f>
        <v>0</v>
      </c>
      <c r="G30" s="76" t="n">
        <f aca="false">SQRT(SUMSQ(G15:G19))</f>
        <v>0</v>
      </c>
      <c r="H30" s="77" t="n">
        <f aca="false">SQRT(SUMSQ(H15:H19))</f>
        <v>0</v>
      </c>
      <c r="I30" s="77" t="n">
        <f aca="false">SQRT(SUMSQ(I15:I19))</f>
        <v>0</v>
      </c>
      <c r="J30" s="76" t="n">
        <f aca="false">SQRT(SUMSQ(J15:J19))</f>
        <v>0</v>
      </c>
      <c r="K30" s="77" t="n">
        <f aca="false">SQRT(SUMSQ(K15:K19))</f>
        <v>0</v>
      </c>
      <c r="L30" s="77" t="n">
        <f aca="false">SQRT(SUMSQ(L15:L19))</f>
        <v>0</v>
      </c>
      <c r="M30" s="76" t="n">
        <f aca="false">SQRT(SUMSQ(M15:M19))</f>
        <v>0</v>
      </c>
      <c r="N30" s="77" t="n">
        <f aca="false">SQRT(SUMSQ(N15:N19))</f>
        <v>0</v>
      </c>
      <c r="O30" s="77" t="n">
        <f aca="false">SQRT(SUMSQ(O15:O19))</f>
        <v>0</v>
      </c>
      <c r="P30" s="76" t="n">
        <f aca="false">SQRT(SUMSQ(P15:P19))</f>
        <v>0</v>
      </c>
      <c r="Q30" s="203"/>
      <c r="R30" s="78" t="n">
        <f aca="false">AVERAGE($E30:$P30)</f>
        <v>0</v>
      </c>
      <c r="S30" s="78" t="n">
        <f aca="false">MAX($E30:$P30)</f>
        <v>0</v>
      </c>
      <c r="T30" s="78" t="n">
        <f aca="false">MIN($E30:$P30)</f>
        <v>0</v>
      </c>
      <c r="U30" s="203"/>
    </row>
    <row r="31" customFormat="false" ht="12" hidden="false" customHeight="true" outlineLevel="0" collapsed="false">
      <c r="A31" s="200" t="s">
        <v>46</v>
      </c>
      <c r="B31" s="201"/>
      <c r="C31" s="76" t="n">
        <f aca="false">'2000'!P31</f>
        <v>2442919.85491913</v>
      </c>
      <c r="D31" s="183"/>
      <c r="E31" s="77" t="n">
        <f aca="false">SQRT(SUMSQ(E20:E22))</f>
        <v>0</v>
      </c>
      <c r="F31" s="77" t="n">
        <f aca="false">SQRT(SUMSQ(F20:F22))</f>
        <v>0</v>
      </c>
      <c r="G31" s="76" t="n">
        <f aca="false">SQRT(SUMSQ(G20:G22))</f>
        <v>0</v>
      </c>
      <c r="H31" s="77" t="n">
        <f aca="false">SQRT(SUMSQ(H20:H22))</f>
        <v>0</v>
      </c>
      <c r="I31" s="77" t="n">
        <f aca="false">SQRT(SUMSQ(I20:I22))</f>
        <v>0</v>
      </c>
      <c r="J31" s="76" t="n">
        <f aca="false">SQRT(SUMSQ(J20:J22))</f>
        <v>0</v>
      </c>
      <c r="K31" s="77" t="n">
        <f aca="false">SQRT(SUMSQ(K20:K22))</f>
        <v>0</v>
      </c>
      <c r="L31" s="77" t="n">
        <f aca="false">SQRT(SUMSQ(L20:L22))</f>
        <v>0</v>
      </c>
      <c r="M31" s="76" t="n">
        <f aca="false">SQRT(SUMSQ(M20:M22))</f>
        <v>0</v>
      </c>
      <c r="N31" s="77" t="n">
        <f aca="false">SQRT(SUMSQ(N20:N22))</f>
        <v>0</v>
      </c>
      <c r="O31" s="77" t="n">
        <f aca="false">SQRT(SUMSQ(O20:O22))</f>
        <v>0</v>
      </c>
      <c r="P31" s="76" t="n">
        <f aca="false">SQRT(SUMSQ(P20:P22))</f>
        <v>0</v>
      </c>
      <c r="Q31" s="203"/>
      <c r="R31" s="78" t="n">
        <f aca="false">AVERAGE($E31:$P31)</f>
        <v>0</v>
      </c>
      <c r="S31" s="78" t="n">
        <f aca="false">MAX($E31:$P31)</f>
        <v>0</v>
      </c>
      <c r="T31" s="78" t="n">
        <f aca="false">MIN($E31:$P31)</f>
        <v>0</v>
      </c>
      <c r="U31" s="203"/>
    </row>
    <row r="32" customFormat="false" ht="12" hidden="false" customHeight="true" outlineLevel="0" collapsed="false">
      <c r="A32" s="200" t="s">
        <v>47</v>
      </c>
      <c r="B32" s="201"/>
      <c r="C32" s="76" t="n">
        <f aca="false">'2000'!P32</f>
        <v>853.04</v>
      </c>
      <c r="D32" s="183"/>
      <c r="E32" s="77" t="n">
        <f aca="false">E23</f>
        <v>0</v>
      </c>
      <c r="F32" s="77" t="n">
        <f aca="false">F23</f>
        <v>0</v>
      </c>
      <c r="G32" s="76" t="n">
        <f aca="false">G23</f>
        <v>0</v>
      </c>
      <c r="H32" s="77" t="n">
        <f aca="false">H23</f>
        <v>0</v>
      </c>
      <c r="I32" s="77" t="n">
        <f aca="false">I23</f>
        <v>0</v>
      </c>
      <c r="J32" s="76" t="n">
        <f aca="false">J23</f>
        <v>0</v>
      </c>
      <c r="K32" s="77" t="n">
        <f aca="false">K23</f>
        <v>0</v>
      </c>
      <c r="L32" s="77" t="n">
        <f aca="false">L23</f>
        <v>0</v>
      </c>
      <c r="M32" s="76" t="n">
        <f aca="false">M23</f>
        <v>0</v>
      </c>
      <c r="N32" s="77" t="n">
        <f aca="false">N23</f>
        <v>0</v>
      </c>
      <c r="O32" s="77" t="n">
        <f aca="false">O23</f>
        <v>0</v>
      </c>
      <c r="P32" s="76" t="n">
        <f aca="false">P23</f>
        <v>0</v>
      </c>
      <c r="Q32" s="203"/>
      <c r="R32" s="78" t="n">
        <f aca="false">AVERAGE($E32:$P32)</f>
        <v>0</v>
      </c>
      <c r="S32" s="78" t="n">
        <f aca="false">MAX($E32:$P32)</f>
        <v>0</v>
      </c>
      <c r="T32" s="78" t="n">
        <f aca="false">MIN($E32:$P32)</f>
        <v>0</v>
      </c>
      <c r="U32" s="203"/>
    </row>
    <row r="33" customFormat="false" ht="12" hidden="false" customHeight="true" outlineLevel="0" collapsed="false">
      <c r="A33" s="200" t="s">
        <v>48</v>
      </c>
      <c r="B33" s="201"/>
      <c r="C33" s="76" t="n">
        <f aca="false">'2000'!P33</f>
        <v>7545462.57</v>
      </c>
      <c r="D33" s="183"/>
      <c r="E33" s="77" t="n">
        <f aca="false">E24</f>
        <v>0</v>
      </c>
      <c r="F33" s="77" t="n">
        <f aca="false">F24</f>
        <v>0</v>
      </c>
      <c r="G33" s="76" t="n">
        <f aca="false">G24</f>
        <v>0</v>
      </c>
      <c r="H33" s="77" t="n">
        <f aca="false">H24</f>
        <v>0</v>
      </c>
      <c r="I33" s="77" t="n">
        <f aca="false">I24</f>
        <v>0</v>
      </c>
      <c r="J33" s="76" t="n">
        <f aca="false">J24</f>
        <v>0</v>
      </c>
      <c r="K33" s="77" t="n">
        <f aca="false">K24</f>
        <v>0</v>
      </c>
      <c r="L33" s="77" t="n">
        <f aca="false">L24</f>
        <v>0</v>
      </c>
      <c r="M33" s="76" t="n">
        <f aca="false">M24</f>
        <v>0</v>
      </c>
      <c r="N33" s="77" t="n">
        <f aca="false">N24</f>
        <v>0</v>
      </c>
      <c r="O33" s="77" t="n">
        <f aca="false">O24</f>
        <v>0</v>
      </c>
      <c r="P33" s="76" t="n">
        <f aca="false">P24</f>
        <v>0</v>
      </c>
      <c r="Q33" s="203"/>
      <c r="R33" s="78" t="n">
        <f aca="false">AVERAGE($E33:$P33)</f>
        <v>0</v>
      </c>
      <c r="S33" s="78" t="n">
        <f aca="false">MAX($E33:$P33)</f>
        <v>0</v>
      </c>
      <c r="T33" s="78" t="n">
        <f aca="false">MIN($E33:$P33)</f>
        <v>0</v>
      </c>
      <c r="U33" s="203"/>
    </row>
    <row r="34" customFormat="false" ht="12" hidden="false" customHeight="true" outlineLevel="0" collapsed="false">
      <c r="A34" s="200" t="s">
        <v>49</v>
      </c>
      <c r="B34" s="201"/>
      <c r="C34" s="76" t="n">
        <f aca="false">'2000'!P34</f>
        <v>6768797.85209671</v>
      </c>
      <c r="D34" s="183"/>
      <c r="E34" s="77" t="n">
        <f aca="false">E25</f>
        <v>0</v>
      </c>
      <c r="F34" s="77" t="n">
        <f aca="false">F25</f>
        <v>0</v>
      </c>
      <c r="G34" s="76" t="n">
        <f aca="false">G25</f>
        <v>0</v>
      </c>
      <c r="H34" s="77" t="n">
        <f aca="false">H25</f>
        <v>0</v>
      </c>
      <c r="I34" s="77" t="n">
        <f aca="false">I25</f>
        <v>0</v>
      </c>
      <c r="J34" s="76" t="n">
        <f aca="false">J25</f>
        <v>0</v>
      </c>
      <c r="K34" s="77" t="n">
        <f aca="false">K25</f>
        <v>0</v>
      </c>
      <c r="L34" s="77" t="n">
        <f aca="false">L25</f>
        <v>0</v>
      </c>
      <c r="M34" s="76" t="n">
        <f aca="false">M25</f>
        <v>0</v>
      </c>
      <c r="N34" s="77" t="n">
        <f aca="false">N25</f>
        <v>0</v>
      </c>
      <c r="O34" s="77" t="n">
        <f aca="false">O25</f>
        <v>0</v>
      </c>
      <c r="P34" s="76" t="n">
        <f aca="false">P25</f>
        <v>0</v>
      </c>
      <c r="Q34" s="203"/>
      <c r="R34" s="78" t="n">
        <f aca="false">AVERAGE($E34:$P34)</f>
        <v>0</v>
      </c>
      <c r="S34" s="78" t="n">
        <f aca="false">MAX($E34:$P34)</f>
        <v>0</v>
      </c>
      <c r="T34" s="78" t="n">
        <f aca="false">MIN($E34:$P34)</f>
        <v>0</v>
      </c>
      <c r="U34" s="203"/>
    </row>
    <row r="35" customFormat="false" ht="12" hidden="false" customHeight="true" outlineLevel="0" collapsed="false">
      <c r="A35" s="203"/>
      <c r="B35" s="202"/>
      <c r="C35" s="204"/>
      <c r="D35" s="183"/>
      <c r="E35" s="202"/>
      <c r="F35" s="202"/>
      <c r="G35" s="204"/>
      <c r="H35" s="202"/>
      <c r="I35" s="202"/>
      <c r="J35" s="204"/>
      <c r="K35" s="202"/>
      <c r="L35" s="202"/>
      <c r="M35" s="204"/>
      <c r="N35" s="202"/>
      <c r="O35" s="202"/>
      <c r="P35" s="204"/>
      <c r="Q35" s="203"/>
      <c r="R35" s="203"/>
      <c r="S35" s="203"/>
      <c r="T35" s="203"/>
      <c r="U35" s="203"/>
    </row>
    <row r="36" customFormat="false" ht="12" hidden="false" customHeight="true" outlineLevel="0" collapsed="false">
      <c r="A36" s="203" t="s">
        <v>50</v>
      </c>
      <c r="B36" s="202"/>
      <c r="C36" s="80" t="n">
        <f aca="false">SQRT(SUMSQ(C27:C34))</f>
        <v>112102021.690054</v>
      </c>
      <c r="D36" s="183"/>
      <c r="E36" s="81" t="n">
        <f aca="false">SQRT(SUMSQ(E27:E34))</f>
        <v>0</v>
      </c>
      <c r="F36" s="81" t="n">
        <f aca="false">SQRT(SUMSQ(F27:F34))</f>
        <v>0</v>
      </c>
      <c r="G36" s="80" t="n">
        <f aca="false">SQRT(SUMSQ(G27:G34))</f>
        <v>0</v>
      </c>
      <c r="H36" s="81" t="n">
        <f aca="false">SQRT(SUMSQ(H27:H34))</f>
        <v>0</v>
      </c>
      <c r="I36" s="81" t="n">
        <f aca="false">SQRT(SUMSQ(I27:I34))</f>
        <v>0</v>
      </c>
      <c r="J36" s="80" t="n">
        <f aca="false">SQRT(SUMSQ(J27:J34))</f>
        <v>0</v>
      </c>
      <c r="K36" s="81" t="n">
        <f aca="false">SQRT(SUMSQ(K27:K34))</f>
        <v>0</v>
      </c>
      <c r="L36" s="81" t="n">
        <f aca="false">SQRT(SUMSQ(L27:L34))</f>
        <v>0</v>
      </c>
      <c r="M36" s="80" t="n">
        <f aca="false">SQRT(SUMSQ(M27:M34))</f>
        <v>0</v>
      </c>
      <c r="N36" s="81" t="n">
        <f aca="false">SQRT(SUMSQ(N27:N34))</f>
        <v>0</v>
      </c>
      <c r="O36" s="81" t="n">
        <f aca="false">SQRT(SUMSQ(O27:O34))</f>
        <v>0</v>
      </c>
      <c r="P36" s="80" t="n">
        <f aca="false">SQRT(SUMSQ(P27:P34))</f>
        <v>0</v>
      </c>
      <c r="Q36" s="203"/>
      <c r="R36" s="81" t="n">
        <f aca="false">SQRT(SUMSQ(R27:R34))</f>
        <v>0</v>
      </c>
      <c r="S36" s="81" t="n">
        <f aca="false">SQRT(SUMSQ(S27:S34))</f>
        <v>0</v>
      </c>
      <c r="T36" s="81" t="n">
        <f aca="false">SQRT(SUMSQ(T27:T34))</f>
        <v>0</v>
      </c>
      <c r="U36" s="203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82"/>
      <c r="AO36" s="82"/>
      <c r="AP36" s="82"/>
      <c r="AQ36" s="82"/>
      <c r="AR36" s="82"/>
      <c r="AS36" s="82"/>
      <c r="AT36" s="82"/>
      <c r="AU36" s="82"/>
      <c r="AV36" s="82"/>
      <c r="AW36" s="82"/>
      <c r="AX36" s="82"/>
      <c r="AY36" s="82"/>
      <c r="AZ36" s="82"/>
      <c r="BA36" s="82"/>
      <c r="BB36" s="82"/>
      <c r="BC36" s="82"/>
      <c r="BD36" s="82"/>
      <c r="BE36" s="82"/>
      <c r="BF36" s="82"/>
      <c r="BG36" s="82"/>
      <c r="BH36" s="82"/>
      <c r="BI36" s="82"/>
      <c r="BJ36" s="82"/>
      <c r="BK36" s="82"/>
      <c r="BL36" s="82"/>
      <c r="BM36" s="82"/>
      <c r="BN36" s="82"/>
      <c r="BO36" s="82"/>
      <c r="BP36" s="82"/>
      <c r="BQ36" s="82"/>
      <c r="BR36" s="82"/>
      <c r="BS36" s="82"/>
      <c r="BT36" s="82"/>
      <c r="BU36" s="82"/>
      <c r="BV36" s="82"/>
      <c r="BW36" s="82"/>
      <c r="BX36" s="82"/>
      <c r="BY36" s="82"/>
      <c r="BZ36" s="82"/>
      <c r="CA36" s="82"/>
      <c r="CB36" s="82"/>
      <c r="CC36" s="82"/>
      <c r="CD36" s="82"/>
      <c r="CE36" s="82"/>
      <c r="CF36" s="82"/>
      <c r="CG36" s="82"/>
      <c r="CH36" s="82"/>
      <c r="CI36" s="82"/>
      <c r="CJ36" s="82"/>
      <c r="CK36" s="82"/>
      <c r="CL36" s="82"/>
      <c r="CM36" s="82"/>
      <c r="CN36" s="82"/>
      <c r="CO36" s="82"/>
      <c r="CP36" s="82"/>
      <c r="CQ36" s="82"/>
      <c r="CR36" s="82"/>
      <c r="CS36" s="82"/>
      <c r="CT36" s="82"/>
      <c r="CU36" s="82"/>
      <c r="CV36" s="82"/>
      <c r="CW36" s="82"/>
      <c r="CX36" s="82"/>
      <c r="CY36" s="82"/>
      <c r="CZ36" s="82"/>
      <c r="DA36" s="82"/>
      <c r="DB36" s="82"/>
      <c r="DC36" s="82"/>
      <c r="DD36" s="82"/>
      <c r="DE36" s="82"/>
      <c r="DF36" s="82"/>
      <c r="DG36" s="82"/>
      <c r="DH36" s="82"/>
      <c r="DI36" s="82"/>
      <c r="DJ36" s="82"/>
      <c r="DK36" s="82"/>
      <c r="DL36" s="82"/>
      <c r="DM36" s="82"/>
      <c r="DN36" s="82"/>
      <c r="DO36" s="82"/>
      <c r="DP36" s="82"/>
      <c r="DQ36" s="82"/>
      <c r="DR36" s="82"/>
      <c r="DS36" s="82"/>
      <c r="DT36" s="82"/>
      <c r="DU36" s="82"/>
      <c r="DV36" s="82"/>
      <c r="DW36" s="82"/>
      <c r="DX36" s="82"/>
      <c r="DY36" s="82"/>
      <c r="DZ36" s="82"/>
      <c r="EA36" s="82"/>
      <c r="EB36" s="82"/>
      <c r="EC36" s="82"/>
      <c r="ED36" s="82"/>
      <c r="EE36" s="82"/>
      <c r="EF36" s="82"/>
      <c r="EG36" s="82"/>
      <c r="EH36" s="82"/>
      <c r="EI36" s="82"/>
      <c r="EJ36" s="82"/>
      <c r="EK36" s="82"/>
      <c r="EL36" s="82"/>
      <c r="EM36" s="82"/>
      <c r="EN36" s="82"/>
      <c r="EO36" s="82"/>
      <c r="EP36" s="82"/>
      <c r="EQ36" s="82"/>
      <c r="ER36" s="82"/>
      <c r="ES36" s="82"/>
      <c r="ET36" s="82"/>
      <c r="EU36" s="82"/>
      <c r="EV36" s="82"/>
      <c r="EW36" s="82"/>
      <c r="EX36" s="82"/>
      <c r="EY36" s="82"/>
      <c r="EZ36" s="82"/>
      <c r="FA36" s="82"/>
      <c r="FB36" s="82"/>
      <c r="FC36" s="82"/>
      <c r="FD36" s="82"/>
      <c r="FE36" s="82"/>
      <c r="FF36" s="82"/>
      <c r="FG36" s="82"/>
      <c r="FH36" s="82"/>
      <c r="FI36" s="82"/>
      <c r="FJ36" s="82"/>
      <c r="FK36" s="82"/>
      <c r="FL36" s="82"/>
      <c r="FM36" s="82"/>
      <c r="FN36" s="82"/>
      <c r="FO36" s="82"/>
      <c r="FP36" s="82"/>
      <c r="FQ36" s="82"/>
      <c r="FR36" s="82"/>
      <c r="FS36" s="82"/>
      <c r="FT36" s="82"/>
      <c r="FU36" s="82"/>
      <c r="FV36" s="82"/>
      <c r="FW36" s="82"/>
      <c r="FX36" s="82"/>
      <c r="FY36" s="82"/>
      <c r="FZ36" s="82"/>
      <c r="GA36" s="82"/>
      <c r="GB36" s="82"/>
      <c r="GC36" s="82"/>
      <c r="GD36" s="82"/>
      <c r="GE36" s="82"/>
      <c r="GF36" s="82"/>
      <c r="GG36" s="82"/>
      <c r="GH36" s="82"/>
      <c r="GI36" s="82"/>
      <c r="GJ36" s="82"/>
      <c r="GK36" s="82"/>
      <c r="GL36" s="82"/>
      <c r="GM36" s="82"/>
      <c r="GN36" s="82"/>
      <c r="GO36" s="82"/>
      <c r="GP36" s="82"/>
      <c r="GQ36" s="82"/>
      <c r="GR36" s="82"/>
      <c r="GS36" s="82"/>
      <c r="GT36" s="82"/>
      <c r="GU36" s="82"/>
      <c r="GV36" s="82"/>
      <c r="GW36" s="82"/>
      <c r="GX36" s="82"/>
      <c r="GY36" s="82"/>
      <c r="GZ36" s="82"/>
      <c r="HA36" s="82"/>
      <c r="HB36" s="82"/>
      <c r="HC36" s="82"/>
      <c r="HD36" s="82"/>
      <c r="HE36" s="82"/>
      <c r="HF36" s="82"/>
      <c r="HG36" s="82"/>
      <c r="HH36" s="82"/>
      <c r="HI36" s="82"/>
      <c r="HJ36" s="82"/>
      <c r="HK36" s="82"/>
      <c r="HL36" s="82"/>
      <c r="HM36" s="82"/>
      <c r="HN36" s="82"/>
      <c r="HO36" s="82"/>
      <c r="HP36" s="82"/>
      <c r="HQ36" s="82"/>
      <c r="HR36" s="82"/>
      <c r="HS36" s="82"/>
      <c r="HT36" s="82"/>
      <c r="HU36" s="82"/>
      <c r="HV36" s="82"/>
      <c r="HW36" s="82"/>
      <c r="HX36" s="82"/>
      <c r="HY36" s="82"/>
      <c r="HZ36" s="82"/>
      <c r="IA36" s="82"/>
      <c r="IB36" s="82"/>
      <c r="IC36" s="82"/>
      <c r="ID36" s="82"/>
      <c r="IE36" s="82"/>
      <c r="IF36" s="82"/>
      <c r="IG36" s="82"/>
      <c r="IH36" s="82"/>
      <c r="II36" s="82"/>
      <c r="IJ36" s="82"/>
      <c r="IK36" s="82"/>
      <c r="IL36" s="82"/>
      <c r="IM36" s="82"/>
      <c r="IN36" s="82"/>
      <c r="IO36" s="82"/>
      <c r="IP36" s="82"/>
      <c r="IQ36" s="82"/>
      <c r="IR36" s="82"/>
      <c r="IS36" s="82"/>
      <c r="IT36" s="82"/>
      <c r="IU36" s="82"/>
      <c r="IV36" s="82"/>
      <c r="IW36" s="82"/>
    </row>
    <row r="37" customFormat="false" ht="12" hidden="false" customHeight="true" outlineLevel="0" collapsed="false">
      <c r="A37" s="203"/>
      <c r="B37" s="202"/>
      <c r="C37" s="202"/>
      <c r="D37" s="183"/>
      <c r="E37" s="202"/>
      <c r="F37" s="202"/>
      <c r="G37" s="202"/>
      <c r="H37" s="202"/>
      <c r="I37" s="202"/>
      <c r="J37" s="202"/>
      <c r="K37" s="202"/>
      <c r="L37" s="202"/>
      <c r="M37" s="202"/>
      <c r="N37" s="202"/>
      <c r="O37" s="202"/>
      <c r="P37" s="202"/>
      <c r="Q37" s="203"/>
      <c r="R37" s="203"/>
      <c r="S37" s="203"/>
      <c r="T37" s="203"/>
      <c r="U37" s="203"/>
    </row>
    <row r="38" customFormat="false" ht="12" hidden="false" customHeight="true" outlineLevel="0" collapsed="false">
      <c r="A38" s="203"/>
      <c r="B38" s="202"/>
      <c r="C38" s="203"/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203"/>
      <c r="O38" s="203"/>
      <c r="P38" s="203"/>
      <c r="Q38" s="203"/>
      <c r="R38" s="203"/>
      <c r="S38" s="203"/>
      <c r="T38" s="203"/>
      <c r="U38" s="203"/>
    </row>
    <row r="39" customFormat="false" ht="12.75" hidden="false" customHeight="true" outlineLevel="0" collapsed="false">
      <c r="A39" s="203"/>
      <c r="B39" s="202"/>
      <c r="C39" s="203"/>
      <c r="D39" s="203"/>
      <c r="E39" s="203"/>
      <c r="F39" s="203"/>
      <c r="G39" s="203"/>
      <c r="H39" s="203"/>
      <c r="I39" s="203"/>
      <c r="J39" s="203"/>
      <c r="K39" s="203"/>
      <c r="L39" s="203"/>
      <c r="M39" s="203"/>
      <c r="N39" s="203"/>
      <c r="O39" s="203"/>
      <c r="P39" s="203"/>
      <c r="Q39" s="203"/>
      <c r="R39" s="203"/>
      <c r="S39" s="203"/>
      <c r="T39" s="203"/>
      <c r="U39" s="203"/>
    </row>
    <row r="41" customFormat="false" ht="12" hidden="true" customHeight="true" outlineLevel="0" collapsed="false">
      <c r="C41" s="34" t="s">
        <v>66</v>
      </c>
      <c r="E41" s="54" t="n">
        <v>119911136.190401</v>
      </c>
      <c r="F41" s="55" t="n">
        <v>139445086.63918</v>
      </c>
      <c r="G41" s="55" t="n">
        <v>80231710.8047828</v>
      </c>
      <c r="H41" s="55" t="n">
        <v>66391245.0846979</v>
      </c>
      <c r="I41" s="55" t="n">
        <v>69632080.4218782</v>
      </c>
      <c r="J41" s="55" t="n">
        <v>77867611.5470121</v>
      </c>
      <c r="K41" s="55" t="n">
        <v>73541114.4511004</v>
      </c>
      <c r="L41" s="55" t="n">
        <v>85909099.6047661</v>
      </c>
      <c r="M41" s="55" t="n">
        <v>66983312.5346663</v>
      </c>
      <c r="N41" s="55" t="n">
        <v>62341523.6362071</v>
      </c>
      <c r="O41" s="55" t="n">
        <v>62553992.8527886</v>
      </c>
      <c r="P41" s="56" t="n">
        <v>61548814.7799013</v>
      </c>
    </row>
    <row r="42" customFormat="false" ht="12" hidden="true" customHeight="true" outlineLevel="0" collapsed="false">
      <c r="C42" s="34" t="s">
        <v>67</v>
      </c>
      <c r="E42" s="77" t="n">
        <v>121011676.471614</v>
      </c>
      <c r="F42" s="77" t="n">
        <v>140185311.207525</v>
      </c>
      <c r="G42" s="76" t="n">
        <v>82538859.5931543</v>
      </c>
      <c r="H42" s="77" t="n">
        <v>67771407.2517384</v>
      </c>
      <c r="I42" s="77" t="n">
        <v>70269205.9120179</v>
      </c>
      <c r="J42" s="76" t="n">
        <v>78226546.9667872</v>
      </c>
      <c r="K42" s="77" t="n">
        <v>74463146.1979031</v>
      </c>
      <c r="L42" s="77" t="n">
        <v>86681874.8149021</v>
      </c>
      <c r="M42" s="76" t="n">
        <v>68777667.5173212</v>
      </c>
      <c r="N42" s="77" t="n">
        <v>66451919.9989704</v>
      </c>
      <c r="O42" s="77" t="n">
        <v>66839432.4810975</v>
      </c>
      <c r="P42" s="76" t="n">
        <v>67865071.0115322</v>
      </c>
    </row>
    <row r="43" customFormat="false" ht="12" hidden="true" customHeight="true" outlineLevel="0" collapsed="false"/>
    <row r="44" customFormat="false" ht="12" hidden="true" customHeight="true" outlineLevel="0" collapsed="false">
      <c r="E44" s="83" t="n">
        <f aca="false">E17-E41</f>
        <v>-119911136.190401</v>
      </c>
      <c r="F44" s="83" t="n">
        <f aca="false">F17-F41</f>
        <v>-139445086.63918</v>
      </c>
      <c r="G44" s="83" t="n">
        <f aca="false">G17-G41</f>
        <v>-80231710.8047828</v>
      </c>
      <c r="H44" s="83" t="n">
        <f aca="false">H17-H41</f>
        <v>-66391245.0846979</v>
      </c>
      <c r="I44" s="83" t="n">
        <f aca="false">I17-I41</f>
        <v>-69632080.4218782</v>
      </c>
      <c r="J44" s="83" t="n">
        <f aca="false">J17-J41</f>
        <v>-77867611.5470121</v>
      </c>
      <c r="K44" s="83" t="n">
        <f aca="false">K17-K41</f>
        <v>-73541114.4511004</v>
      </c>
      <c r="L44" s="83" t="n">
        <f aca="false">L17-L41</f>
        <v>-85909099.6047661</v>
      </c>
      <c r="M44" s="83" t="n">
        <f aca="false">M17-M41</f>
        <v>-66983312.5346663</v>
      </c>
      <c r="N44" s="83" t="n">
        <f aca="false">N17-N41</f>
        <v>-62341523.6362071</v>
      </c>
      <c r="O44" s="83" t="n">
        <f aca="false">O17-O41</f>
        <v>-62553992.8527886</v>
      </c>
      <c r="P44" s="83" t="n">
        <f aca="false">P17-P41</f>
        <v>-61548814.7799013</v>
      </c>
    </row>
    <row r="45" customFormat="false" ht="12" hidden="true" customHeight="true" outlineLevel="0" collapsed="false">
      <c r="E45" s="83" t="n">
        <f aca="false">E30-E42</f>
        <v>-121011676.471614</v>
      </c>
      <c r="F45" s="83" t="n">
        <f aca="false">F30-F42</f>
        <v>-140185311.207525</v>
      </c>
      <c r="G45" s="83" t="n">
        <f aca="false">G30-G42</f>
        <v>-82538859.5931543</v>
      </c>
      <c r="H45" s="83" t="n">
        <f aca="false">H30-H42</f>
        <v>-67771407.2517384</v>
      </c>
      <c r="I45" s="83" t="n">
        <f aca="false">I30-I42</f>
        <v>-70269205.9120179</v>
      </c>
      <c r="J45" s="83" t="n">
        <f aca="false">J30-J42</f>
        <v>-78226546.9667872</v>
      </c>
      <c r="K45" s="83" t="n">
        <f aca="false">K30-K42</f>
        <v>-74463146.1979031</v>
      </c>
      <c r="L45" s="83" t="n">
        <f aca="false">L30-L42</f>
        <v>-86681874.8149021</v>
      </c>
      <c r="M45" s="83" t="n">
        <f aca="false">M30-M42</f>
        <v>-68777667.5173212</v>
      </c>
      <c r="N45" s="83" t="n">
        <f aca="false">N30-N42</f>
        <v>-66451919.9989704</v>
      </c>
      <c r="O45" s="83" t="n">
        <f aca="false">O30-O42</f>
        <v>-66839432.4810975</v>
      </c>
      <c r="P45" s="83" t="n">
        <f aca="false">P30-P42</f>
        <v>-67865071.0115322</v>
      </c>
    </row>
    <row r="46" customFormat="false" ht="12" hidden="true" customHeight="true" outlineLevel="0" collapsed="false"/>
  </sheetData>
  <printOptions headings="false" gridLines="false" gridLinesSet="true" horizontalCentered="false" verticalCentered="false"/>
  <pageMargins left="0.179861111111111" right="0.1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8.71"/>
  </cols>
  <sheetData>
    <row r="1" customFormat="false" ht="12.75" hidden="false" customHeight="false" outlineLevel="0" collapsed="false">
      <c r="A1" s="0" t="s">
        <v>184</v>
      </c>
    </row>
    <row r="4" customFormat="false" ht="12.75" hidden="false" customHeight="false" outlineLevel="0" collapsed="false">
      <c r="A4" s="205" t="s">
        <v>185</v>
      </c>
    </row>
    <row r="5" customFormat="false" ht="25.5" hidden="false" customHeight="false" outlineLevel="0" collapsed="false">
      <c r="A5" s="206" t="s">
        <v>186</v>
      </c>
    </row>
    <row r="8" customFormat="false" ht="12.75" hidden="false" customHeight="false" outlineLevel="0" collapsed="false">
      <c r="A8" s="20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1998-04-20T21:29:16Z</dcterms:created>
  <dc:creator>Will Nolen</dc:creator>
  <dc:description>- Oracle 8i ODBC QueryFix Applied</dc:description>
  <dc:language>en-US</dc:language>
  <cp:lastModifiedBy>Eugenio Perez</cp:lastModifiedBy>
  <cp:lastPrinted>2001-02-05T18:41:42Z</cp:lastPrinted>
  <cp:revision>0</cp:revision>
  <dc:subject/>
  <dc:title/>
</cp:coreProperties>
</file>