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idential" sheetId="1" state="visible" r:id="rId3"/>
    <sheet name="Small Commercial" sheetId="2" state="visible" r:id="rId4"/>
    <sheet name="Medium-Large Commercial (AB265)" sheetId="3" state="visible" r:id="rId5"/>
    <sheet name="Street Lighting" sheetId="4" state="visible" r:id="rId6"/>
  </sheets>
  <definedNames>
    <definedName function="false" hidden="false" localSheetId="2" name="_xlnm.Print_Area" vbProcedure="false">'Medium-Large Commercial (AB265)'!$A$1:$H$72,'Medium-Large Commercial (AB265)'!$A$83:$H$128,'Medium-Large Commercial (AB265)'!$A$131:$H$178</definedName>
    <definedName function="false" hidden="false" localSheetId="0" name="_xlnm.Print_Area" vbProcedure="false">Residential!$A$1:$H$67,Residential!$A$71:$H$130,Residential!$A$133:$H$176</definedName>
    <definedName function="false" hidden="false" localSheetId="1" name="_xlnm.Print_Area" vbProcedure="false">'Small Commercial'!$A$1:$H$47</definedName>
    <definedName function="false" hidden="false" localSheetId="3" name="_xlnm.Print_Area" vbProcedure="false">'Street Lighting'!$A$1:$H$62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<sst xmlns="http://schemas.openxmlformats.org/spreadsheetml/2006/main" count="465" uniqueCount="222">
  <si>
    <t xml:space="preserve">(Sheet 1 of 3)</t>
  </si>
  <si>
    <t xml:space="preserve">San Diego Gas and Electric</t>
  </si>
  <si>
    <t xml:space="preserve">Residential Rates</t>
  </si>
  <si>
    <t xml:space="preserve">Average Small</t>
  </si>
  <si>
    <t xml:space="preserve">RESIDENTIAL CLASS</t>
  </si>
  <si>
    <t xml:space="preserve">Customer Rate Increase</t>
  </si>
  <si>
    <t xml:space="preserve">(cents/kWh)</t>
  </si>
  <si>
    <t xml:space="preserve">Average Residential Rate Increase (cents/kWh)</t>
  </si>
  <si>
    <t xml:space="preserve">Additional Residential Revenues ($ MM)</t>
  </si>
  <si>
    <t xml:space="preserve">Residential Non-TOU Inputs</t>
  </si>
  <si>
    <t xml:space="preserve">Non-CARE</t>
  </si>
  <si>
    <t xml:space="preserve">CARE</t>
  </si>
  <si>
    <t xml:space="preserve">Commodity Price Increases</t>
  </si>
  <si>
    <t xml:space="preserve">- Tier 1 Commodity Price (cents/kWh)</t>
  </si>
  <si>
    <t xml:space="preserve">- Tier 2 Commodity Price (cents/kWh)</t>
  </si>
  <si>
    <t xml:space="preserve">- Tier 3 Commodity Price (cents/kWh)</t>
  </si>
  <si>
    <t xml:space="preserve">- Tier 4 Commodity Price (cents/kWh)</t>
  </si>
  <si>
    <t xml:space="preserve">- Tier 5 Commodity Price (cents/kWh)</t>
  </si>
  <si>
    <t xml:space="preserve">Usage Breakdown</t>
  </si>
  <si>
    <t xml:space="preserve">- Tier 1 Usage</t>
  </si>
  <si>
    <t xml:space="preserve">- Tier 2 Usage</t>
  </si>
  <si>
    <t xml:space="preserve">- Tier 3 Usage</t>
  </si>
  <si>
    <t xml:space="preserve">- Tier 4 Usage</t>
  </si>
  <si>
    <t xml:space="preserve">- Tier 5 Usage</t>
  </si>
  <si>
    <t xml:space="preserve">Customer Group</t>
  </si>
  <si>
    <t xml:space="preserve">2001 Annual Sales Forecast (GWh)</t>
  </si>
  <si>
    <t xml:space="preserve">3/01/01  Total Rate (cents/kWh)</t>
  </si>
  <si>
    <t xml:space="preserve">Total Revenue             ($ MM)</t>
  </si>
  <si>
    <t xml:space="preserve">Revenue Increase    ($ MM)</t>
  </si>
  <si>
    <t xml:space="preserve">New Total Revenue          ($ MM)</t>
  </si>
  <si>
    <t xml:space="preserve">New Total Rate     (cents/kWh)</t>
  </si>
  <si>
    <t xml:space="preserve">Increase in Class Average           (%)</t>
  </si>
  <si>
    <t xml:space="preserve">Schedules DR, DR-LI, DM, DS, DT, DT-RV, and D-SMF</t>
  </si>
  <si>
    <t xml:space="preserve">2.77 cent increase</t>
  </si>
  <si>
    <t xml:space="preserve">NON-CARE</t>
  </si>
  <si>
    <t xml:space="preserve">Rate</t>
  </si>
  <si>
    <t xml:space="preserve">Rate w/ CARE Adder</t>
  </si>
  <si>
    <t xml:space="preserve">Usage Charges</t>
  </si>
  <si>
    <t xml:space="preserve">Revenue Increase %</t>
  </si>
  <si>
    <t xml:space="preserve">Summer Period</t>
  </si>
  <si>
    <t xml:space="preserve">tier 3</t>
  </si>
  <si>
    <t xml:space="preserve">Baseline</t>
  </si>
  <si>
    <t xml:space="preserve">s</t>
  </si>
  <si>
    <t xml:space="preserve">Baseline to 130% of BL </t>
  </si>
  <si>
    <t xml:space="preserve">w</t>
  </si>
  <si>
    <t xml:space="preserve">130% - 200% of BL</t>
  </si>
  <si>
    <t xml:space="preserve">tier 4</t>
  </si>
  <si>
    <t xml:space="preserve">200% - 300% of BL</t>
  </si>
  <si>
    <t xml:space="preserve">Over 300% of BL</t>
  </si>
  <si>
    <t xml:space="preserve">Minimum Bill </t>
  </si>
  <si>
    <t xml:space="preserve">NA</t>
  </si>
  <si>
    <t xml:space="preserve">tier 5</t>
  </si>
  <si>
    <t xml:space="preserve">Winter Period</t>
  </si>
  <si>
    <t xml:space="preserve">CARE Break</t>
  </si>
  <si>
    <t xml:space="preserve">NON-CARE SUB-TOTAL</t>
  </si>
  <si>
    <t xml:space="preserve">Baseline CARE</t>
  </si>
  <si>
    <t xml:space="preserve">Baseline to 130% of BL  CARE</t>
  </si>
  <si>
    <t xml:space="preserve">130% - 200% of BL CARE</t>
  </si>
  <si>
    <t xml:space="preserve">Total</t>
  </si>
  <si>
    <t xml:space="preserve">Minimum Bill  CARE</t>
  </si>
  <si>
    <t xml:space="preserve">Additional Increase to Cover CARE</t>
  </si>
  <si>
    <t xml:space="preserve">AB265 Rate Increase w/ CARE Adder</t>
  </si>
  <si>
    <t xml:space="preserve">Total Small &amp; Large Exempt Customer Sales</t>
  </si>
  <si>
    <t xml:space="preserve">CARE SUB-TOTAL</t>
  </si>
  <si>
    <t xml:space="preserve">Total for Schedules DR, DR-LI, DM, DS, DT, DT-RV, and D-SMF</t>
  </si>
  <si>
    <t xml:space="preserve">(Sheet 2 of 3)</t>
  </si>
  <si>
    <t xml:space="preserve">DR-TOU/DR-TOU-2  Inputs</t>
  </si>
  <si>
    <t xml:space="preserve">- Tier 1 Commodity Price Increase (cents/kWh)</t>
  </si>
  <si>
    <t xml:space="preserve">- Tier 2 Commodity Price Increase (cents/kWh)</t>
  </si>
  <si>
    <t xml:space="preserve">- Tier 3 Commodity Price Increase (cents/kWh)</t>
  </si>
  <si>
    <t xml:space="preserve">- Tier 4 Commodity Price Increase (cents/kWh)</t>
  </si>
  <si>
    <t xml:space="preserve">- Tier 5 Commodity Price Increase (cents/kWh)</t>
  </si>
  <si>
    <t xml:space="preserve">Commodity Usage Breakdown</t>
  </si>
  <si>
    <t xml:space="preserve">Schedule DR-TOU</t>
  </si>
  <si>
    <t xml:space="preserve">T&amp;D Charges</t>
  </si>
  <si>
    <t xml:space="preserve">  On-Peak Energy:  Summer</t>
  </si>
  <si>
    <t xml:space="preserve">  Off-Peak Energy: Summer</t>
  </si>
  <si>
    <t xml:space="preserve">  On-Peak Energy:  Winter</t>
  </si>
  <si>
    <t xml:space="preserve">  Off-Peak Energy: Winter</t>
  </si>
  <si>
    <t xml:space="preserve">Baseline Adjustment Credit</t>
  </si>
  <si>
    <t xml:space="preserve">Commodity Charges</t>
  </si>
  <si>
    <t xml:space="preserve">Over 200% of BL</t>
  </si>
  <si>
    <t xml:space="preserve">Total for Schedule DR-TOU</t>
  </si>
  <si>
    <t xml:space="preserve">Schedule DR-TOU-2</t>
  </si>
  <si>
    <t xml:space="preserve">T&amp;D TOU Charges</t>
  </si>
  <si>
    <t xml:space="preserve">Commodity  Charges</t>
  </si>
  <si>
    <t xml:space="preserve">Total for Schedule DR-TOU-2</t>
  </si>
  <si>
    <t xml:space="preserve">(Sheet 3 of 3)</t>
  </si>
  <si>
    <t xml:space="preserve">EV-TOU/EV-TOU-2\EV-TOU3 INPUTS</t>
  </si>
  <si>
    <t xml:space="preserve">EV-TOU/EV-TOU-2/EV-TOU-3 Commodity Price Increases</t>
  </si>
  <si>
    <t xml:space="preserve">-  On-Peak Commodity Price Increase</t>
  </si>
  <si>
    <t xml:space="preserve">-  Off-Peak Commodity Price Increase</t>
  </si>
  <si>
    <t xml:space="preserve">-  Super Off-Peak Commodity Price Increase</t>
  </si>
  <si>
    <t xml:space="preserve">  EV-TOU/EV-TOU-2/EV-TOU-3 Commodity Price Differentials</t>
  </si>
  <si>
    <t xml:space="preserve">- On-Peak to Off-Peak Price Differential</t>
  </si>
  <si>
    <t xml:space="preserve">- Off-Peak to Super Off-Peak Price Differential</t>
  </si>
  <si>
    <t xml:space="preserve">Estimated Capped Sales</t>
  </si>
  <si>
    <t xml:space="preserve">Revenues</t>
  </si>
  <si>
    <t xml:space="preserve">Schedules EV-TOU/EV-TOU-2/EV-TOU-3</t>
  </si>
  <si>
    <t xml:space="preserve">(GWh)</t>
  </si>
  <si>
    <t xml:space="preserve">(Cents/kWh)</t>
  </si>
  <si>
    <t xml:space="preserve">($ MM)</t>
  </si>
  <si>
    <t xml:space="preserve">Super Off-Peak-Summer</t>
  </si>
  <si>
    <t xml:space="preserve">  Super Off-Peak Energy: Summer</t>
  </si>
  <si>
    <t xml:space="preserve">Total Usage</t>
  </si>
  <si>
    <t xml:space="preserve">Total for Schedules EV-TOU/EV-TOU-2/EV-TOU-3</t>
  </si>
  <si>
    <t xml:space="preserve">ALLOCATED REVENUE REQUIREMENT</t>
  </si>
  <si>
    <t xml:space="preserve">RESIDENTIAL TOTAL</t>
  </si>
  <si>
    <t xml:space="preserve">REVENUE DIFFERENCE</t>
  </si>
  <si>
    <t xml:space="preserve">ENERGY CHARGE ADJUSTMENT FACTOR</t>
  </si>
  <si>
    <t xml:space="preserve">USE "GOAL SEEK" TO ELIMINATE DIFFERENCE</t>
  </si>
  <si>
    <t xml:space="preserve">Notes:</t>
  </si>
  <si>
    <t xml:space="preserve">(1) - The total rate columns and total revenue columns include T&amp;D and commodity charges.</t>
  </si>
  <si>
    <t xml:space="preserve">(2) - The total rate columns do not reflect Minimum Bill Revenues</t>
  </si>
  <si>
    <t xml:space="preserve">(3) - 2001 Annual Sales Forecast reflects the exclusion of Direct Access (DA) sales equal to 1.6% of total residential sales, which is based on the  </t>
  </si>
  <si>
    <t xml:space="preserve">       projected 12-month DA load found in the April 2001 SDG&amp;E Direct Access Update Report.</t>
  </si>
  <si>
    <t xml:space="preserve">(4) - The CARE total rates and total revenues do not reflect the authorized 15% CARE discount since D.00-12-058 changed the discount from a rate discount</t>
  </si>
  <si>
    <t xml:space="preserve">       to a line item discount on the bill.  The CARE rates need to be multiplied by 85% to get the resulting rate after applying the CARE line item discount. </t>
  </si>
  <si>
    <t xml:space="preserve">(5) - For simplicity purposes, Non-TOU rates reflect Schedule D-SMF, which is serving only one customer.  Schedule D-SMF has non-seasonal</t>
  </si>
  <si>
    <t xml:space="preserve">       rates that are equal to the Non-TOU residential annual rates.</t>
  </si>
  <si>
    <t xml:space="preserve">(6) - Medical Baseline Customers are exempt from the commodity rate increases. </t>
  </si>
  <si>
    <t xml:space="preserve">(Sheet 1 of 1)</t>
  </si>
  <si>
    <t xml:space="preserve">Small Commercial Rates</t>
  </si>
  <si>
    <t xml:space="preserve">SMALL COMMERCIAL INPUTS</t>
  </si>
  <si>
    <t xml:space="preserve">Average Small Commercial Rate Increase (cents/kWh)</t>
  </si>
  <si>
    <t xml:space="preserve">Additional Small Commercial Revenues ($ MM)</t>
  </si>
  <si>
    <t xml:space="preserve">Small Commercial Inputs</t>
  </si>
  <si>
    <t xml:space="preserve">Summer</t>
  </si>
  <si>
    <t xml:space="preserve">Winter</t>
  </si>
  <si>
    <t xml:space="preserve">Seasonal Split of Revenue Increase - Schedule A  </t>
  </si>
  <si>
    <t xml:space="preserve">3/01/01   Total Rate (cents/kWh)</t>
  </si>
  <si>
    <t xml:space="preserve">Revenue Increase      ($ MM)</t>
  </si>
  <si>
    <t xml:space="preserve">Schedule A</t>
  </si>
  <si>
    <t xml:space="preserve">Revenue Increase</t>
  </si>
  <si>
    <t xml:space="preserve">Rate Increase</t>
  </si>
  <si>
    <t xml:space="preserve">Seasonal Split-70% Summer and 30% Winter</t>
  </si>
  <si>
    <t xml:space="preserve">Fixed Charges - Basic Service Fees</t>
  </si>
  <si>
    <t xml:space="preserve">Total Usage (GWh)</t>
  </si>
  <si>
    <t xml:space="preserve">   - Summer Usage (GWh)</t>
  </si>
  <si>
    <t xml:space="preserve">Summer Secondary</t>
  </si>
  <si>
    <t xml:space="preserve">   - Winter Usage (GWh)</t>
  </si>
  <si>
    <t xml:space="preserve">Summer Primary</t>
  </si>
  <si>
    <t xml:space="preserve">Winter Secondary</t>
  </si>
  <si>
    <t xml:space="preserve">Winter Primary</t>
  </si>
  <si>
    <t xml:space="preserve">Total for Schedule A</t>
  </si>
  <si>
    <t xml:space="preserve">Schedule A-TC</t>
  </si>
  <si>
    <t xml:space="preserve">Total for Schedule A-TC</t>
  </si>
  <si>
    <t xml:space="preserve">SMALL COMMERCIAL TOTAL</t>
  </si>
  <si>
    <t xml:space="preserve">(2) - The total rate columns do not reflect Fixed Charges.</t>
  </si>
  <si>
    <t xml:space="preserve">(3) - 2001 Annual Sales Forecast reflects the exclusion of Direct Access (DA) sales equal to 1.4% of total small commercial sales, which is based on the  </t>
  </si>
  <si>
    <t xml:space="preserve">Medium/Large Commercial Rates (AB265 CUSTOMERS)</t>
  </si>
  <si>
    <t xml:space="preserve">MEDIUM/LARGE COMMERCIAL (AB265) INPUTS</t>
  </si>
  <si>
    <t xml:space="preserve">Average Medium/Large Commercial (AB265) Rate Increase (cents/kWh)</t>
  </si>
  <si>
    <t xml:space="preserve">Additional Medium/Large Commercial (AB265) Revenues that Result ($ MM)</t>
  </si>
  <si>
    <t xml:space="preserve">Medium/Large Commercial (AB265) TOU Commodity Price Increases</t>
  </si>
  <si>
    <t xml:space="preserve">-  On-Peak Commodity Price (cents/kWh)</t>
  </si>
  <si>
    <t xml:space="preserve">-  Semi-Peak Commodity Price (cents/kWh)</t>
  </si>
  <si>
    <t xml:space="preserve">-  Off-Peak Commodity Price (cent/kWh)</t>
  </si>
  <si>
    <t xml:space="preserve">Medium/Large Commercial (AB265) TOU Commodity Price Differentials</t>
  </si>
  <si>
    <t xml:space="preserve">-  On-Peak to Off-Peak Commodity Differential</t>
  </si>
  <si>
    <t xml:space="preserve">-  Semi-Peak to Off-Peak Commodity Differential</t>
  </si>
  <si>
    <t xml:space="preserve">3/01/01    Total Rate (cents/kWh)</t>
  </si>
  <si>
    <t xml:space="preserve">Schedule AD</t>
  </si>
  <si>
    <t xml:space="preserve">Fixed Charges</t>
  </si>
  <si>
    <t xml:space="preserve">Basic Service Fees</t>
  </si>
  <si>
    <t xml:space="preserve">Demand Charges-Secondary</t>
  </si>
  <si>
    <t xml:space="preserve">Demand Charges-Primary</t>
  </si>
  <si>
    <t xml:space="preserve">Secondary</t>
  </si>
  <si>
    <t xml:space="preserve">Primary</t>
  </si>
  <si>
    <t xml:space="preserve">Total for Schedule AD</t>
  </si>
  <si>
    <t xml:space="preserve">Schedule A-TOU</t>
  </si>
  <si>
    <t xml:space="preserve">Fixed Charges-Basic Service Fees</t>
  </si>
  <si>
    <t xml:space="preserve">  On-Peak Energy: Winter</t>
  </si>
  <si>
    <t xml:space="preserve"> Semi-Peak</t>
  </si>
  <si>
    <t xml:space="preserve">Off-Peak</t>
  </si>
  <si>
    <t xml:space="preserve">Total A-TOU</t>
  </si>
  <si>
    <t xml:space="preserve">Schedules AL-TOU/AO-TOU/NJ</t>
  </si>
  <si>
    <t xml:space="preserve">Capped Sales</t>
  </si>
  <si>
    <t xml:space="preserve">($/kWh)</t>
  </si>
  <si>
    <t xml:space="preserve">     On-Peak</t>
  </si>
  <si>
    <t xml:space="preserve">     Semi-Peak</t>
  </si>
  <si>
    <t xml:space="preserve">     Off-Peak</t>
  </si>
  <si>
    <t xml:space="preserve">Secondary Substation</t>
  </si>
  <si>
    <t xml:space="preserve">Primary Substation</t>
  </si>
  <si>
    <t xml:space="preserve">Transmission</t>
  </si>
  <si>
    <t xml:space="preserve">Demand Charges</t>
  </si>
  <si>
    <t xml:space="preserve">     On-Peak Summer</t>
  </si>
  <si>
    <t xml:space="preserve">3/01/01      Total Rate (cents/kWh)</t>
  </si>
  <si>
    <t xml:space="preserve">Schedules AL-TOU/AO-TOU/NJ (Conti.)</t>
  </si>
  <si>
    <t xml:space="preserve">    Semi-Peak Summer</t>
  </si>
  <si>
    <t xml:space="preserve">     Off-Peak Summer</t>
  </si>
  <si>
    <t xml:space="preserve">     On-Peak Winter</t>
  </si>
  <si>
    <t xml:space="preserve">    Semi-Peak Winter</t>
  </si>
  <si>
    <t xml:space="preserve">     Off-Peak Winter</t>
  </si>
  <si>
    <t xml:space="preserve">Total Schedule AL-TOU/AO-TOU/NJ</t>
  </si>
  <si>
    <t xml:space="preserve">Schedule AY-TOU</t>
  </si>
  <si>
    <t xml:space="preserve">    Secondary</t>
  </si>
  <si>
    <t xml:space="preserve">    Primary</t>
  </si>
  <si>
    <t xml:space="preserve">    Transmission</t>
  </si>
  <si>
    <t xml:space="preserve">  On-Peak Energy</t>
  </si>
  <si>
    <t xml:space="preserve">  Semi-Peak Energy</t>
  </si>
  <si>
    <t xml:space="preserve">  Off-Peak Energy</t>
  </si>
  <si>
    <t xml:space="preserve">Total AY-TOU</t>
  </si>
  <si>
    <t xml:space="preserve">MEDIUM/LARGE COMMERCIAL (AB 265) TOTAL</t>
  </si>
  <si>
    <t xml:space="preserve">(3) - 2001 Annual Sales Forecast reflects the exclusion of Direct Access (DA) sales equal to 15.2% of total medium/large commercial sales, which is</t>
  </si>
  <si>
    <t xml:space="preserve">       based on the projected 12-month DA load found in the April 2001 SDG&amp;E Direct Access Update Report.</t>
  </si>
  <si>
    <t xml:space="preserve">Street Lighting Rates</t>
  </si>
  <si>
    <t xml:space="preserve">STREET LIGHTING INPUTS</t>
  </si>
  <si>
    <t xml:space="preserve">Average Rate Increase for Street Lighting Customers (cents/kWh)</t>
  </si>
  <si>
    <t xml:space="preserve">Additional Street Lighting Revenues that Result ($ MM)</t>
  </si>
  <si>
    <t xml:space="preserve">Revenue Increase     ($ MM)</t>
  </si>
  <si>
    <t xml:space="preserve">Schedule LS-1</t>
  </si>
  <si>
    <t xml:space="preserve">Schedule LS-2</t>
  </si>
  <si>
    <t xml:space="preserve">Total for Schedule LS-2</t>
  </si>
  <si>
    <t xml:space="preserve">Schedule LS-3</t>
  </si>
  <si>
    <t xml:space="preserve">Total for Schedule LS-3</t>
  </si>
  <si>
    <t xml:space="preserve">Schedule OL-1</t>
  </si>
  <si>
    <t xml:space="preserve">Total for Schedule OL-1</t>
  </si>
  <si>
    <t xml:space="preserve">Schedule DWL</t>
  </si>
  <si>
    <t xml:space="preserve">Total for Schedule DWL</t>
  </si>
  <si>
    <t xml:space="preserve">STREET LIGHTING TOTAL</t>
  </si>
  <si>
    <t xml:space="preserve">SMALL CUSTOMER TOTAL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</si>
</sst>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General_)"/>
    <numFmt numFmtId="166" formatCode="0.0"/>
    <numFmt numFmtId="167" formatCode="\$#,##0.00_);[RED]&quot;($&quot;#,##0.00\)"/>
    <numFmt numFmtId="168" formatCode="_(* #,##0.00_);_(* \(#,##0.00\);_(* \-??_);_(@_)"/>
    <numFmt numFmtId="169" formatCode="\$#,##0.0_);[RED]&quot;($&quot;#,##0.0\)"/>
    <numFmt numFmtId="170" formatCode="\$#,##0.0"/>
    <numFmt numFmtId="171" formatCode="[$-409]#,##0.00_);[RED]\(#,##0.00\)"/>
    <numFmt numFmtId="172" formatCode="\$#,##0.00"/>
    <numFmt numFmtId="173" formatCode="[$-409]#,##0.00_);\(#,##0.00\)"/>
    <numFmt numFmtId="174" formatCode="0%"/>
    <numFmt numFmtId="175" formatCode="_(\$* #,##0.00_);_(\$* \(#,##0.00\);_(\$* \-??_);_(@_)"/>
    <numFmt numFmtId="176" formatCode="_(* #,##0.00000_);_(* \(#,##0.00000\);_(* \-??_);_(@_)"/>
    <numFmt numFmtId="177" formatCode="_(* #,##0.0_);_(* \(#,##0.0\);_(* \-??_);_(@_)"/>
    <numFmt numFmtId="178" formatCode="0.00"/>
    <numFmt numFmtId="179" formatCode="0.00000"/>
    <numFmt numFmtId="180" formatCode="0"/>
    <numFmt numFmtId="181" formatCode="[$-409]#,##0_);[RED]\(#,##0\)"/>
    <numFmt numFmtId="182" formatCode="0.000000"/>
    <numFmt numFmtId="183" formatCode="#,##0.0"/>
    <numFmt numFmtId="184" formatCode="_(* #,##0.000_);_(* \(#,##0.000\);_(* \-??_);_(@_)"/>
    <numFmt numFmtId="185" formatCode="_(\$* #,##0_);_(\$* \(#,##0\);_(\$* \-??_);_(@_)"/>
    <numFmt numFmtId="186" formatCode="#,##0.0_);[RED]\(#,##0.0\)"/>
    <numFmt numFmtId="187" formatCode="0.0000"/>
    <numFmt numFmtId="188" formatCode="_(* #,##0_);_(* \(#,##0\);_(* \-??_);_(@_)"/>
    <numFmt numFmtId="189" formatCode="\$#,##0.000_);[RED]&quot;($&quot;#,##0.000\)"/>
    <numFmt numFmtId="190" formatCode="\$#,##0.0000_);[RED]&quot;($&quot;#,##0.0000\)"/>
    <numFmt numFmtId="191" formatCode="#,##0.00"/>
    <numFmt numFmtId="19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</cellStyleXfs>
  <cellXfs count="2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6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24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24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4" fontId="9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3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1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9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9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2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2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dison Tiered Ratesmud" xfId="20"/>
    <cellStyle name="Normal_RDSL-(Combined 1-01-01 filling)" xfId="21"/>
    <cellStyle name="Normal_SDGE Tiered ratesmud" xfId="22"/>
    <cellStyle name="Normal_Tiered UDC Rate Model_equal_cents" xfId="23"/>
    <cellStyle name="Normal_Total RRQ including ICIP" xfId="24"/>
    <cellStyle name="Normal_TRAlloc 98 sales, 96 MC's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9" min="9" style="1" width="2.13"/>
    <col collapsed="false" customWidth="true" hidden="false" outlineLevel="0" max="10" min="10" style="1" width="3.99"/>
    <col collapsed="false" customWidth="false" hidden="false" outlineLevel="0" max="12" min="11" style="1" width="2.13"/>
    <col collapsed="false" customWidth="true" hidden="false" outlineLevel="0" max="13" min="13" style="1" width="41.42"/>
    <col collapsed="false" customWidth="true" hidden="false" outlineLevel="0" max="14" min="14" style="1" width="26.84"/>
    <col collapsed="false" customWidth="false" hidden="false" outlineLevel="0" max="16" min="15" style="1" width="2.13"/>
    <col collapsed="false" customWidth="true" hidden="false" outlineLevel="0" max="17" min="17" style="1" width="11.42"/>
    <col collapsed="false" customWidth="false" hidden="false" outlineLevel="0" max="18" min="18" style="1" width="2.13"/>
    <col collapsed="false" customWidth="true" hidden="false" outlineLevel="0" max="19" min="19" style="1" width="18.41"/>
    <col collapsed="false" customWidth="false" hidden="false" outlineLevel="0" max="257" min="20" style="1" width="2.13"/>
  </cols>
  <sheetData>
    <row r="1" customFormat="false" ht="12.75" hidden="false" customHeight="false" outlineLevel="0" collapsed="false">
      <c r="H1" s="2" t="s">
        <v>0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1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5" t="s">
        <v>3</v>
      </c>
      <c r="H4" s="5"/>
    </row>
    <row r="5" customFormat="false" ht="12.75" hidden="false" customHeight="false" outlineLevel="0" collapsed="false">
      <c r="A5" s="6" t="s">
        <v>4</v>
      </c>
      <c r="B5" s="7"/>
      <c r="C5" s="8"/>
      <c r="D5" s="9"/>
      <c r="G5" s="10" t="s">
        <v>5</v>
      </c>
      <c r="H5" s="10"/>
    </row>
    <row r="6" customFormat="false" ht="12.75" hidden="false" customHeight="false" outlineLevel="0" collapsed="false">
      <c r="A6" s="11"/>
      <c r="B6" s="12"/>
      <c r="C6" s="13"/>
      <c r="E6" s="14"/>
      <c r="F6" s="14"/>
      <c r="G6" s="15" t="s">
        <v>6</v>
      </c>
      <c r="H6" s="15"/>
    </row>
    <row r="7" customFormat="false" ht="12.75" hidden="false" customHeight="false" outlineLevel="0" collapsed="false">
      <c r="A7" s="11" t="s">
        <v>7</v>
      </c>
      <c r="B7" s="12"/>
      <c r="C7" s="16" t="n">
        <f aca="false">G163-C163</f>
        <v>2.70859776731</v>
      </c>
      <c r="E7" s="17"/>
      <c r="F7" s="17"/>
      <c r="G7" s="18"/>
      <c r="H7" s="19"/>
    </row>
    <row r="8" customFormat="false" ht="12.75" hidden="false" customHeight="false" outlineLevel="0" collapsed="false">
      <c r="A8" s="11"/>
      <c r="B8" s="12"/>
      <c r="C8" s="20"/>
      <c r="E8" s="17"/>
      <c r="F8" s="17"/>
      <c r="G8" s="21" t="n">
        <f aca="false">'Street Lighting'!G62-'Street Lighting'!C62</f>
        <v>2.75159775101589</v>
      </c>
      <c r="H8" s="21"/>
    </row>
    <row r="9" customFormat="false" ht="13.5" hidden="false" customHeight="false" outlineLevel="0" collapsed="false">
      <c r="A9" s="22" t="s">
        <v>8</v>
      </c>
      <c r="B9" s="23"/>
      <c r="C9" s="24" t="n">
        <f aca="false">E163</f>
        <v>174.68649359637</v>
      </c>
      <c r="E9" s="17"/>
      <c r="F9" s="17"/>
      <c r="G9" s="25"/>
      <c r="H9" s="26"/>
    </row>
    <row r="10" customFormat="false" ht="12.75" hidden="false" customHeight="false" outlineLevel="0" collapsed="false">
      <c r="A10" s="27"/>
      <c r="B10" s="28"/>
      <c r="C10" s="29"/>
      <c r="E10" s="17"/>
      <c r="F10" s="17"/>
      <c r="G10" s="12"/>
      <c r="H10" s="30"/>
    </row>
    <row r="11" customFormat="false" ht="12.75" hidden="false" customHeight="false" outlineLevel="0" collapsed="false">
      <c r="A11" s="31" t="s">
        <v>9</v>
      </c>
      <c r="B11" s="32" t="s">
        <v>10</v>
      </c>
      <c r="C11" s="33" t="s">
        <v>11</v>
      </c>
      <c r="E11" s="17"/>
      <c r="F11" s="17"/>
      <c r="G11" s="12"/>
      <c r="H11" s="30"/>
    </row>
    <row r="12" customFormat="false" ht="12.75" hidden="false" customHeight="false" outlineLevel="0" collapsed="false">
      <c r="A12" s="31"/>
      <c r="B12" s="12"/>
      <c r="C12" s="20"/>
      <c r="E12" s="17"/>
      <c r="F12" s="17"/>
      <c r="G12" s="12"/>
      <c r="H12" s="30"/>
    </row>
    <row r="13" customFormat="false" ht="12.75" hidden="false" customHeight="false" outlineLevel="0" collapsed="false">
      <c r="A13" s="34" t="s">
        <v>12</v>
      </c>
      <c r="B13" s="12"/>
      <c r="C13" s="20"/>
      <c r="E13" s="17"/>
      <c r="F13" s="17"/>
      <c r="G13" s="12"/>
      <c r="H13" s="30"/>
    </row>
    <row r="14" customFormat="false" ht="12.75" hidden="false" customHeight="false" outlineLevel="0" collapsed="false">
      <c r="A14" s="34" t="s">
        <v>13</v>
      </c>
      <c r="B14" s="35" t="n">
        <f aca="false">6.5+(G34-C34)</f>
        <v>6.5</v>
      </c>
      <c r="C14" s="36" t="n">
        <f aca="false">6.5+(G51-C51)</f>
        <v>6.5</v>
      </c>
      <c r="E14" s="17"/>
      <c r="F14" s="17"/>
      <c r="G14" s="12"/>
      <c r="H14" s="30"/>
    </row>
    <row r="15" customFormat="false" ht="12.75" hidden="false" customHeight="false" outlineLevel="0" collapsed="false">
      <c r="A15" s="34" t="s">
        <v>14</v>
      </c>
      <c r="B15" s="35" t="n">
        <f aca="false">6.5+(G35-C35)</f>
        <v>6.5</v>
      </c>
      <c r="C15" s="36" t="n">
        <f aca="false">6.5+(G52-C52)</f>
        <v>6.5</v>
      </c>
      <c r="E15" s="17"/>
      <c r="F15" s="17"/>
      <c r="G15" s="12"/>
      <c r="H15" s="30"/>
    </row>
    <row r="16" customFormat="false" ht="12.75" hidden="false" customHeight="false" outlineLevel="0" collapsed="false">
      <c r="A16" s="34" t="s">
        <v>15</v>
      </c>
      <c r="B16" s="35" t="n">
        <f aca="false">6.5+(G36-C36)</f>
        <v>10.2931782213505</v>
      </c>
      <c r="C16" s="36" t="n">
        <f aca="false">6.5+(G53-C53)</f>
        <v>6.5</v>
      </c>
      <c r="E16" s="17"/>
      <c r="F16" s="17"/>
      <c r="G16" s="12"/>
      <c r="H16" s="30"/>
    </row>
    <row r="17" customFormat="false" ht="12.75" hidden="false" customHeight="false" outlineLevel="0" collapsed="false">
      <c r="A17" s="34" t="s">
        <v>16</v>
      </c>
      <c r="B17" s="35" t="n">
        <f aca="false">6.5+(G37-C37)</f>
        <v>14.0877718251366</v>
      </c>
      <c r="C17" s="36" t="n">
        <f aca="false">6.5+(G54-C54)</f>
        <v>6.5</v>
      </c>
      <c r="E17" s="17"/>
      <c r="F17" s="17"/>
      <c r="G17" s="12"/>
      <c r="H17" s="30"/>
    </row>
    <row r="18" customFormat="false" ht="12.75" hidden="false" customHeight="false" outlineLevel="0" collapsed="false">
      <c r="A18" s="34" t="s">
        <v>17</v>
      </c>
      <c r="B18" s="35" t="n">
        <f aca="false">6.5+(G38-C38)</f>
        <v>17.8882235281095</v>
      </c>
      <c r="C18" s="36" t="n">
        <f aca="false">6.5+(G55-C55)</f>
        <v>6.5</v>
      </c>
      <c r="E18" s="17"/>
      <c r="F18" s="17"/>
      <c r="G18" s="12"/>
      <c r="H18" s="30"/>
    </row>
    <row r="19" customFormat="false" ht="12.75" hidden="false" customHeight="false" outlineLevel="0" collapsed="false">
      <c r="A19" s="11"/>
      <c r="B19" s="12"/>
      <c r="C19" s="37"/>
      <c r="E19" s="17"/>
      <c r="F19" s="17"/>
      <c r="G19" s="12"/>
      <c r="H19" s="30"/>
    </row>
    <row r="20" customFormat="false" ht="12.75" hidden="false" customHeight="false" outlineLevel="0" collapsed="false">
      <c r="A20" s="34" t="s">
        <v>18</v>
      </c>
      <c r="B20" s="12"/>
      <c r="C20" s="20"/>
      <c r="E20" s="17"/>
      <c r="F20" s="17"/>
      <c r="G20" s="12"/>
      <c r="H20" s="30"/>
    </row>
    <row r="21" customFormat="false" ht="12.75" hidden="false" customHeight="false" outlineLevel="0" collapsed="false">
      <c r="A21" s="34" t="s">
        <v>19</v>
      </c>
      <c r="B21" s="38" t="n">
        <f aca="false">(B34+B42)/$B$49</f>
        <v>0.479999999999999</v>
      </c>
      <c r="C21" s="39" t="n">
        <f aca="false">(B51+B58)/$B$65</f>
        <v>0.7</v>
      </c>
      <c r="E21" s="17"/>
      <c r="F21" s="17"/>
      <c r="G21" s="12"/>
      <c r="H21" s="30"/>
    </row>
    <row r="22" customFormat="false" ht="12.75" hidden="false" customHeight="false" outlineLevel="0" collapsed="false">
      <c r="A22" s="34" t="s">
        <v>20</v>
      </c>
      <c r="B22" s="38" t="n">
        <f aca="false">(B35+B43)/$B$49</f>
        <v>0.11</v>
      </c>
      <c r="C22" s="39" t="n">
        <f aca="false">(B52+B59)/$B$65</f>
        <v>0.11</v>
      </c>
      <c r="E22" s="17"/>
      <c r="F22" s="17"/>
      <c r="G22" s="12"/>
      <c r="H22" s="30"/>
    </row>
    <row r="23" customFormat="false" ht="12.75" hidden="false" customHeight="false" outlineLevel="0" collapsed="false">
      <c r="A23" s="34" t="s">
        <v>21</v>
      </c>
      <c r="B23" s="38" t="n">
        <f aca="false">(B36+B44)/$B$49</f>
        <v>0.17</v>
      </c>
      <c r="C23" s="39" t="n">
        <f aca="false">(B53+B60)/$B$65</f>
        <v>0.12</v>
      </c>
      <c r="E23" s="17"/>
      <c r="F23" s="17"/>
      <c r="G23" s="12"/>
      <c r="H23" s="30"/>
    </row>
    <row r="24" customFormat="false" ht="12.75" hidden="false" customHeight="false" outlineLevel="0" collapsed="false">
      <c r="A24" s="34" t="s">
        <v>22</v>
      </c>
      <c r="B24" s="38" t="n">
        <f aca="false">(B37+B45)/$B$49</f>
        <v>0.12</v>
      </c>
      <c r="C24" s="39" t="n">
        <f aca="false">(B54+B61)/$B$65</f>
        <v>0.05</v>
      </c>
      <c r="E24" s="17"/>
      <c r="F24" s="17"/>
      <c r="G24" s="12"/>
      <c r="H24" s="30"/>
    </row>
    <row r="25" customFormat="false" ht="13.5" hidden="false" customHeight="false" outlineLevel="0" collapsed="false">
      <c r="A25" s="40" t="s">
        <v>23</v>
      </c>
      <c r="B25" s="41" t="n">
        <f aca="false">(B38+B46)/$B$49</f>
        <v>0.12</v>
      </c>
      <c r="C25" s="42" t="n">
        <f aca="false">(B55+B62)/$B$65</f>
        <v>0.02</v>
      </c>
      <c r="E25" s="17"/>
      <c r="F25" s="17"/>
      <c r="G25" s="12"/>
      <c r="H25" s="30"/>
    </row>
    <row r="26" customFormat="false" ht="13.5" hidden="false" customHeight="false" outlineLevel="0" collapsed="false">
      <c r="A26" s="43"/>
      <c r="B26" s="44"/>
      <c r="C26" s="44"/>
      <c r="D26" s="44"/>
      <c r="E26" s="44"/>
      <c r="F26" s="44"/>
      <c r="G26" s="44"/>
      <c r="H26" s="44"/>
    </row>
    <row r="27" customFormat="false" ht="64.5" hidden="false" customHeight="false" outlineLevel="0" collapsed="false">
      <c r="A27" s="45" t="s">
        <v>24</v>
      </c>
      <c r="B27" s="46" t="s">
        <v>25</v>
      </c>
      <c r="C27" s="46" t="s">
        <v>26</v>
      </c>
      <c r="D27" s="46" t="s">
        <v>27</v>
      </c>
      <c r="E27" s="46" t="s">
        <v>28</v>
      </c>
      <c r="F27" s="46" t="s">
        <v>29</v>
      </c>
      <c r="G27" s="46" t="s">
        <v>30</v>
      </c>
      <c r="H27" s="47" t="s">
        <v>31</v>
      </c>
    </row>
    <row r="28" customFormat="false" ht="12.75" hidden="false" customHeight="false" outlineLevel="0" collapsed="false">
      <c r="A28" s="48"/>
      <c r="B28" s="49"/>
      <c r="C28" s="49"/>
      <c r="D28" s="49"/>
      <c r="E28" s="49"/>
      <c r="F28" s="49"/>
      <c r="G28" s="49"/>
      <c r="H28" s="50"/>
      <c r="O28" s="51"/>
    </row>
    <row r="29" customFormat="false" ht="12.75" hidden="false" customHeight="false" outlineLevel="0" collapsed="false">
      <c r="A29" s="52" t="s">
        <v>32</v>
      </c>
      <c r="B29" s="52"/>
      <c r="C29" s="52"/>
      <c r="D29" s="52"/>
      <c r="E29" s="52"/>
      <c r="F29" s="52"/>
      <c r="G29" s="52"/>
      <c r="H29" s="52"/>
    </row>
    <row r="30" customFormat="false" ht="12.75" hidden="false" customHeight="false" outlineLevel="0" collapsed="false">
      <c r="A30" s="52"/>
      <c r="B30" s="52"/>
      <c r="C30" s="52"/>
      <c r="D30" s="52"/>
      <c r="E30" s="52"/>
      <c r="F30" s="52"/>
      <c r="G30" s="52"/>
      <c r="H30" s="52"/>
      <c r="M30" s="53" t="s">
        <v>33</v>
      </c>
      <c r="N30" s="51" t="n">
        <f aca="false">0.0277*B67</f>
        <v>177.182994766723</v>
      </c>
    </row>
    <row r="31" customFormat="false" ht="12.75" hidden="false" customHeight="false" outlineLevel="0" collapsed="false">
      <c r="A31" s="54" t="s">
        <v>34</v>
      </c>
      <c r="B31" s="52"/>
      <c r="C31" s="52"/>
      <c r="D31" s="52"/>
      <c r="E31" s="52"/>
      <c r="F31" s="52"/>
      <c r="G31" s="52"/>
      <c r="H31" s="52"/>
      <c r="N31" s="55"/>
      <c r="O31" s="55"/>
      <c r="Q31" s="56" t="s">
        <v>35</v>
      </c>
      <c r="S31" s="1" t="s">
        <v>36</v>
      </c>
    </row>
    <row r="32" customFormat="false" ht="12.75" hidden="false" customHeight="false" outlineLevel="0" collapsed="false">
      <c r="A32" s="57" t="s">
        <v>37</v>
      </c>
      <c r="B32" s="52"/>
      <c r="C32" s="52"/>
      <c r="D32" s="52"/>
      <c r="E32" s="52"/>
      <c r="F32" s="52"/>
      <c r="G32" s="52"/>
      <c r="H32" s="52"/>
      <c r="M32" s="53"/>
      <c r="N32" s="58" t="s">
        <v>38</v>
      </c>
      <c r="Q32" s="59" t="s">
        <v>6</v>
      </c>
      <c r="S32" s="59" t="s">
        <v>6</v>
      </c>
    </row>
    <row r="33" customFormat="false" ht="12.75" hidden="false" customHeight="false" outlineLevel="0" collapsed="false">
      <c r="A33" s="60" t="s">
        <v>39</v>
      </c>
      <c r="B33" s="52"/>
      <c r="C33" s="52"/>
      <c r="D33" s="52"/>
      <c r="E33" s="52"/>
      <c r="F33" s="52"/>
      <c r="G33" s="52"/>
      <c r="H33" s="52"/>
      <c r="M33" s="53" t="s">
        <v>40</v>
      </c>
      <c r="N33" s="61" t="n">
        <v>0.2254</v>
      </c>
      <c r="Q33" s="62" t="n">
        <f aca="false">(N33*N30)/(B36+B53+B44+B60)</f>
        <v>0.0375367533464728</v>
      </c>
      <c r="S33" s="62" t="n">
        <f aca="false">Q33+$N$56</f>
        <v>0.0379215232055767</v>
      </c>
    </row>
    <row r="34" customFormat="false" ht="12.75" hidden="false" customHeight="false" outlineLevel="0" collapsed="false">
      <c r="A34" s="63" t="s">
        <v>41</v>
      </c>
      <c r="B34" s="64" t="n">
        <v>1479.45606991303</v>
      </c>
      <c r="C34" s="65" t="n">
        <f aca="false">6.326+6.5</f>
        <v>12.826</v>
      </c>
      <c r="D34" s="66" t="n">
        <f aca="false">C34*B34/100</f>
        <v>189.755035527045</v>
      </c>
      <c r="E34" s="67" t="n">
        <f aca="false">0*B34</f>
        <v>0</v>
      </c>
      <c r="F34" s="67" t="n">
        <f aca="false">D34+E34</f>
        <v>189.755035527045</v>
      </c>
      <c r="G34" s="65" t="n">
        <f aca="false">F34/B34*100</f>
        <v>12.826</v>
      </c>
      <c r="H34" s="52"/>
      <c r="M34" s="2" t="s">
        <v>42</v>
      </c>
      <c r="N34" s="38" t="n">
        <f aca="false">B36/(B36+B44)*N33</f>
        <v>0.117208</v>
      </c>
      <c r="Q34" s="62" t="n">
        <f aca="false">(N34*N30)/(B36+B53)</f>
        <v>0.0375470123544009</v>
      </c>
      <c r="S34" s="62" t="n">
        <f aca="false">Q34+$N$56</f>
        <v>0.0379317822135048</v>
      </c>
    </row>
    <row r="35" customFormat="false" ht="12.75" hidden="false" customHeight="false" outlineLevel="0" collapsed="false">
      <c r="A35" s="63" t="s">
        <v>43</v>
      </c>
      <c r="B35" s="64" t="n">
        <v>339.042016021738</v>
      </c>
      <c r="C35" s="65" t="n">
        <f aca="false">8.781+6.5</f>
        <v>15.281</v>
      </c>
      <c r="D35" s="66" t="n">
        <f aca="false">C35*B35/100</f>
        <v>51.8090104682817</v>
      </c>
      <c r="E35" s="67" t="n">
        <f aca="false">0*B35</f>
        <v>0</v>
      </c>
      <c r="F35" s="67" t="n">
        <f aca="false">D35+E35</f>
        <v>51.8090104682817</v>
      </c>
      <c r="G35" s="65" t="n">
        <f aca="false">F35/B35*100</f>
        <v>15.281</v>
      </c>
      <c r="H35" s="52"/>
      <c r="M35" s="2" t="s">
        <v>44</v>
      </c>
      <c r="N35" s="38" t="n">
        <f aca="false">B44/(B36+B44)*N33</f>
        <v>0.108192</v>
      </c>
      <c r="Q35" s="62" t="n">
        <f aca="false">(N35*N30)/(B44+B60)</f>
        <v>0.0375256457457389</v>
      </c>
      <c r="S35" s="62" t="n">
        <f aca="false">Q35+$N$56</f>
        <v>0.0379104156048428</v>
      </c>
    </row>
    <row r="36" customFormat="false" ht="12.75" hidden="false" customHeight="false" outlineLevel="0" collapsed="false">
      <c r="A36" s="68" t="s">
        <v>45</v>
      </c>
      <c r="B36" s="64" t="n">
        <v>523.974024760867</v>
      </c>
      <c r="C36" s="65" t="n">
        <f aca="false">C35</f>
        <v>15.281</v>
      </c>
      <c r="D36" s="66" t="n">
        <f aca="false">C36*B36/100</f>
        <v>80.0684707237081</v>
      </c>
      <c r="E36" s="67" t="n">
        <f aca="false">S34*B36</f>
        <v>19.8752685927628</v>
      </c>
      <c r="F36" s="67" t="n">
        <f aca="false">D36+E36</f>
        <v>99.9437393164709</v>
      </c>
      <c r="G36" s="65" t="n">
        <f aca="false">F36/B36*100</f>
        <v>19.0741782213505</v>
      </c>
      <c r="H36" s="69"/>
      <c r="M36" s="2" t="s">
        <v>46</v>
      </c>
      <c r="N36" s="61" t="n">
        <v>0.313</v>
      </c>
      <c r="Q36" s="62" t="n">
        <f aca="false">(N36*$N$30)/(B37+B54+B45+B61)</f>
        <v>0.0754805028799781</v>
      </c>
      <c r="S36" s="62" t="n">
        <f aca="false">Q36+$N$56</f>
        <v>0.075865272739082</v>
      </c>
    </row>
    <row r="37" customFormat="false" ht="12.75" hidden="false" customHeight="false" outlineLevel="0" collapsed="false">
      <c r="A37" s="68" t="s">
        <v>47</v>
      </c>
      <c r="B37" s="64" t="n">
        <v>369.864017478259</v>
      </c>
      <c r="C37" s="65" t="n">
        <f aca="false">C35</f>
        <v>15.281</v>
      </c>
      <c r="D37" s="66" t="n">
        <f aca="false">C37*B37/100</f>
        <v>56.5189205108527</v>
      </c>
      <c r="E37" s="67" t="n">
        <f aca="false">S37*B37</f>
        <v>28.0644377095336</v>
      </c>
      <c r="F37" s="67" t="n">
        <f aca="false">D37+E37</f>
        <v>84.5833582203864</v>
      </c>
      <c r="G37" s="65" t="n">
        <f aca="false">F37/B37*100</f>
        <v>22.8687718251366</v>
      </c>
      <c r="H37" s="69"/>
      <c r="M37" s="2" t="s">
        <v>42</v>
      </c>
      <c r="N37" s="38" t="n">
        <f aca="false">B37/(B37+B45)*N36</f>
        <v>0.16276</v>
      </c>
      <c r="Q37" s="62" t="n">
        <f aca="false">(N37*$N$30)/(B37+B54)</f>
        <v>0.0754929483922621</v>
      </c>
      <c r="S37" s="62" t="n">
        <f aca="false">Q37+$N$56</f>
        <v>0.075877718251366</v>
      </c>
    </row>
    <row r="38" customFormat="false" ht="12.75" hidden="false" customHeight="false" outlineLevel="0" collapsed="false">
      <c r="A38" s="68" t="s">
        <v>48</v>
      </c>
      <c r="B38" s="64" t="n">
        <v>369.864017478259</v>
      </c>
      <c r="C38" s="65" t="n">
        <f aca="false">C36</f>
        <v>15.281</v>
      </c>
      <c r="D38" s="66" t="n">
        <f aca="false">C38*B38/100</f>
        <v>56.5189205108527</v>
      </c>
      <c r="E38" s="67" t="n">
        <f aca="false">S40*B38</f>
        <v>42.1209410604701</v>
      </c>
      <c r="F38" s="67" t="n">
        <f aca="false">D38+E38</f>
        <v>98.6398615713228</v>
      </c>
      <c r="G38" s="65" t="n">
        <f aca="false">F38/B38*100</f>
        <v>26.6692235281095</v>
      </c>
      <c r="H38" s="69"/>
      <c r="M38" s="2" t="s">
        <v>44</v>
      </c>
      <c r="N38" s="38" t="n">
        <f aca="false">B45/(B37+B45)*N36</f>
        <v>0.15024</v>
      </c>
      <c r="Q38" s="62" t="n">
        <f aca="false">(N38*$N$30)/(B45+B61)</f>
        <v>0.0754670248714731</v>
      </c>
      <c r="S38" s="62" t="n">
        <f aca="false">Q38+$N$56</f>
        <v>0.075851794730577</v>
      </c>
    </row>
    <row r="39" customFormat="false" ht="12.75" hidden="false" customHeight="false" outlineLevel="0" collapsed="false">
      <c r="A39" s="68" t="s">
        <v>49</v>
      </c>
      <c r="B39" s="64" t="n">
        <v>2.65014533266585</v>
      </c>
      <c r="C39" s="70" t="s">
        <v>50</v>
      </c>
      <c r="D39" s="71" t="n">
        <v>0.180106057120244</v>
      </c>
      <c r="E39" s="71" t="s">
        <v>50</v>
      </c>
      <c r="F39" s="71" t="n">
        <f aca="false">D39</f>
        <v>0.180106057120244</v>
      </c>
      <c r="G39" s="70" t="s">
        <v>50</v>
      </c>
      <c r="H39" s="69"/>
      <c r="M39" s="2" t="s">
        <v>51</v>
      </c>
      <c r="N39" s="72" t="n">
        <f aca="false">100%-(N33+N36)</f>
        <v>0.4616</v>
      </c>
      <c r="Q39" s="62" t="n">
        <f aca="false">(N39*$N$30)/(B38+B55+B46+B62)</f>
        <v>0.113489834917332</v>
      </c>
      <c r="S39" s="62" t="n">
        <f aca="false">Q39+$N$56</f>
        <v>0.113874604776436</v>
      </c>
    </row>
    <row r="40" customFormat="false" ht="12.75" hidden="false" customHeight="false" outlineLevel="0" collapsed="false">
      <c r="B40" s="64"/>
      <c r="C40" s="65"/>
      <c r="D40" s="66"/>
      <c r="E40" s="67"/>
      <c r="F40" s="67"/>
      <c r="G40" s="65"/>
      <c r="H40" s="73"/>
      <c r="M40" s="2" t="s">
        <v>42</v>
      </c>
      <c r="N40" s="38" t="n">
        <f aca="false">B38/(B38+B46)*N39</f>
        <v>0.240032</v>
      </c>
      <c r="Q40" s="62" t="n">
        <f aca="false">(N40*$N$30)/(B38+B55)</f>
        <v>0.113497465421991</v>
      </c>
      <c r="S40" s="62" t="n">
        <f aca="false">Q40+$N$56</f>
        <v>0.113882235281095</v>
      </c>
    </row>
    <row r="41" customFormat="false" ht="12.75" hidden="false" customHeight="false" outlineLevel="0" collapsed="false">
      <c r="A41" s="74" t="s">
        <v>52</v>
      </c>
      <c r="B41" s="64"/>
      <c r="C41" s="75"/>
      <c r="D41" s="76"/>
      <c r="E41" s="67"/>
      <c r="F41" s="67"/>
      <c r="G41" s="65"/>
      <c r="H41" s="73"/>
      <c r="M41" s="2" t="s">
        <v>44</v>
      </c>
      <c r="N41" s="38" t="n">
        <f aca="false">B46/(B38+B46)*N39</f>
        <v>0.221568</v>
      </c>
      <c r="Q41" s="62" t="n">
        <f aca="false">(N41*$N$30)/(B46+B62)</f>
        <v>0.11348156969502</v>
      </c>
      <c r="S41" s="62" t="n">
        <f aca="false">Q41+$N$56</f>
        <v>0.113866339554124</v>
      </c>
    </row>
    <row r="42" customFormat="false" ht="12.75" hidden="false" customHeight="false" outlineLevel="0" collapsed="false">
      <c r="A42" s="63" t="s">
        <v>41</v>
      </c>
      <c r="B42" s="64" t="n">
        <v>1365.6517568428</v>
      </c>
      <c r="C42" s="65" t="n">
        <f aca="false">C34</f>
        <v>12.826</v>
      </c>
      <c r="D42" s="66" t="n">
        <f aca="false">C42*B42/100</f>
        <v>175.158494332658</v>
      </c>
      <c r="E42" s="67" t="n">
        <f aca="false">0*B42</f>
        <v>0</v>
      </c>
      <c r="F42" s="67" t="n">
        <f aca="false">D42+E42</f>
        <v>175.158494332658</v>
      </c>
      <c r="G42" s="65" t="n">
        <f aca="false">F42/B42*100</f>
        <v>12.826</v>
      </c>
      <c r="H42" s="73"/>
    </row>
    <row r="43" customFormat="false" ht="12.75" hidden="false" customHeight="false" outlineLevel="0" collapsed="false">
      <c r="A43" s="63" t="s">
        <v>43</v>
      </c>
      <c r="B43" s="64" t="n">
        <v>312.961860943142</v>
      </c>
      <c r="C43" s="65" t="n">
        <f aca="false">8.069+6.5</f>
        <v>14.569</v>
      </c>
      <c r="D43" s="66" t="n">
        <f aca="false">C43*B43/100</f>
        <v>45.5954135208064</v>
      </c>
      <c r="E43" s="67" t="n">
        <f aca="false">0*B43</f>
        <v>0</v>
      </c>
      <c r="F43" s="67" t="n">
        <f aca="false">D43+E43</f>
        <v>45.5954135208064</v>
      </c>
      <c r="G43" s="65" t="n">
        <f aca="false">F43/B43*100</f>
        <v>14.569</v>
      </c>
      <c r="H43" s="53"/>
    </row>
    <row r="44" customFormat="false" ht="12.75" hidden="false" customHeight="false" outlineLevel="0" collapsed="false">
      <c r="A44" s="68" t="s">
        <v>45</v>
      </c>
      <c r="B44" s="64" t="n">
        <v>483.668330548493</v>
      </c>
      <c r="C44" s="65" t="n">
        <f aca="false">C43</f>
        <v>14.569</v>
      </c>
      <c r="D44" s="66" t="n">
        <f aca="false">C44*B44/100</f>
        <v>70.4656390776099</v>
      </c>
      <c r="E44" s="67" t="n">
        <f aca="false">S35*B44</f>
        <v>18.3360674259939</v>
      </c>
      <c r="F44" s="67" t="n">
        <f aca="false">D44+E44</f>
        <v>88.8017065036037</v>
      </c>
      <c r="G44" s="65" t="n">
        <f aca="false">F44/B44*100</f>
        <v>18.3600415604843</v>
      </c>
      <c r="H44" s="77"/>
      <c r="M44" s="2" t="s">
        <v>53</v>
      </c>
      <c r="S44" s="62"/>
    </row>
    <row r="45" customFormat="false" ht="12.75" hidden="false" customHeight="false" outlineLevel="0" collapsed="false">
      <c r="A45" s="68" t="s">
        <v>47</v>
      </c>
      <c r="B45" s="64" t="n">
        <v>341.412939210701</v>
      </c>
      <c r="C45" s="65" t="n">
        <f aca="false">C43</f>
        <v>14.569</v>
      </c>
      <c r="D45" s="66" t="n">
        <f aca="false">C45*B45/100</f>
        <v>49.740451113607</v>
      </c>
      <c r="E45" s="67" t="n">
        <f aca="false">S38*B45</f>
        <v>25.8967841833731</v>
      </c>
      <c r="F45" s="67" t="n">
        <f aca="false">D45+E45</f>
        <v>75.6372352969801</v>
      </c>
      <c r="G45" s="65" t="n">
        <f aca="false">F45/B45*100</f>
        <v>22.1541794730577</v>
      </c>
      <c r="H45" s="77"/>
      <c r="M45" s="2" t="s">
        <v>40</v>
      </c>
      <c r="S45" s="62"/>
    </row>
    <row r="46" customFormat="false" ht="12.75" hidden="false" customHeight="false" outlineLevel="0" collapsed="false">
      <c r="A46" s="68" t="s">
        <v>48</v>
      </c>
      <c r="B46" s="64" t="n">
        <v>341.412939210701</v>
      </c>
      <c r="C46" s="65" t="n">
        <f aca="false">C44</f>
        <v>14.569</v>
      </c>
      <c r="D46" s="66" t="n">
        <f aca="false">C46*B46/100</f>
        <v>49.740451113607</v>
      </c>
      <c r="E46" s="67" t="n">
        <f aca="false">S41*B46</f>
        <v>38.8754416643372</v>
      </c>
      <c r="F46" s="67" t="n">
        <f aca="false">D46+E46</f>
        <v>88.6158927779443</v>
      </c>
      <c r="G46" s="65" t="n">
        <f aca="false">F46/B46*100</f>
        <v>25.9556339554124</v>
      </c>
      <c r="H46" s="69"/>
      <c r="M46" s="2" t="s">
        <v>42</v>
      </c>
      <c r="N46" s="78" t="n">
        <f aca="false">Q34*Residential!B53</f>
        <v>1.0936052695366</v>
      </c>
      <c r="S46" s="62"/>
    </row>
    <row r="47" customFormat="false" ht="12.75" hidden="false" customHeight="false" outlineLevel="0" collapsed="false">
      <c r="A47" s="68" t="s">
        <v>49</v>
      </c>
      <c r="B47" s="64" t="n">
        <v>2.49776174125415</v>
      </c>
      <c r="C47" s="70" t="s">
        <v>50</v>
      </c>
      <c r="D47" s="71" t="n">
        <v>0.169749942879756</v>
      </c>
      <c r="E47" s="71" t="s">
        <v>50</v>
      </c>
      <c r="F47" s="71" t="n">
        <f aca="false">D47</f>
        <v>0.169749942879756</v>
      </c>
      <c r="G47" s="70" t="s">
        <v>50</v>
      </c>
      <c r="H47" s="53"/>
      <c r="M47" s="2" t="s">
        <v>44</v>
      </c>
      <c r="N47" s="78" t="n">
        <f aca="false">Q35*B60</f>
        <v>1.01981613920559</v>
      </c>
    </row>
    <row r="48" customFormat="false" ht="12.75" hidden="false" customHeight="false" outlineLevel="0" collapsed="false">
      <c r="D48" s="79"/>
      <c r="E48" s="79"/>
      <c r="F48" s="79"/>
      <c r="H48" s="53"/>
      <c r="M48" s="2" t="s">
        <v>46</v>
      </c>
      <c r="N48" s="78"/>
    </row>
    <row r="49" customFormat="false" ht="12.75" hidden="false" customHeight="false" outlineLevel="0" collapsed="false">
      <c r="A49" s="80" t="s">
        <v>54</v>
      </c>
      <c r="B49" s="81" t="n">
        <f aca="false">SUM(B34:B47)-B39-B47</f>
        <v>5927.30797240799</v>
      </c>
      <c r="C49" s="82" t="n">
        <f aca="false">D49/B49*100</f>
        <v>13.9307872434301</v>
      </c>
      <c r="D49" s="82" t="n">
        <f aca="false">SUM(D34:D47)</f>
        <v>825.720662899029</v>
      </c>
      <c r="E49" s="82" t="n">
        <f aca="false">SUM(E34:E47)</f>
        <v>173.168940636471</v>
      </c>
      <c r="F49" s="82" t="n">
        <f aca="false">SUM(F34:F47)</f>
        <v>998.889603535499</v>
      </c>
      <c r="G49" s="83" t="n">
        <f aca="false">F49/B49*100</f>
        <v>16.8523317530555</v>
      </c>
      <c r="H49" s="84" t="n">
        <f aca="false">(G49-C49)/C49</f>
        <v>0.20971855061552</v>
      </c>
      <c r="M49" s="2" t="s">
        <v>42</v>
      </c>
      <c r="N49" s="78" t="n">
        <f aca="false">Q37*Residential!B54</f>
        <v>0.916179044590882</v>
      </c>
    </row>
    <row r="50" customFormat="false" ht="12.75" hidden="false" customHeight="false" outlineLevel="0" collapsed="false">
      <c r="D50" s="79"/>
      <c r="E50" s="79"/>
      <c r="F50" s="79"/>
      <c r="M50" s="2" t="s">
        <v>44</v>
      </c>
      <c r="N50" s="78" t="n">
        <f aca="false">Q38*B61</f>
        <v>0.854554358895748</v>
      </c>
    </row>
    <row r="51" customFormat="false" ht="12.75" hidden="false" customHeight="false" outlineLevel="0" collapsed="false">
      <c r="A51" s="63" t="s">
        <v>55</v>
      </c>
      <c r="B51" s="64" t="n">
        <v>169.903373724731</v>
      </c>
      <c r="C51" s="65" t="n">
        <f aca="false">C34</f>
        <v>12.826</v>
      </c>
      <c r="D51" s="66" t="n">
        <f aca="false">C51*B51/100</f>
        <v>21.791806713934</v>
      </c>
      <c r="E51" s="67" t="n">
        <f aca="false">0*B51</f>
        <v>0</v>
      </c>
      <c r="F51" s="67" t="n">
        <f aca="false">D51+E51</f>
        <v>21.791806713934</v>
      </c>
      <c r="G51" s="65" t="n">
        <f aca="false">F51/B51*100</f>
        <v>12.826</v>
      </c>
      <c r="H51" s="53"/>
      <c r="M51" s="2" t="s">
        <v>51</v>
      </c>
      <c r="N51" s="78"/>
    </row>
    <row r="52" customFormat="false" ht="12.75" hidden="false" customHeight="false" outlineLevel="0" collapsed="false">
      <c r="A52" s="63" t="s">
        <v>56</v>
      </c>
      <c r="B52" s="64" t="n">
        <v>26.6991015853149</v>
      </c>
      <c r="C52" s="65" t="n">
        <f aca="false">C35</f>
        <v>15.281</v>
      </c>
      <c r="D52" s="66" t="n">
        <f aca="false">C52*B52/100</f>
        <v>4.07988971325196</v>
      </c>
      <c r="E52" s="67" t="n">
        <f aca="false">0*B52</f>
        <v>0</v>
      </c>
      <c r="F52" s="67" t="n">
        <f aca="false">D52+E52</f>
        <v>4.07988971325196</v>
      </c>
      <c r="G52" s="65" t="n">
        <f aca="false">F52/B52*100</f>
        <v>15.281</v>
      </c>
      <c r="H52" s="69"/>
      <c r="M52" s="2" t="s">
        <v>42</v>
      </c>
      <c r="N52" s="78" t="n">
        <f aca="false">Q40*Residential!B55</f>
        <v>0.550960065268635</v>
      </c>
    </row>
    <row r="53" customFormat="false" ht="12.75" hidden="false" customHeight="false" outlineLevel="0" collapsed="false">
      <c r="A53" s="68" t="s">
        <v>57</v>
      </c>
      <c r="B53" s="64" t="n">
        <v>29.1262926385252</v>
      </c>
      <c r="C53" s="65" t="n">
        <f aca="false">C36</f>
        <v>15.281</v>
      </c>
      <c r="D53" s="66" t="n">
        <f aca="false">C53*B53/100</f>
        <v>4.45078877809304</v>
      </c>
      <c r="E53" s="67" t="n">
        <f aca="false">0*B53</f>
        <v>0</v>
      </c>
      <c r="F53" s="67" t="n">
        <f aca="false">D53+E53</f>
        <v>4.45078877809304</v>
      </c>
      <c r="G53" s="65" t="n">
        <f aca="false">F53/B53*100</f>
        <v>15.281</v>
      </c>
      <c r="H53" s="53"/>
      <c r="M53" s="2" t="s">
        <v>44</v>
      </c>
      <c r="N53" s="85" t="n">
        <f aca="false">Q41*B62</f>
        <v>0.514005528652391</v>
      </c>
    </row>
    <row r="54" customFormat="false" ht="12.75" hidden="false" customHeight="false" outlineLevel="0" collapsed="false">
      <c r="A54" s="68" t="s">
        <v>47</v>
      </c>
      <c r="B54" s="64" t="n">
        <v>12.1359552660522</v>
      </c>
      <c r="C54" s="65" t="n">
        <f aca="false">C37</f>
        <v>15.281</v>
      </c>
      <c r="D54" s="66" t="n">
        <f aca="false">C54*B54/100</f>
        <v>1.85449532420544</v>
      </c>
      <c r="E54" s="67" t="n">
        <f aca="false">0*B54</f>
        <v>0</v>
      </c>
      <c r="F54" s="67" t="n">
        <f aca="false">D54+E54</f>
        <v>1.85449532420544</v>
      </c>
      <c r="G54" s="65" t="n">
        <f aca="false">F54/B54*100</f>
        <v>15.281</v>
      </c>
      <c r="H54" s="69"/>
      <c r="M54" s="2" t="s">
        <v>58</v>
      </c>
      <c r="N54" s="78" t="n">
        <f aca="false">SUM(N46:N53)</f>
        <v>4.94912040614985</v>
      </c>
    </row>
    <row r="55" customFormat="false" ht="12.75" hidden="false" customHeight="false" outlineLevel="0" collapsed="false">
      <c r="A55" s="68" t="s">
        <v>48</v>
      </c>
      <c r="B55" s="64" t="n">
        <v>4.85438210642087</v>
      </c>
      <c r="C55" s="65" t="n">
        <f aca="false">C38</f>
        <v>15.281</v>
      </c>
      <c r="D55" s="66" t="n">
        <f aca="false">C55*B55/100</f>
        <v>0.741798129682174</v>
      </c>
      <c r="E55" s="67" t="n">
        <f aca="false">0*B55</f>
        <v>0</v>
      </c>
      <c r="F55" s="67" t="n">
        <f aca="false">D55+E55</f>
        <v>0.741798129682174</v>
      </c>
      <c r="G55" s="65" t="n">
        <f aca="false">F55/B55*100</f>
        <v>15.281</v>
      </c>
      <c r="H55" s="69"/>
    </row>
    <row r="56" customFormat="false" ht="12.75" hidden="false" customHeight="false" outlineLevel="0" collapsed="false">
      <c r="A56" s="68" t="s">
        <v>59</v>
      </c>
      <c r="B56" s="64" t="n">
        <v>0.09761383419463</v>
      </c>
      <c r="C56" s="70" t="s">
        <v>50</v>
      </c>
      <c r="D56" s="86" t="n">
        <v>0.00643706593064441</v>
      </c>
      <c r="E56" s="86" t="s">
        <v>50</v>
      </c>
      <c r="F56" s="86" t="n">
        <f aca="false">D56</f>
        <v>0.00643706593064441</v>
      </c>
      <c r="G56" s="70" t="s">
        <v>50</v>
      </c>
      <c r="H56" s="53"/>
      <c r="M56" s="2" t="s">
        <v>60</v>
      </c>
      <c r="N56" s="87" t="n">
        <f aca="false">N54/N60</f>
        <v>0.00038476985910389</v>
      </c>
    </row>
    <row r="57" customFormat="false" ht="12.75" hidden="false" customHeight="false" outlineLevel="0" collapsed="false">
      <c r="B57" s="64"/>
      <c r="C57" s="65"/>
      <c r="D57" s="66"/>
      <c r="E57" s="67"/>
      <c r="F57" s="67"/>
      <c r="G57" s="65"/>
      <c r="H57" s="69"/>
    </row>
    <row r="58" customFormat="false" ht="12.75" hidden="false" customHeight="false" outlineLevel="0" collapsed="false">
      <c r="A58" s="63" t="s">
        <v>55</v>
      </c>
      <c r="B58" s="64" t="n">
        <v>158.529649802888</v>
      </c>
      <c r="C58" s="65" t="n">
        <f aca="false">C42</f>
        <v>12.826</v>
      </c>
      <c r="D58" s="66" t="n">
        <f aca="false">C58*B58/100</f>
        <v>20.3330128837184</v>
      </c>
      <c r="E58" s="67" t="n">
        <f aca="false">0*B58</f>
        <v>0</v>
      </c>
      <c r="F58" s="67" t="n">
        <f aca="false">D58+E58</f>
        <v>20.3330128837184</v>
      </c>
      <c r="G58" s="65" t="n">
        <f aca="false">F58/B58*100</f>
        <v>12.826</v>
      </c>
      <c r="H58" s="53"/>
      <c r="M58" s="2" t="s">
        <v>61</v>
      </c>
      <c r="N58" s="87" t="n">
        <f aca="false">0.0277+N56</f>
        <v>0.0280847698591039</v>
      </c>
    </row>
    <row r="59" customFormat="false" ht="12.75" hidden="false" customHeight="false" outlineLevel="0" collapsed="false">
      <c r="A59" s="63" t="s">
        <v>56</v>
      </c>
      <c r="B59" s="64" t="n">
        <v>24.9118021118825</v>
      </c>
      <c r="C59" s="65" t="n">
        <f aca="false">C43</f>
        <v>14.569</v>
      </c>
      <c r="D59" s="66" t="n">
        <f aca="false">C59*B59/100</f>
        <v>3.62940044968016</v>
      </c>
      <c r="E59" s="67" t="n">
        <f aca="false">0*B59</f>
        <v>0</v>
      </c>
      <c r="F59" s="67" t="n">
        <f aca="false">D59+E59</f>
        <v>3.62940044968016</v>
      </c>
      <c r="G59" s="65" t="n">
        <f aca="false">F59/B59*100</f>
        <v>14.569</v>
      </c>
      <c r="H59" s="53"/>
    </row>
    <row r="60" customFormat="false" ht="12.75" hidden="false" customHeight="false" outlineLevel="0" collapsed="false">
      <c r="A60" s="68" t="s">
        <v>57</v>
      </c>
      <c r="B60" s="64" t="n">
        <v>27.1765113947809</v>
      </c>
      <c r="C60" s="65" t="n">
        <f aca="false">C44</f>
        <v>14.569</v>
      </c>
      <c r="D60" s="66" t="n">
        <f aca="false">C60*B60/100</f>
        <v>3.95934594510563</v>
      </c>
      <c r="E60" s="67" t="n">
        <f aca="false">0*B60</f>
        <v>0</v>
      </c>
      <c r="F60" s="67" t="n">
        <f aca="false">D60+E60</f>
        <v>3.95934594510563</v>
      </c>
      <c r="G60" s="65" t="n">
        <f aca="false">F60/B60*100</f>
        <v>14.569</v>
      </c>
      <c r="H60" s="53"/>
      <c r="M60" s="2" t="s">
        <v>62</v>
      </c>
      <c r="N60" s="88" t="n">
        <v>12862.5470240213</v>
      </c>
    </row>
    <row r="61" customFormat="false" ht="12.75" hidden="false" customHeight="false" outlineLevel="0" collapsed="false">
      <c r="A61" s="68" t="s">
        <v>47</v>
      </c>
      <c r="B61" s="64" t="n">
        <v>11.323546414492</v>
      </c>
      <c r="C61" s="65" t="n">
        <f aca="false">C45</f>
        <v>14.569</v>
      </c>
      <c r="D61" s="66" t="n">
        <f aca="false">C61*B61/100</f>
        <v>1.64972747712734</v>
      </c>
      <c r="E61" s="67" t="n">
        <f aca="false">0*B61</f>
        <v>0</v>
      </c>
      <c r="F61" s="67" t="n">
        <f aca="false">D61+E61</f>
        <v>1.64972747712734</v>
      </c>
      <c r="G61" s="65" t="n">
        <f aca="false">F61/B61*100</f>
        <v>14.569</v>
      </c>
      <c r="H61" s="53"/>
    </row>
    <row r="62" customFormat="false" ht="12.75" hidden="false" customHeight="false" outlineLevel="0" collapsed="false">
      <c r="A62" s="68" t="s">
        <v>48</v>
      </c>
      <c r="B62" s="64" t="n">
        <v>4.52941856579682</v>
      </c>
      <c r="C62" s="65" t="n">
        <f aca="false">C46</f>
        <v>14.569</v>
      </c>
      <c r="D62" s="66" t="n">
        <f aca="false">C62*B62/100</f>
        <v>0.659890990850939</v>
      </c>
      <c r="E62" s="67" t="n">
        <f aca="false">0*B62</f>
        <v>0</v>
      </c>
      <c r="F62" s="67" t="n">
        <f aca="false">D62+E62</f>
        <v>0.659890990850939</v>
      </c>
      <c r="G62" s="65" t="n">
        <f aca="false">F62/B62*100</f>
        <v>14.569</v>
      </c>
      <c r="H62" s="53"/>
    </row>
    <row r="63" customFormat="false" ht="12.75" hidden="false" customHeight="false" outlineLevel="0" collapsed="false">
      <c r="A63" s="68" t="s">
        <v>59</v>
      </c>
      <c r="B63" s="64" t="n">
        <v>0.09200103008057</v>
      </c>
      <c r="C63" s="70" t="s">
        <v>50</v>
      </c>
      <c r="D63" s="86" t="n">
        <v>0.00606693406935559</v>
      </c>
      <c r="E63" s="86" t="s">
        <v>50</v>
      </c>
      <c r="F63" s="86" t="n">
        <f aca="false">D63</f>
        <v>0.00606693406935559</v>
      </c>
      <c r="G63" s="70" t="s">
        <v>50</v>
      </c>
      <c r="H63" s="53"/>
    </row>
    <row r="64" customFormat="false" ht="12.75" hidden="false" customHeight="false" outlineLevel="0" collapsed="false">
      <c r="A64" s="68"/>
      <c r="B64" s="64"/>
      <c r="C64" s="89"/>
      <c r="D64" s="76"/>
      <c r="E64" s="76"/>
      <c r="F64" s="67"/>
      <c r="G64" s="90"/>
      <c r="H64" s="53"/>
    </row>
    <row r="65" customFormat="false" ht="12.75" hidden="false" customHeight="false" outlineLevel="0" collapsed="false">
      <c r="A65" s="80" t="s">
        <v>63</v>
      </c>
      <c r="B65" s="81" t="n">
        <f aca="false">SUM(B51:B63)-B56-B63</f>
        <v>469.190033610885</v>
      </c>
      <c r="C65" s="83" t="n">
        <f aca="false">D65/B65*100</f>
        <v>13.4620635309641</v>
      </c>
      <c r="D65" s="82" t="n">
        <f aca="false">SUM(D51:D63)</f>
        <v>63.1626604056491</v>
      </c>
      <c r="E65" s="82" t="n">
        <f aca="false">SUM(E51:E63)</f>
        <v>0</v>
      </c>
      <c r="F65" s="82" t="n">
        <f aca="false">SUM(F51:F63)</f>
        <v>63.1626604056491</v>
      </c>
      <c r="G65" s="83" t="n">
        <f aca="false">F65/B65*100</f>
        <v>13.4620635309641</v>
      </c>
      <c r="H65" s="84" t="n">
        <f aca="false">(G65-C65)/C65</f>
        <v>0</v>
      </c>
    </row>
    <row r="66" customFormat="false" ht="12.75" hidden="false" customHeight="false" outlineLevel="0" collapsed="false">
      <c r="A66" s="60"/>
      <c r="B66" s="91"/>
      <c r="C66" s="92"/>
      <c r="D66" s="92"/>
      <c r="E66" s="91"/>
      <c r="F66" s="91"/>
      <c r="G66" s="91"/>
      <c r="H66" s="2"/>
    </row>
    <row r="67" customFormat="false" ht="13.5" hidden="false" customHeight="false" outlineLevel="0" collapsed="false">
      <c r="A67" s="93" t="s">
        <v>64</v>
      </c>
      <c r="B67" s="94" t="n">
        <f aca="false">B49+B65</f>
        <v>6396.49800601888</v>
      </c>
      <c r="C67" s="95" t="n">
        <f aca="false">D67/B67*100</f>
        <v>13.8964058531445</v>
      </c>
      <c r="D67" s="96" t="n">
        <f aca="false">D49+D65</f>
        <v>888.883323304678</v>
      </c>
      <c r="E67" s="96" t="n">
        <f aca="false">E49+E65</f>
        <v>173.168940636471</v>
      </c>
      <c r="F67" s="96" t="n">
        <f aca="false">F49+F65</f>
        <v>1062.05226394115</v>
      </c>
      <c r="G67" s="97" t="n">
        <f aca="false">F67/B67*100</f>
        <v>16.6036519192501</v>
      </c>
      <c r="H67" s="98" t="n">
        <f aca="false">(G67-C67)/C67</f>
        <v>0.194816278015731</v>
      </c>
    </row>
    <row r="68" customFormat="false" ht="13.5" hidden="false" customHeight="false" outlineLevel="0" collapsed="false">
      <c r="A68" s="99"/>
      <c r="B68" s="100"/>
      <c r="C68" s="101"/>
      <c r="D68" s="102"/>
      <c r="E68" s="102"/>
      <c r="F68" s="102"/>
      <c r="G68" s="103"/>
      <c r="H68" s="104"/>
    </row>
    <row r="69" customFormat="false" ht="12.75" hidden="false" customHeight="false" outlineLevel="0" collapsed="false">
      <c r="A69" s="99"/>
      <c r="B69" s="100"/>
      <c r="C69" s="101"/>
      <c r="D69" s="102"/>
      <c r="E69" s="102"/>
      <c r="F69" s="102"/>
      <c r="G69" s="103"/>
      <c r="H69" s="104"/>
    </row>
    <row r="70" customFormat="false" ht="12.75" hidden="false" customHeight="false" outlineLevel="0" collapsed="false">
      <c r="A70" s="99"/>
      <c r="B70" s="100"/>
      <c r="C70" s="101"/>
      <c r="D70" s="102"/>
      <c r="E70" s="102"/>
      <c r="F70" s="102"/>
      <c r="G70" s="103"/>
      <c r="H70" s="104"/>
    </row>
    <row r="71" customFormat="false" ht="12.75" hidden="false" customHeight="false" outlineLevel="0" collapsed="false">
      <c r="H71" s="2" t="s">
        <v>65</v>
      </c>
    </row>
    <row r="72" customFormat="false" ht="20.25" hidden="false" customHeight="false" outlineLevel="0" collapsed="false">
      <c r="A72" s="3" t="s">
        <v>1</v>
      </c>
      <c r="B72" s="3"/>
      <c r="C72" s="3"/>
      <c r="D72" s="3"/>
      <c r="E72" s="3"/>
      <c r="F72" s="3"/>
      <c r="G72" s="3"/>
      <c r="H72" s="3"/>
      <c r="M72" s="2"/>
      <c r="N72" s="87"/>
    </row>
    <row r="73" customFormat="false" ht="20.25" hidden="false" customHeight="false" outlineLevel="0" collapsed="false">
      <c r="A73" s="3" t="s">
        <v>2</v>
      </c>
      <c r="B73" s="3"/>
      <c r="C73" s="3"/>
      <c r="D73" s="3"/>
      <c r="E73" s="3"/>
      <c r="F73" s="3"/>
      <c r="G73" s="3"/>
      <c r="H73" s="3"/>
    </row>
    <row r="74" customFormat="false" ht="13.5" hidden="false" customHeight="false" outlineLevel="0" collapsed="false">
      <c r="A74" s="4"/>
      <c r="B74" s="4"/>
      <c r="C74" s="4"/>
      <c r="D74" s="4"/>
      <c r="E74" s="4"/>
      <c r="F74" s="4"/>
      <c r="G74" s="4"/>
      <c r="H74" s="4"/>
    </row>
    <row r="75" customFormat="false" ht="12.75" hidden="false" customHeight="false" outlineLevel="0" collapsed="false">
      <c r="A75" s="105" t="s">
        <v>66</v>
      </c>
      <c r="B75" s="106"/>
      <c r="C75" s="107"/>
      <c r="D75" s="4"/>
      <c r="E75" s="4"/>
      <c r="F75" s="4"/>
      <c r="G75" s="4"/>
      <c r="H75" s="4"/>
    </row>
    <row r="76" customFormat="false" ht="12.75" hidden="false" customHeight="false" outlineLevel="0" collapsed="false">
      <c r="A76" s="31"/>
      <c r="B76" s="12"/>
      <c r="C76" s="20"/>
      <c r="D76" s="4"/>
      <c r="E76" s="4"/>
      <c r="F76" s="4"/>
      <c r="G76" s="4"/>
      <c r="H76" s="4"/>
    </row>
    <row r="77" customFormat="false" ht="12.75" hidden="false" customHeight="false" outlineLevel="0" collapsed="false">
      <c r="A77" s="34" t="s">
        <v>12</v>
      </c>
      <c r="B77" s="12"/>
      <c r="C77" s="20"/>
      <c r="D77" s="4"/>
      <c r="E77" s="4"/>
      <c r="F77" s="4"/>
      <c r="G77" s="4"/>
      <c r="H77" s="4"/>
    </row>
    <row r="78" customFormat="false" ht="12.75" hidden="false" customHeight="false" outlineLevel="0" collapsed="false">
      <c r="A78" s="34" t="s">
        <v>67</v>
      </c>
      <c r="B78" s="12"/>
      <c r="C78" s="36" t="n">
        <f aca="false">B14</f>
        <v>6.5</v>
      </c>
      <c r="D78" s="4"/>
      <c r="E78" s="4"/>
      <c r="F78" s="4"/>
      <c r="G78" s="4"/>
      <c r="H78" s="4"/>
    </row>
    <row r="79" customFormat="false" ht="12.75" hidden="false" customHeight="false" outlineLevel="0" collapsed="false">
      <c r="A79" s="34" t="s">
        <v>68</v>
      </c>
      <c r="B79" s="12"/>
      <c r="C79" s="36" t="n">
        <f aca="false">B15</f>
        <v>6.5</v>
      </c>
      <c r="D79" s="4"/>
      <c r="E79" s="4"/>
      <c r="F79" s="4"/>
      <c r="G79" s="4"/>
      <c r="H79" s="4"/>
    </row>
    <row r="80" customFormat="false" ht="12.75" hidden="false" customHeight="false" outlineLevel="0" collapsed="false">
      <c r="A80" s="34" t="s">
        <v>69</v>
      </c>
      <c r="B80" s="12"/>
      <c r="C80" s="36" t="n">
        <f aca="false">B16</f>
        <v>10.2931782213505</v>
      </c>
      <c r="D80" s="4"/>
      <c r="E80" s="4"/>
      <c r="F80" s="4"/>
      <c r="G80" s="4"/>
      <c r="H80" s="4"/>
    </row>
    <row r="81" customFormat="false" ht="12.75" hidden="false" customHeight="false" outlineLevel="0" collapsed="false">
      <c r="A81" s="34" t="s">
        <v>70</v>
      </c>
      <c r="B81" s="12"/>
      <c r="C81" s="36" t="n">
        <f aca="false">B17</f>
        <v>14.0877718251366</v>
      </c>
      <c r="D81" s="4"/>
      <c r="E81" s="4"/>
      <c r="F81" s="4"/>
      <c r="G81" s="4"/>
      <c r="H81" s="4"/>
    </row>
    <row r="82" customFormat="false" ht="12.75" hidden="false" customHeight="false" outlineLevel="0" collapsed="false">
      <c r="A82" s="34" t="s">
        <v>71</v>
      </c>
      <c r="B82" s="12"/>
      <c r="C82" s="36" t="n">
        <f aca="false">B18</f>
        <v>17.8882235281095</v>
      </c>
      <c r="D82" s="4"/>
      <c r="E82" s="4"/>
      <c r="F82" s="4"/>
      <c r="G82" s="4"/>
      <c r="H82" s="4"/>
    </row>
    <row r="83" customFormat="false" ht="12.75" hidden="false" customHeight="false" outlineLevel="0" collapsed="false">
      <c r="A83" s="11"/>
      <c r="B83" s="12"/>
      <c r="C83" s="37"/>
      <c r="D83" s="4"/>
      <c r="E83" s="4"/>
      <c r="F83" s="4"/>
      <c r="G83" s="4"/>
      <c r="H83" s="4"/>
    </row>
    <row r="84" customFormat="false" ht="12.75" hidden="false" customHeight="false" outlineLevel="0" collapsed="false">
      <c r="A84" s="34" t="s">
        <v>72</v>
      </c>
      <c r="B84" s="12"/>
      <c r="C84" s="20"/>
      <c r="D84" s="4"/>
      <c r="E84" s="4"/>
      <c r="F84" s="4"/>
      <c r="G84" s="4"/>
      <c r="H84" s="4"/>
    </row>
    <row r="85" customFormat="false" ht="12.75" hidden="false" customHeight="false" outlineLevel="0" collapsed="false">
      <c r="A85" s="34" t="s">
        <v>19</v>
      </c>
      <c r="B85" s="38"/>
      <c r="C85" s="39" t="n">
        <f aca="false">B21</f>
        <v>0.479999999999999</v>
      </c>
      <c r="D85" s="4"/>
      <c r="E85" s="4"/>
      <c r="F85" s="4"/>
      <c r="G85" s="4"/>
      <c r="H85" s="4"/>
    </row>
    <row r="86" customFormat="false" ht="12.75" hidden="false" customHeight="false" outlineLevel="0" collapsed="false">
      <c r="A86" s="34" t="s">
        <v>20</v>
      </c>
      <c r="B86" s="38"/>
      <c r="C86" s="39" t="n">
        <f aca="false">B22</f>
        <v>0.11</v>
      </c>
      <c r="D86" s="4"/>
      <c r="E86" s="4"/>
      <c r="F86" s="4"/>
      <c r="G86" s="4"/>
      <c r="H86" s="4"/>
    </row>
    <row r="87" customFormat="false" ht="12.75" hidden="false" customHeight="false" outlineLevel="0" collapsed="false">
      <c r="A87" s="34" t="s">
        <v>21</v>
      </c>
      <c r="B87" s="38"/>
      <c r="C87" s="39" t="n">
        <f aca="false">B23</f>
        <v>0.17</v>
      </c>
      <c r="D87" s="4"/>
      <c r="E87" s="4"/>
      <c r="F87" s="4"/>
      <c r="G87" s="4"/>
      <c r="H87" s="4"/>
    </row>
    <row r="88" customFormat="false" ht="12.75" hidden="false" customHeight="false" outlineLevel="0" collapsed="false">
      <c r="A88" s="34" t="s">
        <v>22</v>
      </c>
      <c r="B88" s="38"/>
      <c r="C88" s="39" t="n">
        <f aca="false">B24</f>
        <v>0.12</v>
      </c>
      <c r="D88" s="4"/>
      <c r="E88" s="4"/>
      <c r="F88" s="4"/>
      <c r="G88" s="4"/>
      <c r="H88" s="4"/>
    </row>
    <row r="89" customFormat="false" ht="13.5" hidden="false" customHeight="false" outlineLevel="0" collapsed="false">
      <c r="A89" s="40" t="s">
        <v>23</v>
      </c>
      <c r="B89" s="41"/>
      <c r="C89" s="42" t="n">
        <f aca="false">B24</f>
        <v>0.12</v>
      </c>
      <c r="D89" s="4"/>
      <c r="E89" s="4"/>
      <c r="F89" s="4"/>
      <c r="G89" s="4"/>
      <c r="H89" s="4"/>
    </row>
    <row r="90" customFormat="false" ht="13.5" hidden="false" customHeight="false" outlineLevel="0" collapsed="false">
      <c r="A90" s="4"/>
      <c r="B90" s="4"/>
      <c r="C90" s="4"/>
      <c r="D90" s="4"/>
      <c r="E90" s="4"/>
      <c r="F90" s="4"/>
      <c r="G90" s="4"/>
      <c r="H90" s="4"/>
    </row>
    <row r="91" customFormat="false" ht="64.5" hidden="false" customHeight="false" outlineLevel="0" collapsed="false">
      <c r="A91" s="45" t="s">
        <v>24</v>
      </c>
      <c r="B91" s="47" t="s">
        <v>25</v>
      </c>
      <c r="C91" s="47" t="s">
        <v>26</v>
      </c>
      <c r="D91" s="47" t="s">
        <v>27</v>
      </c>
      <c r="E91" s="47" t="s">
        <v>28</v>
      </c>
      <c r="F91" s="47" t="s">
        <v>29</v>
      </c>
      <c r="G91" s="47" t="s">
        <v>30</v>
      </c>
      <c r="H91" s="47" t="s">
        <v>31</v>
      </c>
    </row>
    <row r="92" customFormat="false" ht="12.75" hidden="false" customHeight="false" outlineLevel="0" collapsed="false">
      <c r="A92" s="60"/>
      <c r="B92" s="91"/>
      <c r="C92" s="91"/>
      <c r="D92" s="91"/>
      <c r="E92" s="91"/>
      <c r="F92" s="91"/>
      <c r="G92" s="91"/>
      <c r="H92" s="2"/>
      <c r="M92" s="12"/>
      <c r="N92" s="12"/>
      <c r="O92" s="12"/>
      <c r="P92" s="12"/>
      <c r="Q92" s="12"/>
      <c r="R92" s="12"/>
      <c r="S92" s="12"/>
    </row>
    <row r="93" customFormat="false" ht="12.75" hidden="false" customHeight="false" outlineLevel="0" collapsed="false">
      <c r="A93" s="108" t="s">
        <v>73</v>
      </c>
      <c r="B93" s="109"/>
      <c r="C93" s="110"/>
      <c r="D93" s="109"/>
      <c r="E93" s="109"/>
      <c r="F93" s="109"/>
      <c r="G93" s="110"/>
      <c r="H93" s="109"/>
      <c r="M93" s="12"/>
      <c r="N93" s="12"/>
      <c r="O93" s="12"/>
      <c r="P93" s="12"/>
      <c r="Q93" s="12"/>
      <c r="R93" s="12"/>
      <c r="S93" s="12"/>
    </row>
    <row r="94" customFormat="false" ht="12.75" hidden="false" customHeight="false" outlineLevel="0" collapsed="false">
      <c r="A94" s="108"/>
      <c r="B94" s="109"/>
      <c r="C94" s="110"/>
      <c r="D94" s="109"/>
      <c r="E94" s="109"/>
      <c r="F94" s="109"/>
      <c r="G94" s="110"/>
      <c r="H94" s="109"/>
      <c r="M94" s="12"/>
      <c r="N94" s="12"/>
      <c r="O94" s="12"/>
      <c r="P94" s="12"/>
      <c r="Q94" s="12"/>
      <c r="R94" s="12"/>
      <c r="S94" s="12"/>
    </row>
    <row r="95" customFormat="false" ht="12.75" hidden="false" customHeight="false" outlineLevel="0" collapsed="false">
      <c r="A95" s="57" t="s">
        <v>37</v>
      </c>
      <c r="B95" s="109"/>
      <c r="C95" s="110"/>
      <c r="D95" s="109"/>
      <c r="E95" s="109"/>
      <c r="F95" s="109"/>
      <c r="G95" s="110"/>
      <c r="H95" s="109"/>
      <c r="M95" s="104"/>
      <c r="N95" s="111"/>
      <c r="O95" s="111"/>
      <c r="P95" s="112"/>
      <c r="Q95" s="111"/>
      <c r="R95" s="12"/>
      <c r="S95" s="111"/>
    </row>
    <row r="96" customFormat="false" ht="12.75" hidden="false" customHeight="false" outlineLevel="0" collapsed="false">
      <c r="A96" s="60" t="s">
        <v>74</v>
      </c>
      <c r="B96" s="109"/>
      <c r="C96" s="110"/>
      <c r="D96" s="109"/>
      <c r="E96" s="109"/>
      <c r="F96" s="109"/>
      <c r="G96" s="110"/>
      <c r="H96" s="109"/>
      <c r="M96" s="104"/>
      <c r="N96" s="111"/>
      <c r="O96" s="111"/>
      <c r="P96" s="112"/>
      <c r="Q96" s="111"/>
      <c r="R96" s="12"/>
      <c r="S96" s="111"/>
    </row>
    <row r="97" customFormat="false" ht="12.75" hidden="false" customHeight="false" outlineLevel="0" collapsed="false">
      <c r="A97" s="113" t="s">
        <v>75</v>
      </c>
      <c r="B97" s="114" t="n">
        <f aca="false">0.296361052*0.984</f>
        <v>0.291619275168</v>
      </c>
      <c r="C97" s="70" t="n">
        <f aca="false">8.88</f>
        <v>8.88</v>
      </c>
      <c r="D97" s="67" t="n">
        <f aca="false">C97*B97/100</f>
        <v>0.0258957916349184</v>
      </c>
      <c r="E97" s="67" t="n">
        <f aca="false">0*B97</f>
        <v>0</v>
      </c>
      <c r="F97" s="67" t="n">
        <f aca="false">D97+E97</f>
        <v>0.0258957916349184</v>
      </c>
      <c r="G97" s="65" t="n">
        <f aca="false">F97/B97*100</f>
        <v>8.88</v>
      </c>
      <c r="H97" s="60"/>
      <c r="M97" s="115"/>
      <c r="N97" s="111"/>
      <c r="O97" s="111"/>
      <c r="P97" s="111"/>
      <c r="Q97" s="111"/>
      <c r="R97" s="12"/>
      <c r="S97" s="111"/>
    </row>
    <row r="98" customFormat="false" ht="12.75" hidden="false" customHeight="false" outlineLevel="0" collapsed="false">
      <c r="A98" s="113" t="s">
        <v>76</v>
      </c>
      <c r="B98" s="114" t="n">
        <f aca="false">2.024398948*0.984</f>
        <v>1.992008564832</v>
      </c>
      <c r="C98" s="70" t="n">
        <f aca="false">7.18</f>
        <v>7.18</v>
      </c>
      <c r="D98" s="67" t="n">
        <f aca="false">C98*B98/100</f>
        <v>0.143026214954938</v>
      </c>
      <c r="E98" s="67" t="n">
        <f aca="false">0*B98</f>
        <v>0</v>
      </c>
      <c r="F98" s="67" t="n">
        <f aca="false">D98+E98</f>
        <v>0.143026214954938</v>
      </c>
      <c r="G98" s="65" t="n">
        <f aca="false">F98/B98*100</f>
        <v>7.18</v>
      </c>
      <c r="H98" s="60"/>
      <c r="M98" s="116"/>
      <c r="N98" s="117"/>
      <c r="O98" s="117"/>
      <c r="P98" s="12"/>
      <c r="Q98" s="118"/>
      <c r="R98" s="12"/>
      <c r="S98" s="51"/>
    </row>
    <row r="99" customFormat="false" ht="12.75" hidden="false" customHeight="false" outlineLevel="0" collapsed="false">
      <c r="A99" s="113" t="s">
        <v>77</v>
      </c>
      <c r="B99" s="114" t="n">
        <f aca="false">0.281740264*0.984</f>
        <v>0.277232419776</v>
      </c>
      <c r="C99" s="70" t="n">
        <f aca="false">7.379</f>
        <v>7.379</v>
      </c>
      <c r="D99" s="67" t="n">
        <f aca="false">C99*B99/100</f>
        <v>0.020456980255271</v>
      </c>
      <c r="E99" s="67" t="n">
        <f aca="false">0*B99</f>
        <v>0</v>
      </c>
      <c r="F99" s="67" t="n">
        <f aca="false">D99+E99</f>
        <v>0.020456980255271</v>
      </c>
      <c r="G99" s="65" t="n">
        <f aca="false">F99/B99*100</f>
        <v>7.379</v>
      </c>
      <c r="H99" s="60"/>
      <c r="M99" s="116"/>
      <c r="N99" s="117"/>
      <c r="O99" s="117"/>
      <c r="P99" s="12"/>
      <c r="Q99" s="118"/>
      <c r="R99" s="12"/>
      <c r="S99" s="51"/>
    </row>
    <row r="100" customFormat="false" ht="12.75" hidden="false" customHeight="false" outlineLevel="0" collapsed="false">
      <c r="A100" s="113" t="s">
        <v>78</v>
      </c>
      <c r="B100" s="64" t="n">
        <f aca="false">2.039019736*0.984</f>
        <v>2.006395420224</v>
      </c>
      <c r="C100" s="70" t="n">
        <f aca="false">7.18</f>
        <v>7.18</v>
      </c>
      <c r="D100" s="67" t="n">
        <f aca="false">C100*B100/100</f>
        <v>0.144059191172083</v>
      </c>
      <c r="E100" s="67" t="n">
        <f aca="false">0*B100</f>
        <v>0</v>
      </c>
      <c r="F100" s="67" t="n">
        <f aca="false">D100+E100</f>
        <v>0.144059191172083</v>
      </c>
      <c r="G100" s="65" t="n">
        <f aca="false">F100/B100*100</f>
        <v>7.18</v>
      </c>
      <c r="H100" s="60"/>
      <c r="M100" s="116"/>
      <c r="N100" s="117"/>
      <c r="O100" s="117"/>
      <c r="P100" s="12"/>
      <c r="Q100" s="118"/>
      <c r="R100" s="12"/>
      <c r="S100" s="51"/>
    </row>
    <row r="101" customFormat="false" ht="12.75" hidden="false" customHeight="false" outlineLevel="0" collapsed="false">
      <c r="A101" s="68"/>
      <c r="B101" s="114"/>
      <c r="C101" s="70"/>
      <c r="D101" s="67"/>
      <c r="E101" s="67"/>
      <c r="F101" s="67"/>
      <c r="G101" s="65"/>
      <c r="H101" s="60"/>
      <c r="M101" s="116"/>
      <c r="N101" s="117"/>
      <c r="O101" s="117"/>
      <c r="P101" s="12"/>
      <c r="Q101" s="118"/>
      <c r="R101" s="12"/>
      <c r="S101" s="51"/>
    </row>
    <row r="102" customFormat="false" ht="12.75" hidden="false" customHeight="false" outlineLevel="0" collapsed="false">
      <c r="A102" s="68" t="s">
        <v>79</v>
      </c>
      <c r="B102" s="64" t="n">
        <f aca="false">2.33468456*0.984</f>
        <v>2.29732960704</v>
      </c>
      <c r="C102" s="70" t="n">
        <v>-1.051</v>
      </c>
      <c r="D102" s="67" t="n">
        <f aca="false">C102*B102/100</f>
        <v>-0.0241449341699904</v>
      </c>
      <c r="E102" s="67" t="s">
        <v>50</v>
      </c>
      <c r="F102" s="67" t="n">
        <f aca="false">D102</f>
        <v>-0.0241449341699904</v>
      </c>
      <c r="G102" s="65" t="n">
        <f aca="false">F102/B102*100</f>
        <v>-1.051</v>
      </c>
      <c r="H102" s="60"/>
      <c r="M102" s="104"/>
      <c r="N102" s="117"/>
      <c r="O102" s="117"/>
      <c r="P102" s="12"/>
      <c r="Q102" s="12"/>
      <c r="R102" s="12"/>
      <c r="S102" s="119"/>
    </row>
    <row r="103" customFormat="false" ht="12.75" hidden="false" customHeight="false" outlineLevel="0" collapsed="false">
      <c r="A103" s="120"/>
      <c r="B103" s="114"/>
      <c r="C103" s="70"/>
      <c r="D103" s="67"/>
      <c r="E103" s="67"/>
      <c r="F103" s="67"/>
      <c r="G103" s="65"/>
      <c r="H103" s="60"/>
      <c r="M103" s="104"/>
      <c r="N103" s="12"/>
      <c r="O103" s="12"/>
      <c r="P103" s="12"/>
      <c r="Q103" s="12"/>
      <c r="R103" s="12"/>
      <c r="S103" s="12"/>
    </row>
    <row r="104" customFormat="false" ht="12.75" hidden="false" customHeight="false" outlineLevel="0" collapsed="false">
      <c r="A104" s="120" t="s">
        <v>80</v>
      </c>
      <c r="B104" s="121"/>
      <c r="C104" s="122"/>
      <c r="D104" s="123"/>
      <c r="E104" s="67"/>
      <c r="F104" s="67"/>
      <c r="G104" s="124"/>
      <c r="H104" s="60"/>
      <c r="M104" s="104"/>
      <c r="N104" s="125"/>
      <c r="O104" s="125"/>
      <c r="P104" s="74"/>
      <c r="Q104" s="126"/>
      <c r="R104" s="12"/>
      <c r="S104" s="127"/>
    </row>
    <row r="105" customFormat="false" ht="12.75" hidden="false" customHeight="false" outlineLevel="0" collapsed="false">
      <c r="A105" s="63" t="s">
        <v>41</v>
      </c>
      <c r="B105" s="64" t="n">
        <f aca="false">SUM($B$97:$B$100)*B21</f>
        <v>2.1922827264</v>
      </c>
      <c r="C105" s="65" t="n">
        <v>6.5</v>
      </c>
      <c r="D105" s="123" t="n">
        <f aca="false">C105*B105/100</f>
        <v>0.142498377216</v>
      </c>
      <c r="E105" s="67" t="n">
        <f aca="false">B105*(B14-C105)/100</f>
        <v>0</v>
      </c>
      <c r="F105" s="67" t="n">
        <f aca="false">E105+D105</f>
        <v>0.142498377216</v>
      </c>
      <c r="G105" s="65" t="n">
        <f aca="false">F105/B105*100</f>
        <v>6.5</v>
      </c>
      <c r="H105" s="60"/>
      <c r="M105" s="104"/>
      <c r="N105" s="125"/>
      <c r="O105" s="125"/>
      <c r="P105" s="74"/>
      <c r="Q105" s="126"/>
      <c r="R105" s="12"/>
      <c r="S105" s="127"/>
    </row>
    <row r="106" customFormat="false" ht="12.75" hidden="false" customHeight="false" outlineLevel="0" collapsed="false">
      <c r="A106" s="63" t="s">
        <v>43</v>
      </c>
      <c r="B106" s="64" t="n">
        <f aca="false">SUM($B$97:$B$100)*B22</f>
        <v>0.502398124800001</v>
      </c>
      <c r="C106" s="65" t="n">
        <v>6.5</v>
      </c>
      <c r="D106" s="123" t="n">
        <f aca="false">C106*B106/100</f>
        <v>0.032655878112</v>
      </c>
      <c r="E106" s="67" t="n">
        <f aca="false">B106*(B15-C106)/100</f>
        <v>0</v>
      </c>
      <c r="F106" s="67" t="n">
        <f aca="false">E106+D106</f>
        <v>0.032655878112</v>
      </c>
      <c r="G106" s="65" t="n">
        <f aca="false">F106/B106*100</f>
        <v>6.5</v>
      </c>
      <c r="H106" s="60"/>
      <c r="M106" s="128"/>
      <c r="N106" s="12"/>
      <c r="O106" s="12"/>
      <c r="P106" s="12"/>
      <c r="Q106" s="12"/>
      <c r="R106" s="12"/>
      <c r="S106" s="119"/>
    </row>
    <row r="107" customFormat="false" ht="12.75" hidden="false" customHeight="false" outlineLevel="0" collapsed="false">
      <c r="A107" s="68" t="s">
        <v>45</v>
      </c>
      <c r="B107" s="64" t="n">
        <f aca="false">SUM($B$97:$B$100)*B23</f>
        <v>0.776433465600001</v>
      </c>
      <c r="C107" s="65" t="n">
        <v>6.5</v>
      </c>
      <c r="D107" s="123" t="n">
        <f aca="false">C107*B107/100</f>
        <v>0.0504681752640001</v>
      </c>
      <c r="E107" s="67" t="n">
        <f aca="false">B107*(B16-C107)/100</f>
        <v>0.029451505120416</v>
      </c>
      <c r="F107" s="67" t="n">
        <f aca="false">E107+D107</f>
        <v>0.0799196803844161</v>
      </c>
      <c r="G107" s="65" t="n">
        <f aca="false">F107/B107*100</f>
        <v>10.2931782213505</v>
      </c>
      <c r="H107" s="60"/>
      <c r="M107" s="128"/>
      <c r="N107" s="12"/>
      <c r="O107" s="12"/>
      <c r="P107" s="12"/>
      <c r="Q107" s="12"/>
      <c r="R107" s="12"/>
      <c r="S107" s="129"/>
    </row>
    <row r="108" customFormat="false" ht="12.75" hidden="false" customHeight="false" outlineLevel="0" collapsed="false">
      <c r="A108" s="68" t="s">
        <v>81</v>
      </c>
      <c r="B108" s="64" t="n">
        <f aca="false">SUM($B$97:$B$100)*B24</f>
        <v>0.548070681600001</v>
      </c>
      <c r="C108" s="65" t="n">
        <v>6.5</v>
      </c>
      <c r="D108" s="123" t="n">
        <f aca="false">C108*B108/100</f>
        <v>0.035624594304</v>
      </c>
      <c r="E108" s="67" t="n">
        <f aca="false">B108*(B17-C108)/100</f>
        <v>0.041586352760279</v>
      </c>
      <c r="F108" s="67" t="n">
        <f aca="false">E108+D108</f>
        <v>0.077210947064279</v>
      </c>
      <c r="G108" s="65" t="n">
        <f aca="false">F108/B108*100</f>
        <v>14.0877718251366</v>
      </c>
      <c r="H108" s="60"/>
      <c r="M108" s="128"/>
      <c r="N108" s="12"/>
      <c r="O108" s="12"/>
      <c r="P108" s="12"/>
      <c r="Q108" s="12"/>
      <c r="R108" s="115"/>
      <c r="S108" s="12"/>
    </row>
    <row r="109" customFormat="false" ht="12.75" hidden="false" customHeight="false" outlineLevel="0" collapsed="false">
      <c r="A109" s="68" t="s">
        <v>48</v>
      </c>
      <c r="B109" s="64" t="n">
        <f aca="false">SUM($B$97:$B$100)*B25</f>
        <v>0.548070681600001</v>
      </c>
      <c r="C109" s="65" t="n">
        <v>6.5</v>
      </c>
      <c r="D109" s="123" t="n">
        <f aca="false">C109*B109/100</f>
        <v>0.035624594304</v>
      </c>
      <c r="E109" s="67" t="n">
        <f aca="false">B109*(B18-C109)/100</f>
        <v>0.0624155143126413</v>
      </c>
      <c r="F109" s="67" t="n">
        <f aca="false">E109+D109</f>
        <v>0.0980401086166414</v>
      </c>
      <c r="G109" s="65" t="n">
        <f aca="false">F109/B109*100</f>
        <v>17.8882235281095</v>
      </c>
      <c r="H109" s="60"/>
      <c r="M109" s="128"/>
      <c r="N109" s="12"/>
      <c r="O109" s="12"/>
      <c r="P109" s="12"/>
      <c r="Q109" s="12"/>
      <c r="R109" s="115"/>
      <c r="S109" s="12"/>
    </row>
    <row r="110" customFormat="false" ht="12.75" hidden="false" customHeight="false" outlineLevel="0" collapsed="false">
      <c r="A110" s="120"/>
      <c r="B110" s="114"/>
      <c r="C110" s="70"/>
      <c r="D110" s="67"/>
      <c r="E110" s="130"/>
      <c r="F110" s="67"/>
      <c r="G110" s="65"/>
      <c r="H110" s="60"/>
      <c r="M110" s="116"/>
      <c r="N110" s="117"/>
      <c r="O110" s="117"/>
      <c r="P110" s="12"/>
      <c r="Q110" s="118"/>
      <c r="R110" s="12"/>
      <c r="S110" s="51"/>
    </row>
    <row r="111" customFormat="false" ht="13.5" hidden="false" customHeight="false" outlineLevel="0" collapsed="false">
      <c r="A111" s="131" t="s">
        <v>82</v>
      </c>
      <c r="B111" s="94" t="n">
        <f aca="false">SUM(B97:B100)</f>
        <v>4.56725568</v>
      </c>
      <c r="C111" s="97" t="n">
        <f aca="false">D111/B111*100</f>
        <v>13.2719713</v>
      </c>
      <c r="D111" s="132" t="n">
        <f aca="false">SUM(D97:D109)</f>
        <v>0.60616486304722</v>
      </c>
      <c r="E111" s="132" t="n">
        <f aca="false">SUM(E97:E109)</f>
        <v>0.133453372193336</v>
      </c>
      <c r="F111" s="132" t="n">
        <f aca="false">SUM(F97:F109)</f>
        <v>0.739618235240556</v>
      </c>
      <c r="G111" s="97" t="n">
        <f aca="false">F111/B111*100</f>
        <v>16.1939310400191</v>
      </c>
      <c r="H111" s="133" t="n">
        <f aca="false">(G111-C111)/C111</f>
        <v>0.220160191276116</v>
      </c>
      <c r="M111" s="128"/>
      <c r="N111" s="12"/>
      <c r="O111" s="12"/>
      <c r="P111" s="12"/>
      <c r="Q111" s="12"/>
      <c r="R111" s="115"/>
      <c r="S111" s="12"/>
    </row>
    <row r="112" customFormat="false" ht="13.5" hidden="false" customHeight="false" outlineLevel="0" collapsed="false">
      <c r="A112" s="60"/>
      <c r="B112" s="134"/>
      <c r="C112" s="135"/>
      <c r="D112" s="136"/>
      <c r="E112" s="71"/>
      <c r="F112" s="67"/>
      <c r="G112" s="137"/>
      <c r="H112" s="60"/>
      <c r="M112" s="138"/>
      <c r="N112" s="12"/>
      <c r="O112" s="12"/>
      <c r="P112" s="12"/>
      <c r="Q112" s="12"/>
      <c r="R112" s="12"/>
      <c r="S112" s="12"/>
    </row>
    <row r="113" customFormat="false" ht="12.75" hidden="false" customHeight="false" outlineLevel="0" collapsed="false">
      <c r="A113" s="60"/>
      <c r="B113" s="38"/>
      <c r="C113" s="135"/>
      <c r="D113" s="136"/>
      <c r="E113" s="67"/>
      <c r="F113" s="67"/>
      <c r="G113" s="137"/>
      <c r="H113" s="60"/>
    </row>
    <row r="114" customFormat="false" ht="12.75" hidden="false" customHeight="false" outlineLevel="0" collapsed="false">
      <c r="A114" s="108" t="s">
        <v>83</v>
      </c>
      <c r="B114" s="139"/>
      <c r="C114" s="137"/>
      <c r="D114" s="123"/>
      <c r="E114" s="67"/>
      <c r="F114" s="67"/>
      <c r="G114" s="137"/>
      <c r="H114" s="60"/>
    </row>
    <row r="115" customFormat="false" ht="12.75" hidden="false" customHeight="false" outlineLevel="0" collapsed="false">
      <c r="A115" s="108"/>
      <c r="B115" s="139"/>
      <c r="C115" s="137"/>
      <c r="D115" s="123"/>
      <c r="E115" s="67"/>
      <c r="F115" s="67"/>
      <c r="G115" s="137"/>
      <c r="H115" s="60"/>
    </row>
    <row r="116" customFormat="false" ht="12.75" hidden="false" customHeight="false" outlineLevel="0" collapsed="false">
      <c r="A116" s="57" t="s">
        <v>37</v>
      </c>
      <c r="B116" s="139"/>
      <c r="C116" s="137"/>
      <c r="D116" s="123"/>
      <c r="E116" s="67"/>
      <c r="F116" s="67"/>
      <c r="G116" s="137"/>
      <c r="H116" s="60"/>
    </row>
    <row r="117" customFormat="false" ht="12.75" hidden="false" customHeight="false" outlineLevel="0" collapsed="false">
      <c r="A117" s="60" t="s">
        <v>84</v>
      </c>
      <c r="B117" s="139"/>
      <c r="C117" s="137"/>
      <c r="D117" s="123"/>
      <c r="E117" s="67"/>
      <c r="F117" s="67"/>
      <c r="G117" s="137"/>
      <c r="H117" s="60"/>
    </row>
    <row r="118" customFormat="false" ht="12.75" hidden="false" customHeight="false" outlineLevel="0" collapsed="false">
      <c r="A118" s="113" t="s">
        <v>75</v>
      </c>
      <c r="B118" s="114" t="n">
        <f aca="false">4.20207008*0.984</f>
        <v>4.13483695872</v>
      </c>
      <c r="C118" s="65" t="n">
        <f aca="false">8.674</f>
        <v>8.674</v>
      </c>
      <c r="D118" s="123" t="n">
        <f aca="false">C118*B118/100</f>
        <v>0.358655757799373</v>
      </c>
      <c r="E118" s="67" t="n">
        <f aca="false">0*B118</f>
        <v>0</v>
      </c>
      <c r="F118" s="67" t="n">
        <f aca="false">E118+D118</f>
        <v>0.358655757799373</v>
      </c>
      <c r="G118" s="65" t="n">
        <f aca="false">F118/B118*100</f>
        <v>8.674</v>
      </c>
      <c r="H118" s="60"/>
    </row>
    <row r="119" customFormat="false" ht="12.75" hidden="false" customHeight="false" outlineLevel="0" collapsed="false">
      <c r="A119" s="113" t="s">
        <v>76</v>
      </c>
      <c r="B119" s="114" t="n">
        <f aca="false">20.66224992*0.984</f>
        <v>20.33165392128</v>
      </c>
      <c r="C119" s="65" t="n">
        <f aca="false">7.134</f>
        <v>7.134</v>
      </c>
      <c r="D119" s="123" t="n">
        <f aca="false">C119*B119/100</f>
        <v>1.45046019074412</v>
      </c>
      <c r="E119" s="67" t="n">
        <f aca="false">0*B119</f>
        <v>0</v>
      </c>
      <c r="F119" s="67" t="n">
        <f aca="false">E119+D119</f>
        <v>1.45046019074412</v>
      </c>
      <c r="G119" s="65" t="n">
        <f aca="false">F119/B119*100</f>
        <v>7.134</v>
      </c>
      <c r="H119" s="60"/>
    </row>
    <row r="120" customFormat="false" ht="12.75" hidden="false" customHeight="false" outlineLevel="0" collapsed="false">
      <c r="A120" s="113" t="s">
        <v>77</v>
      </c>
      <c r="B120" s="114" t="n">
        <f aca="false">3.545652032*0.984</f>
        <v>3.488921599488</v>
      </c>
      <c r="C120" s="65" t="n">
        <f aca="false">7.315</f>
        <v>7.315</v>
      </c>
      <c r="D120" s="123" t="n">
        <f aca="false">C120*B120/100</f>
        <v>0.255214615002547</v>
      </c>
      <c r="E120" s="67" t="n">
        <f aca="false">0*B120</f>
        <v>0</v>
      </c>
      <c r="F120" s="67" t="n">
        <f aca="false">E120+D120</f>
        <v>0.255214615002547</v>
      </c>
      <c r="G120" s="65" t="n">
        <f aca="false">F120/B120*100</f>
        <v>7.315</v>
      </c>
      <c r="H120" s="60"/>
    </row>
    <row r="121" customFormat="false" ht="12.75" hidden="false" customHeight="false" outlineLevel="0" collapsed="false">
      <c r="A121" s="113" t="s">
        <v>78</v>
      </c>
      <c r="B121" s="64" t="n">
        <f aca="false">21.318667968*0.984</f>
        <v>20.977569280512</v>
      </c>
      <c r="C121" s="65" t="n">
        <f aca="false">7.134</f>
        <v>7.134</v>
      </c>
      <c r="D121" s="123" t="n">
        <f aca="false">C121*B121/100</f>
        <v>1.49653979247173</v>
      </c>
      <c r="E121" s="67" t="n">
        <f aca="false">0*B121</f>
        <v>0</v>
      </c>
      <c r="F121" s="67" t="n">
        <f aca="false">E121+D121</f>
        <v>1.49653979247173</v>
      </c>
      <c r="G121" s="65" t="n">
        <f aca="false">F121/B121*100</f>
        <v>7.134</v>
      </c>
      <c r="H121" s="60"/>
    </row>
    <row r="122" customFormat="false" ht="12.75" hidden="false" customHeight="false" outlineLevel="0" collapsed="false">
      <c r="A122" s="120"/>
      <c r="B122" s="64"/>
      <c r="C122" s="65"/>
      <c r="D122" s="123"/>
      <c r="E122" s="67"/>
      <c r="F122" s="67"/>
      <c r="G122" s="65"/>
      <c r="H122" s="60"/>
    </row>
    <row r="123" customFormat="false" ht="12.75" hidden="false" customHeight="false" outlineLevel="0" collapsed="false">
      <c r="A123" s="120" t="s">
        <v>85</v>
      </c>
      <c r="B123" s="64"/>
      <c r="C123" s="65"/>
      <c r="D123" s="123"/>
      <c r="E123" s="67"/>
      <c r="F123" s="67"/>
      <c r="G123" s="65"/>
      <c r="H123" s="60"/>
    </row>
    <row r="124" customFormat="false" ht="12.75" hidden="false" customHeight="false" outlineLevel="0" collapsed="false">
      <c r="A124" s="63" t="s">
        <v>41</v>
      </c>
      <c r="B124" s="64" t="n">
        <f aca="false">SUM($B$118:$B$121)*B21</f>
        <v>23.4878312448</v>
      </c>
      <c r="C124" s="65" t="n">
        <v>6.5</v>
      </c>
      <c r="D124" s="123" t="n">
        <f aca="false">C124*B124/100</f>
        <v>1.526709030912</v>
      </c>
      <c r="E124" s="67" t="n">
        <f aca="false">B124*(B14-C124)/100</f>
        <v>0</v>
      </c>
      <c r="F124" s="67" t="n">
        <f aca="false">E124+D124</f>
        <v>1.526709030912</v>
      </c>
      <c r="G124" s="65" t="n">
        <f aca="false">F124/B124*100</f>
        <v>6.5</v>
      </c>
      <c r="H124" s="60"/>
    </row>
    <row r="125" customFormat="false" ht="12.75" hidden="false" customHeight="false" outlineLevel="0" collapsed="false">
      <c r="A125" s="63" t="s">
        <v>43</v>
      </c>
      <c r="B125" s="64" t="n">
        <f aca="false">SUM($B$118:$B$121)*B22</f>
        <v>5.38262799360001</v>
      </c>
      <c r="C125" s="65" t="n">
        <v>6.5</v>
      </c>
      <c r="D125" s="123" t="n">
        <f aca="false">C125*B125/100</f>
        <v>0.349870819584</v>
      </c>
      <c r="E125" s="67" t="n">
        <f aca="false">B125*(B15-C125)/100</f>
        <v>0</v>
      </c>
      <c r="F125" s="67" t="n">
        <f aca="false">E125+D125</f>
        <v>0.349870819584</v>
      </c>
      <c r="G125" s="65" t="n">
        <f aca="false">F125/B125*100</f>
        <v>6.5</v>
      </c>
      <c r="H125" s="60"/>
    </row>
    <row r="126" customFormat="false" ht="12.75" hidden="false" customHeight="false" outlineLevel="0" collapsed="false">
      <c r="A126" s="68" t="s">
        <v>45</v>
      </c>
      <c r="B126" s="64" t="n">
        <f aca="false">SUM($B$118:$B$121)*B23</f>
        <v>8.31860689920001</v>
      </c>
      <c r="C126" s="65" t="n">
        <v>6.5</v>
      </c>
      <c r="D126" s="123" t="n">
        <f aca="false">C126*B126/100</f>
        <v>0.540709448448001</v>
      </c>
      <c r="E126" s="67" t="n">
        <f aca="false">B126*(B16-C126)/100</f>
        <v>0.315539585220213</v>
      </c>
      <c r="F126" s="67" t="n">
        <f aca="false">E126+D126</f>
        <v>0.856249033668214</v>
      </c>
      <c r="G126" s="65" t="n">
        <f aca="false">F126/B126*100</f>
        <v>10.2931782213505</v>
      </c>
      <c r="H126" s="60"/>
    </row>
    <row r="127" customFormat="false" ht="12.75" hidden="false" customHeight="false" outlineLevel="0" collapsed="false">
      <c r="A127" s="68" t="s">
        <v>81</v>
      </c>
      <c r="B127" s="64" t="n">
        <f aca="false">SUM($B$118:$B$121)*B24</f>
        <v>5.87195781120001</v>
      </c>
      <c r="C127" s="65" t="n">
        <v>6.5</v>
      </c>
      <c r="D127" s="123" t="n">
        <f aca="false">C127*B127/100</f>
        <v>0.381677257728001</v>
      </c>
      <c r="E127" s="67" t="n">
        <f aca="false">B127*(B17-C127)/100</f>
        <v>0.445550760382142</v>
      </c>
      <c r="F127" s="67" t="n">
        <f aca="false">E127+D127</f>
        <v>0.827228018110143</v>
      </c>
      <c r="G127" s="65" t="n">
        <f aca="false">F127/B127*100</f>
        <v>14.0877718251366</v>
      </c>
      <c r="H127" s="60"/>
    </row>
    <row r="128" customFormat="false" ht="12.75" hidden="false" customHeight="false" outlineLevel="0" collapsed="false">
      <c r="A128" s="68" t="s">
        <v>48</v>
      </c>
      <c r="B128" s="64" t="n">
        <f aca="false">SUM($B$118:$B$121)*B25</f>
        <v>5.87195781120001</v>
      </c>
      <c r="C128" s="65" t="n">
        <v>7.5</v>
      </c>
      <c r="D128" s="123" t="n">
        <f aca="false">C128*B128/100</f>
        <v>0.440396835840001</v>
      </c>
      <c r="E128" s="67" t="n">
        <f aca="false">B128*(B18-C128)/100</f>
        <v>0.609992102903742</v>
      </c>
      <c r="F128" s="67" t="n">
        <f aca="false">E128+D128</f>
        <v>1.05038893874374</v>
      </c>
      <c r="G128" s="65" t="n">
        <f aca="false">F128/B128*100</f>
        <v>17.8882235281095</v>
      </c>
      <c r="H128" s="60"/>
    </row>
    <row r="129" customFormat="false" ht="12.75" hidden="false" customHeight="false" outlineLevel="0" collapsed="false">
      <c r="A129" s="60"/>
      <c r="B129" s="140"/>
      <c r="C129" s="122"/>
      <c r="D129" s="123"/>
      <c r="E129" s="67"/>
      <c r="F129" s="67"/>
      <c r="G129" s="65"/>
      <c r="H129" s="60"/>
    </row>
    <row r="130" customFormat="false" ht="13.5" hidden="false" customHeight="false" outlineLevel="0" collapsed="false">
      <c r="A130" s="131" t="s">
        <v>86</v>
      </c>
      <c r="B130" s="94" t="n">
        <f aca="false">SUM(B118:B121)</f>
        <v>48.93298176</v>
      </c>
      <c r="C130" s="97" t="n">
        <f aca="false">D130/B130*100</f>
        <v>13.8970353</v>
      </c>
      <c r="D130" s="132" t="n">
        <f aca="false">SUM(D118:D128)</f>
        <v>6.80023374852976</v>
      </c>
      <c r="E130" s="132" t="n">
        <f aca="false">SUM(E118:E128)</f>
        <v>1.3710824485061</v>
      </c>
      <c r="F130" s="132" t="n">
        <f aca="false">SUM(F118:F128)</f>
        <v>8.17131619703586</v>
      </c>
      <c r="G130" s="97" t="n">
        <f aca="false">F130/B130*100</f>
        <v>16.6989950400191</v>
      </c>
      <c r="H130" s="133" t="n">
        <f aca="false">(G130-C130)/C130</f>
        <v>0.201622841097562</v>
      </c>
    </row>
    <row r="131" customFormat="false" ht="13.5" hidden="false" customHeight="false" outlineLevel="0" collapsed="false">
      <c r="A131" s="60"/>
      <c r="B131" s="139"/>
      <c r="C131" s="137"/>
      <c r="D131" s="141"/>
      <c r="E131" s="67"/>
      <c r="F131" s="142"/>
      <c r="G131" s="137"/>
      <c r="H131" s="60"/>
    </row>
    <row r="132" customFormat="false" ht="12.75" hidden="false" customHeight="false" outlineLevel="0" collapsed="false">
      <c r="A132" s="60"/>
      <c r="B132" s="61"/>
      <c r="D132" s="141"/>
      <c r="E132" s="69"/>
      <c r="F132" s="143"/>
      <c r="G132" s="144"/>
      <c r="H132" s="60"/>
    </row>
    <row r="133" customFormat="false" ht="12.75" hidden="false" customHeight="false" outlineLevel="0" collapsed="false">
      <c r="H133" s="2" t="s">
        <v>87</v>
      </c>
    </row>
    <row r="134" customFormat="false" ht="20.25" hidden="false" customHeight="false" outlineLevel="0" collapsed="false">
      <c r="A134" s="3" t="s">
        <v>1</v>
      </c>
      <c r="B134" s="3"/>
      <c r="C134" s="3"/>
      <c r="D134" s="3"/>
      <c r="E134" s="3"/>
      <c r="F134" s="3"/>
      <c r="G134" s="3"/>
      <c r="H134" s="3"/>
    </row>
    <row r="135" customFormat="false" ht="20.25" hidden="false" customHeight="false" outlineLevel="0" collapsed="false">
      <c r="A135" s="3" t="s">
        <v>2</v>
      </c>
      <c r="B135" s="3"/>
      <c r="C135" s="3"/>
      <c r="D135" s="3"/>
      <c r="E135" s="3"/>
      <c r="F135" s="3"/>
      <c r="G135" s="3"/>
      <c r="H135" s="3"/>
    </row>
    <row r="136" customFormat="false" ht="13.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</row>
    <row r="137" customFormat="false" ht="12.75" hidden="false" customHeight="false" outlineLevel="0" collapsed="false">
      <c r="A137" s="145" t="s">
        <v>88</v>
      </c>
      <c r="B137" s="146"/>
      <c r="C137" s="147"/>
      <c r="D137" s="4"/>
      <c r="E137" s="4"/>
      <c r="F137" s="4"/>
      <c r="G137" s="4"/>
      <c r="H137" s="4"/>
    </row>
    <row r="138" customFormat="false" ht="12.75" hidden="false" customHeight="false" outlineLevel="0" collapsed="false">
      <c r="A138" s="11"/>
      <c r="B138" s="148"/>
      <c r="C138" s="149"/>
      <c r="D138" s="4"/>
      <c r="E138" s="4"/>
      <c r="F138" s="4"/>
      <c r="G138" s="4"/>
      <c r="H138" s="4"/>
    </row>
    <row r="139" customFormat="false" ht="12.75" hidden="false" customHeight="false" outlineLevel="0" collapsed="false">
      <c r="A139" s="34" t="s">
        <v>89</v>
      </c>
      <c r="B139" s="148"/>
      <c r="C139" s="149"/>
      <c r="D139" s="4"/>
      <c r="E139" s="4"/>
      <c r="F139" s="4"/>
      <c r="G139" s="4"/>
      <c r="H139" s="4"/>
    </row>
    <row r="140" customFormat="false" ht="12.75" hidden="false" customHeight="false" outlineLevel="0" collapsed="false">
      <c r="A140" s="34" t="s">
        <v>90</v>
      </c>
      <c r="B140" s="148"/>
      <c r="C140" s="150" t="n">
        <f aca="false">G153-C153</f>
        <v>16.1227531913099</v>
      </c>
      <c r="D140" s="4"/>
      <c r="E140" s="4"/>
      <c r="F140" s="4"/>
      <c r="G140" s="4"/>
      <c r="H140" s="4"/>
    </row>
    <row r="141" customFormat="false" ht="12.75" hidden="false" customHeight="false" outlineLevel="0" collapsed="false">
      <c r="A141" s="34" t="s">
        <v>91</v>
      </c>
      <c r="B141" s="148"/>
      <c r="C141" s="150" t="n">
        <f aca="false">G154-C154</f>
        <v>2.20105891973458</v>
      </c>
      <c r="D141" s="4"/>
      <c r="E141" s="4"/>
      <c r="F141" s="4"/>
      <c r="G141" s="4"/>
      <c r="H141" s="4"/>
    </row>
    <row r="142" customFormat="false" ht="12.75" hidden="false" customHeight="false" outlineLevel="0" collapsed="false">
      <c r="A142" s="34" t="s">
        <v>92</v>
      </c>
      <c r="B142" s="148"/>
      <c r="C142" s="150" t="n">
        <f aca="false">G155-C155</f>
        <v>-1.66607837792523</v>
      </c>
      <c r="D142" s="4"/>
      <c r="E142" s="4"/>
      <c r="F142" s="4"/>
      <c r="G142" s="4"/>
      <c r="H142" s="4"/>
    </row>
    <row r="143" customFormat="false" ht="12.75" hidden="false" customHeight="false" outlineLevel="0" collapsed="false">
      <c r="A143" s="34"/>
      <c r="B143" s="148"/>
      <c r="C143" s="150"/>
      <c r="D143" s="4"/>
      <c r="E143" s="4"/>
      <c r="F143" s="4"/>
      <c r="G143" s="4"/>
      <c r="H143" s="4"/>
    </row>
    <row r="144" customFormat="false" ht="12.75" hidden="false" customHeight="false" outlineLevel="0" collapsed="false">
      <c r="A144" s="11" t="s">
        <v>93</v>
      </c>
      <c r="B144" s="148"/>
      <c r="C144" s="150"/>
      <c r="D144" s="4"/>
      <c r="E144" s="151"/>
      <c r="F144" s="4"/>
      <c r="G144" s="4"/>
      <c r="H144" s="4"/>
    </row>
    <row r="145" customFormat="false" ht="12.75" hidden="false" customHeight="false" outlineLevel="0" collapsed="false">
      <c r="A145" s="34" t="s">
        <v>94</v>
      </c>
      <c r="B145" s="148"/>
      <c r="C145" s="150" t="n">
        <v>2.6</v>
      </c>
      <c r="D145" s="4"/>
      <c r="E145" s="4"/>
      <c r="F145" s="4"/>
      <c r="G145" s="4"/>
      <c r="H145" s="4"/>
    </row>
    <row r="146" customFormat="false" ht="13.5" hidden="false" customHeight="false" outlineLevel="0" collapsed="false">
      <c r="A146" s="40" t="s">
        <v>95</v>
      </c>
      <c r="B146" s="152"/>
      <c r="C146" s="153" t="n">
        <v>1.23</v>
      </c>
      <c r="D146" s="4"/>
      <c r="E146" s="4"/>
      <c r="F146" s="4"/>
      <c r="G146" s="4"/>
      <c r="H146" s="4"/>
    </row>
    <row r="147" customFormat="false" ht="13.5" hidden="false" customHeight="false" outlineLevel="0" collapsed="false">
      <c r="A147" s="154"/>
      <c r="B147" s="148"/>
      <c r="C147" s="148"/>
      <c r="D147" s="4"/>
      <c r="E147" s="4"/>
      <c r="F147" s="4"/>
      <c r="G147" s="4"/>
      <c r="H147" s="4"/>
    </row>
    <row r="148" customFormat="false" ht="64.5" hidden="false" customHeight="false" outlineLevel="0" collapsed="false">
      <c r="A148" s="45" t="s">
        <v>24</v>
      </c>
      <c r="B148" s="47" t="s">
        <v>25</v>
      </c>
      <c r="C148" s="47" t="s">
        <v>26</v>
      </c>
      <c r="D148" s="47" t="s">
        <v>27</v>
      </c>
      <c r="E148" s="47" t="s">
        <v>28</v>
      </c>
      <c r="F148" s="47" t="s">
        <v>29</v>
      </c>
      <c r="G148" s="47" t="s">
        <v>30</v>
      </c>
      <c r="H148" s="47" t="s">
        <v>31</v>
      </c>
    </row>
    <row r="149" customFormat="false" ht="12.75" hidden="false" customHeight="false" outlineLevel="0" collapsed="false">
      <c r="A149" s="60"/>
      <c r="B149" s="139"/>
      <c r="C149" s="137"/>
      <c r="D149" s="141"/>
      <c r="E149" s="142"/>
      <c r="F149" s="142"/>
      <c r="G149" s="137"/>
      <c r="H149" s="60"/>
      <c r="M149" s="104"/>
      <c r="N149" s="56" t="s">
        <v>96</v>
      </c>
      <c r="O149" s="56"/>
      <c r="P149" s="155"/>
      <c r="Q149" s="56" t="s">
        <v>35</v>
      </c>
      <c r="S149" s="56" t="s">
        <v>97</v>
      </c>
    </row>
    <row r="150" customFormat="false" ht="12.75" hidden="false" customHeight="false" outlineLevel="0" collapsed="false">
      <c r="A150" s="108" t="s">
        <v>98</v>
      </c>
      <c r="B150" s="139"/>
      <c r="C150" s="137"/>
      <c r="D150" s="141"/>
      <c r="E150" s="142"/>
      <c r="F150" s="142"/>
      <c r="G150" s="156"/>
      <c r="H150" s="60"/>
      <c r="M150" s="115"/>
      <c r="N150" s="59" t="s">
        <v>99</v>
      </c>
      <c r="O150" s="111"/>
      <c r="P150" s="111"/>
      <c r="Q150" s="59" t="s">
        <v>100</v>
      </c>
      <c r="S150" s="59" t="s">
        <v>101</v>
      </c>
    </row>
    <row r="151" customFormat="false" ht="12.75" hidden="false" customHeight="false" outlineLevel="0" collapsed="false">
      <c r="A151" s="108"/>
      <c r="B151" s="139"/>
      <c r="C151" s="137"/>
      <c r="D151" s="141"/>
      <c r="E151" s="142"/>
      <c r="F151" s="142"/>
      <c r="G151" s="156"/>
      <c r="H151" s="60"/>
      <c r="M151" s="116" t="s">
        <v>75</v>
      </c>
      <c r="N151" s="157" t="n">
        <f aca="false">B153</f>
        <v>0.017240750592</v>
      </c>
      <c r="O151" s="158"/>
      <c r="Q151" s="87" t="n">
        <f aca="false">Q152*2.6</f>
        <v>0.226227531913099</v>
      </c>
      <c r="S151" s="51" t="n">
        <f aca="false">Q151*N151</f>
        <v>0.00390033245475746</v>
      </c>
    </row>
    <row r="152" customFormat="false" ht="12.75" hidden="false" customHeight="false" outlineLevel="0" collapsed="false">
      <c r="A152" s="57" t="s">
        <v>37</v>
      </c>
      <c r="B152" s="139"/>
      <c r="C152" s="137"/>
      <c r="D152" s="141"/>
      <c r="E152" s="142"/>
      <c r="F152" s="142"/>
      <c r="G152" s="156"/>
      <c r="H152" s="60"/>
      <c r="M152" s="116" t="s">
        <v>76</v>
      </c>
      <c r="N152" s="157" t="n">
        <f aca="false">B154</f>
        <v>0.050682722688</v>
      </c>
      <c r="O152" s="158"/>
      <c r="Q152" s="87" t="n">
        <f aca="false">0.095*S164</f>
        <v>0.0870105891973458</v>
      </c>
      <c r="S152" s="51" t="n">
        <f aca="false">Q152*N152</f>
        <v>0.00440993356320856</v>
      </c>
    </row>
    <row r="153" customFormat="false" ht="12.75" hidden="false" customHeight="false" outlineLevel="0" collapsed="false">
      <c r="A153" s="113" t="s">
        <v>75</v>
      </c>
      <c r="B153" s="159" t="n">
        <f aca="false">0.017521088*0.984</f>
        <v>0.017240750592</v>
      </c>
      <c r="C153" s="65" t="n">
        <f aca="false">8.671+6.5</f>
        <v>15.171</v>
      </c>
      <c r="D153" s="123" t="n">
        <f aca="false">C153*B153/100</f>
        <v>0.00261559427231232</v>
      </c>
      <c r="E153" s="67" t="n">
        <f aca="false">B153*(Q151-0.065)</f>
        <v>0.00277968366627746</v>
      </c>
      <c r="F153" s="67" t="n">
        <f aca="false">D153+E153</f>
        <v>0.00539527793858978</v>
      </c>
      <c r="G153" s="65" t="n">
        <f aca="false">F153/B153*100</f>
        <v>31.2937531913099</v>
      </c>
      <c r="H153" s="60"/>
      <c r="M153" s="2" t="s">
        <v>102</v>
      </c>
      <c r="N153" s="157" t="n">
        <f aca="false">B155</f>
        <v>0.04055268672</v>
      </c>
      <c r="Q153" s="87" t="n">
        <f aca="false">Q152/1.8</f>
        <v>0.0483392162207477</v>
      </c>
      <c r="S153" s="51" t="n">
        <f aca="false">Q153*N153</f>
        <v>0.00196028509169032</v>
      </c>
    </row>
    <row r="154" customFormat="false" ht="12.75" hidden="false" customHeight="false" outlineLevel="0" collapsed="false">
      <c r="A154" s="113" t="s">
        <v>76</v>
      </c>
      <c r="B154" s="159" t="n">
        <f aca="false">0.051506832*0.984</f>
        <v>0.050682722688</v>
      </c>
      <c r="C154" s="65" t="n">
        <f aca="false">7.158+6.5</f>
        <v>13.658</v>
      </c>
      <c r="D154" s="123" t="n">
        <f aca="false">C154*B154/100</f>
        <v>0.00692224626472704</v>
      </c>
      <c r="E154" s="67" t="n">
        <f aca="false">B154*(Q152-0.065)</f>
        <v>0.00111555658848856</v>
      </c>
      <c r="F154" s="67" t="n">
        <f aca="false">D154+E154</f>
        <v>0.00803780285321561</v>
      </c>
      <c r="G154" s="65" t="n">
        <f aca="false">F154/B154*100</f>
        <v>15.8590589197346</v>
      </c>
      <c r="H154" s="60"/>
      <c r="M154" s="116" t="s">
        <v>77</v>
      </c>
      <c r="N154" s="157" t="n">
        <f aca="false">B156</f>
        <v>0.017326098816</v>
      </c>
      <c r="O154" s="158"/>
      <c r="Q154" s="87" t="n">
        <f aca="false">Q151</f>
        <v>0.226227531913099</v>
      </c>
      <c r="S154" s="51" t="n">
        <f aca="false">Q154*N154</f>
        <v>0.00391964057282615</v>
      </c>
    </row>
    <row r="155" customFormat="false" ht="12.75" hidden="false" customHeight="false" outlineLevel="0" collapsed="false">
      <c r="A155" s="113" t="s">
        <v>103</v>
      </c>
      <c r="B155" s="159" t="n">
        <f aca="false">0.04121208*0.984</f>
        <v>0.04055268672</v>
      </c>
      <c r="C155" s="65" t="n">
        <f aca="false">6.954+6.5</f>
        <v>13.454</v>
      </c>
      <c r="D155" s="123" t="n">
        <f aca="false">C155*B155/100</f>
        <v>0.0054559584713088</v>
      </c>
      <c r="E155" s="67" t="n">
        <f aca="false">B155*(Q153-0.065)</f>
        <v>-0.000675639545109678</v>
      </c>
      <c r="F155" s="67" t="n">
        <f aca="false">D155+E155</f>
        <v>0.00478031892619912</v>
      </c>
      <c r="G155" s="65" t="n">
        <f aca="false">F155/B155*100</f>
        <v>11.7879216220748</v>
      </c>
      <c r="H155" s="60"/>
      <c r="M155" s="116" t="s">
        <v>78</v>
      </c>
      <c r="N155" s="157" t="n">
        <f aca="false">B157</f>
        <v>0.0520839072</v>
      </c>
      <c r="O155" s="117"/>
      <c r="Q155" s="87" t="n">
        <f aca="false">Q152</f>
        <v>0.0870105891973458</v>
      </c>
      <c r="S155" s="51" t="n">
        <f aca="false">Q155*N155</f>
        <v>0.00453185145317188</v>
      </c>
    </row>
    <row r="156" customFormat="false" ht="12.75" hidden="false" customHeight="false" outlineLevel="0" collapsed="false">
      <c r="A156" s="113" t="s">
        <v>77</v>
      </c>
      <c r="B156" s="159" t="n">
        <f aca="false">0.017607824*0.984</f>
        <v>0.017326098816</v>
      </c>
      <c r="C156" s="65" t="n">
        <f aca="false">7.376+6.5</f>
        <v>13.876</v>
      </c>
      <c r="D156" s="123" t="n">
        <f aca="false">C156*B156/100</f>
        <v>0.00240416947170816</v>
      </c>
      <c r="E156" s="67" t="n">
        <f aca="false">B156*(Q154-0.065)</f>
        <v>0.00279344414978615</v>
      </c>
      <c r="F156" s="67" t="n">
        <f aca="false">D156+E156</f>
        <v>0.00519761362149431</v>
      </c>
      <c r="G156" s="65" t="n">
        <f aca="false">F156/B156*100</f>
        <v>29.9987531913099</v>
      </c>
      <c r="H156" s="60"/>
      <c r="M156" s="58" t="s">
        <v>102</v>
      </c>
      <c r="N156" s="160" t="n">
        <f aca="false">B158</f>
        <v>0.039066153984</v>
      </c>
      <c r="O156" s="161"/>
      <c r="P156" s="161"/>
      <c r="Q156" s="162" t="n">
        <f aca="false">Q153</f>
        <v>0.0483392162207477</v>
      </c>
      <c r="R156" s="161"/>
      <c r="S156" s="163" t="n">
        <f aca="false">Q156*N156</f>
        <v>0.0018884272643456</v>
      </c>
    </row>
    <row r="157" customFormat="false" ht="12.75" hidden="false" customHeight="false" outlineLevel="0" collapsed="false">
      <c r="A157" s="113" t="s">
        <v>78</v>
      </c>
      <c r="B157" s="159" t="n">
        <f aca="false">0.0529308*0.984</f>
        <v>0.0520839072</v>
      </c>
      <c r="C157" s="65" t="n">
        <f aca="false">7.158+6.5</f>
        <v>13.658</v>
      </c>
      <c r="D157" s="123" t="n">
        <f aca="false">C157*B157/100</f>
        <v>0.007113620045376</v>
      </c>
      <c r="E157" s="67" t="n">
        <f aca="false">B157*(Q155-0.065)</f>
        <v>0.00114639748517188</v>
      </c>
      <c r="F157" s="67" t="n">
        <f aca="false">D157+E157</f>
        <v>0.00826001753054788</v>
      </c>
      <c r="G157" s="65" t="n">
        <f aca="false">F157/B157*100</f>
        <v>15.8590589197346</v>
      </c>
      <c r="H157" s="60"/>
      <c r="M157" s="104" t="s">
        <v>104</v>
      </c>
      <c r="N157" s="157" t="n">
        <f aca="false">SUM(N151:N156)</f>
        <v>0.21695232</v>
      </c>
      <c r="O157" s="158"/>
      <c r="S157" s="55" t="n">
        <f aca="false">SUM(S151:S156)</f>
        <v>0.0206104704</v>
      </c>
    </row>
    <row r="158" customFormat="false" ht="12.75" hidden="false" customHeight="false" outlineLevel="0" collapsed="false">
      <c r="A158" s="113" t="s">
        <v>103</v>
      </c>
      <c r="B158" s="159" t="n">
        <f aca="false">0.039701376*0.984</f>
        <v>0.039066153984</v>
      </c>
      <c r="C158" s="65" t="n">
        <f aca="false">6.954+6.5</f>
        <v>13.454</v>
      </c>
      <c r="D158" s="123" t="n">
        <f aca="false">C158*B158/100</f>
        <v>0.00525596035700736</v>
      </c>
      <c r="E158" s="67" t="n">
        <f aca="false">B158*(Q156-0.065)</f>
        <v>-0.000650872744614402</v>
      </c>
      <c r="F158" s="67" t="n">
        <f aca="false">D158+E158</f>
        <v>0.00460508761239296</v>
      </c>
      <c r="G158" s="65" t="n">
        <f aca="false">F158/B158*100</f>
        <v>11.7879216220748</v>
      </c>
      <c r="H158" s="60"/>
      <c r="M158" s="104"/>
      <c r="N158" s="157"/>
    </row>
    <row r="159" customFormat="false" ht="12.75" hidden="false" customHeight="false" outlineLevel="0" collapsed="false">
      <c r="A159" s="120"/>
      <c r="B159" s="139"/>
      <c r="C159" s="65"/>
      <c r="D159" s="123"/>
      <c r="E159" s="67"/>
      <c r="F159" s="67"/>
      <c r="G159" s="65"/>
      <c r="H159" s="60"/>
      <c r="M159" s="104" t="s">
        <v>104</v>
      </c>
      <c r="N159" s="164" t="n">
        <f aca="false">N157</f>
        <v>0.21695232</v>
      </c>
      <c r="O159" s="125"/>
      <c r="P159" s="74"/>
      <c r="Q159" s="165" t="n">
        <f aca="false">0.065+0.0277+N56</f>
        <v>0.0930847698591039</v>
      </c>
      <c r="S159" s="166" t="n">
        <f aca="false">Q159*N159</f>
        <v>0.0201949567775987</v>
      </c>
    </row>
    <row r="160" customFormat="false" ht="13.5" hidden="false" customHeight="false" outlineLevel="0" collapsed="false">
      <c r="A160" s="131" t="s">
        <v>105</v>
      </c>
      <c r="B160" s="167" t="n">
        <f aca="false">SUM(B153:B158)</f>
        <v>0.21695232</v>
      </c>
      <c r="C160" s="97" t="n">
        <f aca="false">B153/B160*C153+B154/B160*C154+B155/B160*C155+B156/B160*C156+B157/B160*C157+B158/B160*C158</f>
        <v>13.7207792396226</v>
      </c>
      <c r="D160" s="132" t="n">
        <f aca="false">SUM(D153:D158)</f>
        <v>0.0297675488824397</v>
      </c>
      <c r="E160" s="132" t="n">
        <f aca="false">SUM(E153:E158)</f>
        <v>0.00650856959999997</v>
      </c>
      <c r="F160" s="132" t="n">
        <f aca="false">SUM(F153:F158)</f>
        <v>0.0362761184824397</v>
      </c>
      <c r="G160" s="97" t="n">
        <f aca="false">F160/B160*100</f>
        <v>16.7207792396226</v>
      </c>
      <c r="H160" s="133" t="n">
        <f aca="false">(G160-C160)/C160</f>
        <v>0.218646473907009</v>
      </c>
      <c r="M160" s="104"/>
      <c r="N160" s="125"/>
      <c r="O160" s="125"/>
      <c r="P160" s="74"/>
      <c r="Q160" s="168"/>
      <c r="S160" s="166"/>
    </row>
    <row r="161" customFormat="false" ht="13.5" hidden="false" customHeight="false" outlineLevel="0" collapsed="false">
      <c r="A161" s="60"/>
      <c r="B161" s="169"/>
      <c r="C161" s="135"/>
      <c r="D161" s="136"/>
      <c r="E161" s="136"/>
      <c r="F161" s="136"/>
      <c r="G161" s="170"/>
      <c r="H161" s="171"/>
      <c r="M161" s="104"/>
      <c r="N161" s="164"/>
      <c r="O161" s="125"/>
      <c r="P161" s="74"/>
      <c r="Q161" s="168"/>
      <c r="S161" s="166"/>
    </row>
    <row r="162" customFormat="false" ht="13.5" hidden="false" customHeight="false" outlineLevel="0" collapsed="false">
      <c r="A162" s="172"/>
      <c r="B162" s="173"/>
      <c r="C162" s="174"/>
      <c r="D162" s="175"/>
      <c r="E162" s="176"/>
      <c r="F162" s="176"/>
      <c r="G162" s="174"/>
      <c r="H162" s="172"/>
      <c r="M162" s="177" t="s">
        <v>106</v>
      </c>
      <c r="N162" s="178"/>
      <c r="O162" s="178"/>
      <c r="P162" s="178"/>
      <c r="Q162" s="178"/>
      <c r="R162" s="178"/>
      <c r="S162" s="179" t="n">
        <f aca="false">S159</f>
        <v>0.0201949567775987</v>
      </c>
    </row>
    <row r="163" customFormat="false" ht="13.5" hidden="false" customHeight="false" outlineLevel="0" collapsed="false">
      <c r="A163" s="180" t="s">
        <v>107</v>
      </c>
      <c r="B163" s="180" t="n">
        <f aca="false">B67+B111+B130+B160+B160</f>
        <v>6450.43214809888</v>
      </c>
      <c r="C163" s="181" t="n">
        <f aca="false">B67/B163*C67+B111/B163*C111+B130/B163*C130+B160/B163*C160</f>
        <v>13.8954951991753</v>
      </c>
      <c r="D163" s="182" t="n">
        <f aca="false">D67+D111+D130+D160+D160</f>
        <v>896.34925701402</v>
      </c>
      <c r="E163" s="182" t="n">
        <f aca="false">E67+E111+E130+E160+E160</f>
        <v>174.68649359637</v>
      </c>
      <c r="F163" s="182" t="n">
        <f aca="false">F67+F111+F130+F160+F160</f>
        <v>1071.03575061039</v>
      </c>
      <c r="G163" s="183" t="n">
        <f aca="false">F163/B163*100</f>
        <v>16.6040929664853</v>
      </c>
      <c r="H163" s="184" t="n">
        <f aca="false">(G163-C163)/C163</f>
        <v>0.194926321695305</v>
      </c>
      <c r="M163" s="185" t="s">
        <v>108</v>
      </c>
      <c r="N163" s="12"/>
      <c r="O163" s="12"/>
      <c r="P163" s="12"/>
      <c r="Q163" s="12"/>
      <c r="R163" s="12"/>
      <c r="S163" s="186" t="n">
        <f aca="false">S157-S162</f>
        <v>0.00041551362240131</v>
      </c>
    </row>
    <row r="164" customFormat="false" ht="12.75" hidden="false" customHeight="false" outlineLevel="0" collapsed="false">
      <c r="A164" s="12"/>
      <c r="B164" s="12"/>
      <c r="C164" s="12"/>
      <c r="D164" s="12"/>
      <c r="E164" s="187"/>
      <c r="F164" s="12"/>
      <c r="G164" s="12"/>
      <c r="H164" s="12"/>
      <c r="M164" s="185" t="s">
        <v>109</v>
      </c>
      <c r="N164" s="12"/>
      <c r="O164" s="12"/>
      <c r="P164" s="12"/>
      <c r="Q164" s="12"/>
      <c r="R164" s="115"/>
      <c r="S164" s="188" t="n">
        <v>0.915900938919429</v>
      </c>
    </row>
    <row r="165" customFormat="false" ht="12.75" hidden="false" customHeight="false" outlineLevel="0" collapsed="false">
      <c r="A165" s="12"/>
      <c r="B165" s="12"/>
      <c r="C165" s="12"/>
      <c r="D165" s="127"/>
      <c r="E165" s="189"/>
      <c r="F165" s="12"/>
      <c r="G165" s="12"/>
      <c r="H165" s="12"/>
      <c r="M165" s="190" t="s">
        <v>110</v>
      </c>
      <c r="N165" s="161"/>
      <c r="O165" s="161"/>
      <c r="P165" s="161"/>
      <c r="Q165" s="161"/>
      <c r="R165" s="161"/>
      <c r="S165" s="191"/>
    </row>
    <row r="166" customFormat="false" ht="12.75" hidden="false" customHeight="false" outlineLevel="0" collapsed="false">
      <c r="A166" s="12"/>
      <c r="B166" s="12"/>
      <c r="C166" s="12"/>
      <c r="D166" s="127"/>
      <c r="E166" s="192"/>
      <c r="F166" s="12"/>
      <c r="G166" s="12"/>
      <c r="H166" s="12"/>
      <c r="M166" s="138"/>
      <c r="N166" s="12"/>
      <c r="O166" s="12"/>
      <c r="P166" s="12"/>
      <c r="Q166" s="12"/>
      <c r="R166" s="12"/>
      <c r="S166" s="12"/>
    </row>
    <row r="167" customFormat="false" ht="12.75" hidden="false" customHeight="false" outlineLevel="0" collapsed="false">
      <c r="A167" s="193" t="s">
        <v>111</v>
      </c>
      <c r="B167" s="12"/>
      <c r="C167" s="12"/>
      <c r="D167" s="12"/>
      <c r="E167" s="187"/>
      <c r="F167" s="12"/>
      <c r="G167" s="12"/>
      <c r="H167" s="12"/>
    </row>
    <row r="168" customFormat="false" ht="12.75" hidden="false" customHeight="false" outlineLevel="0" collapsed="false">
      <c r="A168" s="12" t="s">
        <v>112</v>
      </c>
      <c r="C168" s="12"/>
      <c r="D168" s="12"/>
      <c r="E168" s="187"/>
      <c r="F168" s="12"/>
      <c r="G168" s="12"/>
      <c r="H168" s="12"/>
    </row>
    <row r="169" customFormat="false" ht="12.75" hidden="false" customHeight="false" outlineLevel="0" collapsed="false">
      <c r="A169" s="12" t="s">
        <v>113</v>
      </c>
      <c r="C169" s="12"/>
      <c r="D169" s="12"/>
      <c r="E169" s="187"/>
      <c r="F169" s="12"/>
      <c r="G169" s="12"/>
      <c r="H169" s="12"/>
    </row>
    <row r="170" customFormat="false" ht="12.75" hidden="false" customHeight="false" outlineLevel="0" collapsed="false">
      <c r="A170" s="193" t="s">
        <v>114</v>
      </c>
      <c r="C170" s="12"/>
      <c r="D170" s="12"/>
      <c r="E170" s="187"/>
      <c r="F170" s="12"/>
      <c r="G170" s="12"/>
      <c r="H170" s="12"/>
    </row>
    <row r="171" customFormat="false" ht="12.75" hidden="false" customHeight="false" outlineLevel="0" collapsed="false">
      <c r="A171" s="193" t="s">
        <v>115</v>
      </c>
      <c r="C171" s="12"/>
      <c r="D171" s="12"/>
      <c r="E171" s="187"/>
      <c r="F171" s="12"/>
      <c r="G171" s="12"/>
      <c r="H171" s="12"/>
    </row>
    <row r="172" customFormat="false" ht="12.75" hidden="false" customHeight="false" outlineLevel="0" collapsed="false">
      <c r="A172" s="12" t="s">
        <v>116</v>
      </c>
      <c r="C172" s="12"/>
      <c r="D172" s="12"/>
      <c r="E172" s="187"/>
      <c r="F172" s="12"/>
      <c r="G172" s="12"/>
      <c r="H172" s="12"/>
    </row>
    <row r="173" customFormat="false" ht="12.75" hidden="false" customHeight="false" outlineLevel="0" collapsed="false">
      <c r="A173" s="12" t="s">
        <v>117</v>
      </c>
      <c r="C173" s="12"/>
      <c r="D173" s="12"/>
      <c r="E173" s="187"/>
      <c r="F173" s="12"/>
      <c r="G173" s="12"/>
      <c r="H173" s="12"/>
    </row>
    <row r="174" customFormat="false" ht="12.75" hidden="false" customHeight="false" outlineLevel="0" collapsed="false">
      <c r="A174" s="12" t="s">
        <v>118</v>
      </c>
      <c r="C174" s="12"/>
      <c r="D174" s="12"/>
      <c r="E174" s="187"/>
      <c r="F174" s="12"/>
      <c r="G174" s="12"/>
      <c r="H174" s="12"/>
    </row>
    <row r="175" customFormat="false" ht="12.75" hidden="false" customHeight="false" outlineLevel="0" collapsed="false">
      <c r="A175" s="12" t="s">
        <v>119</v>
      </c>
      <c r="C175" s="12"/>
      <c r="D175" s="12"/>
      <c r="E175" s="187"/>
      <c r="F175" s="12"/>
      <c r="G175" s="12"/>
      <c r="H175" s="12"/>
    </row>
    <row r="176" customFormat="false" ht="12.75" hidden="false" customHeight="false" outlineLevel="0" collapsed="false">
      <c r="A176" s="1" t="s">
        <v>120</v>
      </c>
      <c r="C176" s="12"/>
      <c r="D176" s="12"/>
      <c r="E176" s="187"/>
      <c r="F176" s="12"/>
      <c r="G176" s="12"/>
      <c r="H176" s="12"/>
    </row>
    <row r="177" customFormat="false" ht="12.75" hidden="false" customHeight="false" outlineLevel="0" collapsed="false">
      <c r="A177" s="12"/>
      <c r="B177" s="12"/>
      <c r="C177" s="12"/>
      <c r="D177" s="12"/>
      <c r="E177" s="187"/>
      <c r="F177" s="12"/>
      <c r="G177" s="12"/>
      <c r="H177" s="12"/>
    </row>
    <row r="178" customFormat="false" ht="12.75" hidden="false" customHeight="false" outlineLevel="0" collapsed="false">
      <c r="A178" s="12"/>
      <c r="B178" s="12"/>
      <c r="C178" s="12"/>
      <c r="D178" s="12"/>
      <c r="E178" s="187"/>
      <c r="F178" s="12"/>
      <c r="G178" s="12"/>
      <c r="H178" s="12"/>
    </row>
    <row r="179" customFormat="false" ht="12.75" hidden="false" customHeight="false" outlineLevel="0" collapsed="false">
      <c r="A179" s="12"/>
      <c r="B179" s="12"/>
      <c r="C179" s="12"/>
      <c r="D179" s="12"/>
      <c r="E179" s="187"/>
      <c r="F179" s="12"/>
      <c r="G179" s="12"/>
      <c r="H179" s="12"/>
    </row>
    <row r="180" customFormat="false" ht="12.75" hidden="false" customHeight="false" outlineLevel="0" collapsed="false">
      <c r="A180" s="12"/>
      <c r="B180" s="12"/>
      <c r="C180" s="12"/>
      <c r="D180" s="12"/>
      <c r="E180" s="187"/>
      <c r="F180" s="12"/>
      <c r="G180" s="12"/>
      <c r="H180" s="12"/>
    </row>
    <row r="181" customFormat="false" ht="12.75" hidden="false" customHeight="false" outlineLevel="0" collapsed="false">
      <c r="A181" s="12"/>
      <c r="B181" s="12"/>
      <c r="C181" s="12"/>
      <c r="D181" s="12"/>
      <c r="E181" s="187"/>
      <c r="F181" s="12"/>
      <c r="G181" s="12"/>
      <c r="H181" s="12"/>
    </row>
    <row r="182" customFormat="false" ht="12.75" hidden="false" customHeight="false" outlineLevel="0" collapsed="false">
      <c r="A182" s="12"/>
      <c r="B182" s="12"/>
      <c r="C182" s="12"/>
      <c r="D182" s="12"/>
      <c r="E182" s="187"/>
      <c r="F182" s="12"/>
      <c r="G182" s="12"/>
      <c r="H182" s="12"/>
    </row>
    <row r="183" customFormat="false" ht="12.75" hidden="false" customHeight="false" outlineLevel="0" collapsed="false">
      <c r="A183" s="12"/>
      <c r="B183" s="12"/>
      <c r="C183" s="12"/>
      <c r="D183" s="12"/>
      <c r="E183" s="187"/>
      <c r="F183" s="12"/>
      <c r="G183" s="12"/>
      <c r="H183" s="12"/>
    </row>
    <row r="184" customFormat="false" ht="12.75" hidden="false" customHeight="false" outlineLevel="0" collapsed="false">
      <c r="A184" s="12"/>
      <c r="B184" s="12"/>
      <c r="C184" s="12"/>
      <c r="D184" s="12"/>
      <c r="E184" s="187"/>
      <c r="F184" s="12"/>
      <c r="G184" s="12"/>
      <c r="H184" s="12"/>
    </row>
    <row r="185" customFormat="false" ht="12.75" hidden="false" customHeight="false" outlineLevel="0" collapsed="false">
      <c r="A185" s="12"/>
      <c r="B185" s="12"/>
      <c r="C185" s="12"/>
      <c r="D185" s="12"/>
      <c r="E185" s="187"/>
      <c r="F185" s="12"/>
      <c r="G185" s="12"/>
      <c r="H185" s="12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  <row r="1048" customFormat="false" ht="12.75" hidden="false" customHeight="false" outlineLevel="0" collapsed="false">
      <c r="E1048" s="194"/>
    </row>
    <row r="1049" customFormat="false" ht="12.75" hidden="false" customHeight="false" outlineLevel="0" collapsed="false">
      <c r="E1049" s="194"/>
    </row>
    <row r="1050" customFormat="false" ht="12.75" hidden="false" customHeight="false" outlineLevel="0" collapsed="false">
      <c r="E1050" s="194"/>
    </row>
    <row r="1051" customFormat="false" ht="12.75" hidden="false" customHeight="false" outlineLevel="0" collapsed="false">
      <c r="E1051" s="194"/>
    </row>
    <row r="1052" customFormat="false" ht="12.75" hidden="false" customHeight="false" outlineLevel="0" collapsed="false">
      <c r="E1052" s="194"/>
    </row>
    <row r="1053" customFormat="false" ht="12.75" hidden="false" customHeight="false" outlineLevel="0" collapsed="false">
      <c r="E1053" s="194"/>
    </row>
    <row r="1054" customFormat="false" ht="12.75" hidden="false" customHeight="false" outlineLevel="0" collapsed="false">
      <c r="E1054" s="194"/>
    </row>
    <row r="1055" customFormat="false" ht="12.75" hidden="false" customHeight="false" outlineLevel="0" collapsed="false">
      <c r="E1055" s="194"/>
    </row>
    <row r="1056" customFormat="false" ht="12.75" hidden="false" customHeight="false" outlineLevel="0" collapsed="false">
      <c r="E1056" s="194"/>
    </row>
    <row r="1057" customFormat="false" ht="12.75" hidden="false" customHeight="false" outlineLevel="0" collapsed="false">
      <c r="E1057" s="194"/>
    </row>
    <row r="1058" customFormat="false" ht="12.75" hidden="false" customHeight="false" outlineLevel="0" collapsed="false">
      <c r="E1058" s="194"/>
    </row>
    <row r="1059" customFormat="false" ht="12.75" hidden="false" customHeight="false" outlineLevel="0" collapsed="false">
      <c r="E1059" s="194"/>
    </row>
    <row r="1060" customFormat="false" ht="12.75" hidden="false" customHeight="false" outlineLevel="0" collapsed="false">
      <c r="E1060" s="194"/>
    </row>
    <row r="1061" customFormat="false" ht="12.75" hidden="false" customHeight="false" outlineLevel="0" collapsed="false">
      <c r="E1061" s="194"/>
    </row>
    <row r="1062" customFormat="false" ht="12.75" hidden="false" customHeight="false" outlineLevel="0" collapsed="false">
      <c r="E1062" s="194"/>
    </row>
    <row r="1063" customFormat="false" ht="12.75" hidden="false" customHeight="false" outlineLevel="0" collapsed="false">
      <c r="E1063" s="194"/>
    </row>
    <row r="1064" customFormat="false" ht="12.75" hidden="false" customHeight="false" outlineLevel="0" collapsed="false">
      <c r="E1064" s="194"/>
    </row>
    <row r="1065" customFormat="false" ht="12.75" hidden="false" customHeight="false" outlineLevel="0" collapsed="false">
      <c r="E1065" s="194"/>
    </row>
    <row r="1066" customFormat="false" ht="12.75" hidden="false" customHeight="false" outlineLevel="0" collapsed="false">
      <c r="E1066" s="194"/>
    </row>
    <row r="1067" customFormat="false" ht="12.75" hidden="false" customHeight="false" outlineLevel="0" collapsed="false">
      <c r="E1067" s="194"/>
    </row>
    <row r="1068" customFormat="false" ht="12.75" hidden="false" customHeight="false" outlineLevel="0" collapsed="false">
      <c r="E1068" s="194"/>
    </row>
    <row r="1069" customFormat="false" ht="12.75" hidden="false" customHeight="false" outlineLevel="0" collapsed="false">
      <c r="E1069" s="194"/>
    </row>
    <row r="1070" customFormat="false" ht="12.75" hidden="false" customHeight="false" outlineLevel="0" collapsed="false">
      <c r="E1070" s="194"/>
    </row>
    <row r="1071" customFormat="false" ht="12.75" hidden="false" customHeight="false" outlineLevel="0" collapsed="false">
      <c r="E1071" s="194"/>
    </row>
    <row r="1072" customFormat="false" ht="12.75" hidden="false" customHeight="false" outlineLevel="0" collapsed="false">
      <c r="E1072" s="194"/>
    </row>
    <row r="1073" customFormat="false" ht="12.75" hidden="false" customHeight="false" outlineLevel="0" collapsed="false">
      <c r="E1073" s="194"/>
    </row>
    <row r="1074" customFormat="false" ht="12.75" hidden="false" customHeight="false" outlineLevel="0" collapsed="false">
      <c r="E1074" s="194"/>
    </row>
    <row r="1075" customFormat="false" ht="12.75" hidden="false" customHeight="false" outlineLevel="0" collapsed="false">
      <c r="E1075" s="194"/>
    </row>
    <row r="1076" customFormat="false" ht="12.75" hidden="false" customHeight="false" outlineLevel="0" collapsed="false">
      <c r="E1076" s="194"/>
    </row>
    <row r="1077" customFormat="false" ht="12.75" hidden="false" customHeight="false" outlineLevel="0" collapsed="false">
      <c r="E1077" s="194"/>
    </row>
    <row r="1078" customFormat="false" ht="12.75" hidden="false" customHeight="false" outlineLevel="0" collapsed="false">
      <c r="E1078" s="194"/>
    </row>
    <row r="1079" customFormat="false" ht="12.75" hidden="false" customHeight="false" outlineLevel="0" collapsed="false">
      <c r="E1079" s="194"/>
    </row>
    <row r="1080" customFormat="false" ht="12.75" hidden="false" customHeight="false" outlineLevel="0" collapsed="false">
      <c r="E1080" s="194"/>
    </row>
    <row r="1081" customFormat="false" ht="12.75" hidden="false" customHeight="false" outlineLevel="0" collapsed="false">
      <c r="E1081" s="194"/>
    </row>
    <row r="1082" customFormat="false" ht="12.75" hidden="false" customHeight="false" outlineLevel="0" collapsed="false">
      <c r="E1082" s="194"/>
    </row>
    <row r="1083" customFormat="false" ht="12.75" hidden="false" customHeight="false" outlineLevel="0" collapsed="false">
      <c r="E1083" s="194"/>
    </row>
    <row r="1084" customFormat="false" ht="12.75" hidden="false" customHeight="false" outlineLevel="0" collapsed="false">
      <c r="E1084" s="194"/>
    </row>
    <row r="1085" customFormat="false" ht="12.75" hidden="false" customHeight="false" outlineLevel="0" collapsed="false">
      <c r="E1085" s="194"/>
    </row>
    <row r="1086" customFormat="false" ht="12.75" hidden="false" customHeight="false" outlineLevel="0" collapsed="false">
      <c r="E1086" s="194"/>
    </row>
    <row r="1087" customFormat="false" ht="12.75" hidden="false" customHeight="false" outlineLevel="0" collapsed="false">
      <c r="E1087" s="194"/>
    </row>
    <row r="1088" customFormat="false" ht="12.75" hidden="false" customHeight="false" outlineLevel="0" collapsed="false">
      <c r="E1088" s="194"/>
    </row>
    <row r="1089" customFormat="false" ht="12.75" hidden="false" customHeight="false" outlineLevel="0" collapsed="false">
      <c r="E1089" s="194"/>
    </row>
    <row r="1090" customFormat="false" ht="12.75" hidden="false" customHeight="false" outlineLevel="0" collapsed="false">
      <c r="E1090" s="194"/>
    </row>
    <row r="1091" customFormat="false" ht="12.75" hidden="false" customHeight="false" outlineLevel="0" collapsed="false">
      <c r="E1091" s="194"/>
    </row>
    <row r="1092" customFormat="false" ht="12.75" hidden="false" customHeight="false" outlineLevel="0" collapsed="false">
      <c r="E1092" s="194"/>
    </row>
    <row r="1093" customFormat="false" ht="12.75" hidden="false" customHeight="false" outlineLevel="0" collapsed="false">
      <c r="E1093" s="194"/>
    </row>
    <row r="1094" customFormat="false" ht="12.75" hidden="false" customHeight="false" outlineLevel="0" collapsed="false">
      <c r="E1094" s="194"/>
    </row>
    <row r="1095" customFormat="false" ht="12.75" hidden="false" customHeight="false" outlineLevel="0" collapsed="false">
      <c r="E1095" s="194"/>
    </row>
    <row r="1096" customFormat="false" ht="12.75" hidden="false" customHeight="false" outlineLevel="0" collapsed="false">
      <c r="E1096" s="194"/>
    </row>
    <row r="1097" customFormat="false" ht="12.75" hidden="false" customHeight="false" outlineLevel="0" collapsed="false">
      <c r="E1097" s="194"/>
    </row>
    <row r="1098" customFormat="false" ht="12.75" hidden="false" customHeight="false" outlineLevel="0" collapsed="false">
      <c r="E1098" s="194"/>
    </row>
    <row r="1099" customFormat="false" ht="12.75" hidden="false" customHeight="false" outlineLevel="0" collapsed="false">
      <c r="E1099" s="194"/>
    </row>
    <row r="1100" customFormat="false" ht="12.75" hidden="false" customHeight="false" outlineLevel="0" collapsed="false">
      <c r="E1100" s="194"/>
    </row>
    <row r="1101" customFormat="false" ht="12.75" hidden="false" customHeight="false" outlineLevel="0" collapsed="false">
      <c r="E1101" s="194"/>
    </row>
    <row r="1102" customFormat="false" ht="12.75" hidden="false" customHeight="false" outlineLevel="0" collapsed="false">
      <c r="E1102" s="194"/>
    </row>
    <row r="1103" customFormat="false" ht="12.75" hidden="false" customHeight="false" outlineLevel="0" collapsed="false">
      <c r="E1103" s="194"/>
    </row>
    <row r="1104" customFormat="false" ht="12.75" hidden="false" customHeight="false" outlineLevel="0" collapsed="false">
      <c r="E1104" s="194"/>
    </row>
    <row r="1105" customFormat="false" ht="12.75" hidden="false" customHeight="false" outlineLevel="0" collapsed="false">
      <c r="E1105" s="194"/>
    </row>
    <row r="1106" customFormat="false" ht="12.75" hidden="false" customHeight="false" outlineLevel="0" collapsed="false">
      <c r="E1106" s="194"/>
    </row>
    <row r="1107" customFormat="false" ht="12.75" hidden="false" customHeight="false" outlineLevel="0" collapsed="false">
      <c r="E1107" s="194"/>
    </row>
    <row r="1108" customFormat="false" ht="12.75" hidden="false" customHeight="false" outlineLevel="0" collapsed="false">
      <c r="E1108" s="194"/>
    </row>
    <row r="1109" customFormat="false" ht="12.75" hidden="false" customHeight="false" outlineLevel="0" collapsed="false">
      <c r="E1109" s="194"/>
    </row>
    <row r="1110" customFormat="false" ht="12.75" hidden="false" customHeight="false" outlineLevel="0" collapsed="false">
      <c r="E1110" s="194"/>
    </row>
    <row r="1111" customFormat="false" ht="12.75" hidden="false" customHeight="false" outlineLevel="0" collapsed="false">
      <c r="E1111" s="194"/>
    </row>
    <row r="1112" customFormat="false" ht="12.75" hidden="false" customHeight="false" outlineLevel="0" collapsed="false">
      <c r="E1112" s="194"/>
    </row>
    <row r="1113" customFormat="false" ht="12.75" hidden="false" customHeight="false" outlineLevel="0" collapsed="false">
      <c r="E1113" s="194"/>
    </row>
    <row r="1114" customFormat="false" ht="12.75" hidden="false" customHeight="false" outlineLevel="0" collapsed="false">
      <c r="E1114" s="194"/>
    </row>
    <row r="1115" customFormat="false" ht="12.75" hidden="false" customHeight="false" outlineLevel="0" collapsed="false">
      <c r="E1115" s="194"/>
    </row>
    <row r="1116" customFormat="false" ht="12.75" hidden="false" customHeight="false" outlineLevel="0" collapsed="false">
      <c r="E1116" s="194"/>
    </row>
    <row r="1117" customFormat="false" ht="12.75" hidden="false" customHeight="false" outlineLevel="0" collapsed="false">
      <c r="E1117" s="194"/>
    </row>
    <row r="1118" customFormat="false" ht="12.75" hidden="false" customHeight="false" outlineLevel="0" collapsed="false">
      <c r="E1118" s="194"/>
    </row>
    <row r="1119" customFormat="false" ht="12.75" hidden="false" customHeight="false" outlineLevel="0" collapsed="false">
      <c r="E1119" s="194"/>
    </row>
    <row r="1120" customFormat="false" ht="12.75" hidden="false" customHeight="false" outlineLevel="0" collapsed="false">
      <c r="E1120" s="194"/>
    </row>
    <row r="1121" customFormat="false" ht="12.75" hidden="false" customHeight="false" outlineLevel="0" collapsed="false">
      <c r="E1121" s="194"/>
    </row>
    <row r="1122" customFormat="false" ht="12.75" hidden="false" customHeight="false" outlineLevel="0" collapsed="false">
      <c r="E1122" s="194"/>
    </row>
    <row r="1123" customFormat="false" ht="12.75" hidden="false" customHeight="false" outlineLevel="0" collapsed="false">
      <c r="E1123" s="194"/>
    </row>
    <row r="1124" customFormat="false" ht="12.75" hidden="false" customHeight="false" outlineLevel="0" collapsed="false">
      <c r="E1124" s="194"/>
    </row>
    <row r="1125" customFormat="false" ht="12.75" hidden="false" customHeight="false" outlineLevel="0" collapsed="false">
      <c r="E1125" s="194"/>
    </row>
    <row r="1126" customFormat="false" ht="12.75" hidden="false" customHeight="false" outlineLevel="0" collapsed="false">
      <c r="E1126" s="194"/>
    </row>
    <row r="1127" customFormat="false" ht="12.75" hidden="false" customHeight="false" outlineLevel="0" collapsed="false">
      <c r="E1127" s="194"/>
    </row>
    <row r="1128" customFormat="false" ht="12.75" hidden="false" customHeight="false" outlineLevel="0" collapsed="false">
      <c r="E1128" s="194"/>
    </row>
    <row r="1129" customFormat="false" ht="12.75" hidden="false" customHeight="false" outlineLevel="0" collapsed="false">
      <c r="E1129" s="194"/>
    </row>
    <row r="1130" customFormat="false" ht="12.75" hidden="false" customHeight="false" outlineLevel="0" collapsed="false">
      <c r="E1130" s="194"/>
    </row>
    <row r="1131" customFormat="false" ht="12.75" hidden="false" customHeight="false" outlineLevel="0" collapsed="false">
      <c r="E1131" s="194"/>
    </row>
    <row r="1132" customFormat="false" ht="12.75" hidden="false" customHeight="false" outlineLevel="0" collapsed="false">
      <c r="E1132" s="194"/>
    </row>
    <row r="1133" customFormat="false" ht="12.75" hidden="false" customHeight="false" outlineLevel="0" collapsed="false">
      <c r="E1133" s="194"/>
    </row>
    <row r="1134" customFormat="false" ht="12.75" hidden="false" customHeight="false" outlineLevel="0" collapsed="false">
      <c r="E1134" s="194"/>
    </row>
    <row r="1135" customFormat="false" ht="12.75" hidden="false" customHeight="false" outlineLevel="0" collapsed="false">
      <c r="E1135" s="194"/>
    </row>
    <row r="1136" customFormat="false" ht="12.75" hidden="false" customHeight="false" outlineLevel="0" collapsed="false">
      <c r="E1136" s="194"/>
    </row>
    <row r="1137" customFormat="false" ht="12.75" hidden="false" customHeight="false" outlineLevel="0" collapsed="false">
      <c r="E1137" s="194"/>
    </row>
    <row r="1138" customFormat="false" ht="12.75" hidden="false" customHeight="false" outlineLevel="0" collapsed="false">
      <c r="E1138" s="194"/>
    </row>
    <row r="1139" customFormat="false" ht="12.75" hidden="false" customHeight="false" outlineLevel="0" collapsed="false">
      <c r="E1139" s="194"/>
    </row>
    <row r="1140" customFormat="false" ht="12.75" hidden="false" customHeight="false" outlineLevel="0" collapsed="false">
      <c r="E1140" s="194"/>
    </row>
    <row r="1141" customFormat="false" ht="12.75" hidden="false" customHeight="false" outlineLevel="0" collapsed="false">
      <c r="E1141" s="194"/>
    </row>
    <row r="1142" customFormat="false" ht="12.75" hidden="false" customHeight="false" outlineLevel="0" collapsed="false">
      <c r="E1142" s="194"/>
    </row>
    <row r="1143" customFormat="false" ht="12.75" hidden="false" customHeight="false" outlineLevel="0" collapsed="false">
      <c r="E1143" s="194"/>
    </row>
    <row r="1144" customFormat="false" ht="12.75" hidden="false" customHeight="false" outlineLevel="0" collapsed="false">
      <c r="E1144" s="194"/>
    </row>
    <row r="1145" customFormat="false" ht="12.75" hidden="false" customHeight="false" outlineLevel="0" collapsed="false">
      <c r="E1145" s="194"/>
    </row>
    <row r="1146" customFormat="false" ht="12.75" hidden="false" customHeight="false" outlineLevel="0" collapsed="false">
      <c r="E1146" s="194"/>
    </row>
    <row r="1147" customFormat="false" ht="12.75" hidden="false" customHeight="false" outlineLevel="0" collapsed="false">
      <c r="E1147" s="194"/>
    </row>
    <row r="1148" customFormat="false" ht="12.75" hidden="false" customHeight="false" outlineLevel="0" collapsed="false">
      <c r="E1148" s="194"/>
    </row>
    <row r="1149" customFormat="false" ht="12.75" hidden="false" customHeight="false" outlineLevel="0" collapsed="false">
      <c r="E1149" s="194"/>
    </row>
    <row r="1150" customFormat="false" ht="12.75" hidden="false" customHeight="false" outlineLevel="0" collapsed="false">
      <c r="E1150" s="194"/>
    </row>
    <row r="1151" customFormat="false" ht="12.75" hidden="false" customHeight="false" outlineLevel="0" collapsed="false">
      <c r="E1151" s="194"/>
    </row>
    <row r="1152" customFormat="false" ht="12.75" hidden="false" customHeight="false" outlineLevel="0" collapsed="false">
      <c r="E1152" s="194"/>
    </row>
    <row r="1153" customFormat="false" ht="12.75" hidden="false" customHeight="false" outlineLevel="0" collapsed="false">
      <c r="E1153" s="194"/>
    </row>
    <row r="1154" customFormat="false" ht="12.75" hidden="false" customHeight="false" outlineLevel="0" collapsed="false">
      <c r="E1154" s="194"/>
    </row>
    <row r="1155" customFormat="false" ht="12.75" hidden="false" customHeight="false" outlineLevel="0" collapsed="false">
      <c r="E1155" s="194"/>
    </row>
    <row r="1156" customFormat="false" ht="12.75" hidden="false" customHeight="false" outlineLevel="0" collapsed="false">
      <c r="E1156" s="194"/>
    </row>
    <row r="1157" customFormat="false" ht="12.75" hidden="false" customHeight="false" outlineLevel="0" collapsed="false">
      <c r="E1157" s="194"/>
    </row>
    <row r="1158" customFormat="false" ht="12.75" hidden="false" customHeight="false" outlineLevel="0" collapsed="false">
      <c r="E1158" s="194"/>
    </row>
    <row r="1159" customFormat="false" ht="12.75" hidden="false" customHeight="false" outlineLevel="0" collapsed="false">
      <c r="E1159" s="194"/>
    </row>
    <row r="1160" customFormat="false" ht="12.75" hidden="false" customHeight="false" outlineLevel="0" collapsed="false">
      <c r="E1160" s="194"/>
    </row>
    <row r="1161" customFormat="false" ht="12.75" hidden="false" customHeight="false" outlineLevel="0" collapsed="false">
      <c r="E1161" s="194"/>
    </row>
    <row r="1162" customFormat="false" ht="12.75" hidden="false" customHeight="false" outlineLevel="0" collapsed="false">
      <c r="E1162" s="194"/>
    </row>
    <row r="1163" customFormat="false" ht="12.75" hidden="false" customHeight="false" outlineLevel="0" collapsed="false">
      <c r="E1163" s="194"/>
    </row>
    <row r="1164" customFormat="false" ht="12.75" hidden="false" customHeight="false" outlineLevel="0" collapsed="false">
      <c r="E1164" s="194"/>
    </row>
    <row r="1165" customFormat="false" ht="12.75" hidden="false" customHeight="false" outlineLevel="0" collapsed="false">
      <c r="E1165" s="194"/>
    </row>
    <row r="1166" customFormat="false" ht="12.75" hidden="false" customHeight="false" outlineLevel="0" collapsed="false">
      <c r="E1166" s="194"/>
    </row>
    <row r="1167" customFormat="false" ht="12.75" hidden="false" customHeight="false" outlineLevel="0" collapsed="false">
      <c r="E1167" s="194"/>
    </row>
    <row r="1168" customFormat="false" ht="12.75" hidden="false" customHeight="false" outlineLevel="0" collapsed="false">
      <c r="E1168" s="194"/>
    </row>
    <row r="1169" customFormat="false" ht="12.75" hidden="false" customHeight="false" outlineLevel="0" collapsed="false">
      <c r="E1169" s="194"/>
    </row>
    <row r="1170" customFormat="false" ht="12.75" hidden="false" customHeight="false" outlineLevel="0" collapsed="false">
      <c r="E1170" s="194"/>
    </row>
    <row r="1171" customFormat="false" ht="12.75" hidden="false" customHeight="false" outlineLevel="0" collapsed="false">
      <c r="E1171" s="194"/>
    </row>
    <row r="1172" customFormat="false" ht="12.75" hidden="false" customHeight="false" outlineLevel="0" collapsed="false">
      <c r="E1172" s="194"/>
    </row>
    <row r="1173" customFormat="false" ht="12.75" hidden="false" customHeight="false" outlineLevel="0" collapsed="false">
      <c r="E1173" s="194"/>
    </row>
    <row r="1174" customFormat="false" ht="12.75" hidden="false" customHeight="false" outlineLevel="0" collapsed="false">
      <c r="E1174" s="194"/>
    </row>
    <row r="1175" customFormat="false" ht="12.75" hidden="false" customHeight="false" outlineLevel="0" collapsed="false">
      <c r="E1175" s="194"/>
    </row>
    <row r="1176" customFormat="false" ht="12.75" hidden="false" customHeight="false" outlineLevel="0" collapsed="false">
      <c r="E1176" s="194"/>
    </row>
  </sheetData>
  <mergeCells count="10">
    <mergeCell ref="A2:H2"/>
    <mergeCell ref="A3:H3"/>
    <mergeCell ref="G4:H4"/>
    <mergeCell ref="G5:H5"/>
    <mergeCell ref="G6:H6"/>
    <mergeCell ref="G8:H8"/>
    <mergeCell ref="A72:H72"/>
    <mergeCell ref="A73:H73"/>
    <mergeCell ref="A134:H134"/>
    <mergeCell ref="A135:H135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9" min="9" style="1" width="2.13"/>
    <col collapsed="false" customWidth="true" hidden="false" outlineLevel="0" max="10" min="10" style="1" width="4.7"/>
    <col collapsed="false" customWidth="true" hidden="false" outlineLevel="0" max="11" min="11" style="1" width="3.99"/>
    <col collapsed="false" customWidth="true" hidden="false" outlineLevel="0" max="12" min="12" style="1" width="38.7"/>
    <col collapsed="false" customWidth="true" hidden="false" outlineLevel="0" max="13" min="13" style="1" width="9.28"/>
    <col collapsed="false" customWidth="false" hidden="false" outlineLevel="0" max="14" min="14" style="1" width="2.13"/>
    <col collapsed="false" customWidth="true" hidden="false" outlineLevel="0" max="15" min="15" style="1" width="15.56"/>
    <col collapsed="false" customWidth="false" hidden="false" outlineLevel="0" max="16" min="16" style="1" width="2.13"/>
    <col collapsed="false" customWidth="true" hidden="false" outlineLevel="0" max="17" min="17" style="1" width="12.42"/>
    <col collapsed="false" customWidth="false" hidden="false" outlineLevel="0" max="257" min="18" style="1" width="2.13"/>
  </cols>
  <sheetData>
    <row r="1" customFormat="false" ht="12.75" hidden="false" customHeight="false" outlineLevel="0" collapsed="false">
      <c r="H1" s="2" t="s">
        <v>121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0.2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145" t="s">
        <v>123</v>
      </c>
      <c r="B5" s="7"/>
      <c r="C5" s="8"/>
      <c r="D5" s="9"/>
      <c r="G5" s="5" t="s">
        <v>3</v>
      </c>
      <c r="H5" s="5"/>
    </row>
    <row r="6" customFormat="false" ht="12.75" hidden="false" customHeight="false" outlineLevel="0" collapsed="false">
      <c r="A6" s="11"/>
      <c r="B6" s="12"/>
      <c r="C6" s="13"/>
      <c r="E6" s="14"/>
      <c r="F6" s="14"/>
      <c r="G6" s="10" t="s">
        <v>5</v>
      </c>
      <c r="H6" s="10"/>
    </row>
    <row r="7" customFormat="false" ht="12.75" hidden="false" customHeight="false" outlineLevel="0" collapsed="false">
      <c r="A7" s="11" t="s">
        <v>124</v>
      </c>
      <c r="B7" s="12"/>
      <c r="C7" s="195" t="n">
        <f aca="false">G39-C39</f>
        <v>2.80847698591039</v>
      </c>
      <c r="E7" s="17"/>
      <c r="F7" s="17"/>
      <c r="G7" s="15" t="s">
        <v>6</v>
      </c>
      <c r="H7" s="15"/>
    </row>
    <row r="8" customFormat="false" ht="12.75" hidden="false" customHeight="false" outlineLevel="0" collapsed="false">
      <c r="A8" s="11"/>
      <c r="B8" s="12"/>
      <c r="C8" s="20"/>
      <c r="E8" s="17"/>
      <c r="F8" s="17"/>
      <c r="G8" s="18"/>
      <c r="H8" s="19"/>
    </row>
    <row r="9" customFormat="false" ht="13.5" hidden="false" customHeight="false" outlineLevel="0" collapsed="false">
      <c r="A9" s="22" t="s">
        <v>125</v>
      </c>
      <c r="B9" s="23"/>
      <c r="C9" s="24" t="n">
        <f aca="false">E39</f>
        <v>60.2547388215042</v>
      </c>
      <c r="E9" s="17"/>
      <c r="F9" s="17"/>
      <c r="G9" s="21" t="n">
        <f aca="false">'Street Lighting'!G62-'Street Lighting'!C62</f>
        <v>2.75159775101589</v>
      </c>
      <c r="H9" s="21"/>
    </row>
    <row r="10" customFormat="false" ht="13.5" hidden="false" customHeight="false" outlineLevel="0" collapsed="false">
      <c r="A10" s="27"/>
      <c r="B10" s="28"/>
      <c r="C10" s="29"/>
      <c r="E10" s="17"/>
      <c r="F10" s="17"/>
      <c r="G10" s="25"/>
      <c r="H10" s="26"/>
    </row>
    <row r="11" customFormat="false" ht="12.75" hidden="false" customHeight="false" outlineLevel="0" collapsed="false">
      <c r="A11" s="31" t="s">
        <v>126</v>
      </c>
      <c r="B11" s="12"/>
      <c r="C11" s="37"/>
      <c r="E11" s="17"/>
      <c r="F11" s="17"/>
    </row>
    <row r="12" customFormat="false" ht="12.75" hidden="false" customHeight="false" outlineLevel="0" collapsed="false">
      <c r="A12" s="31"/>
      <c r="B12" s="32" t="s">
        <v>127</v>
      </c>
      <c r="C12" s="196" t="s">
        <v>128</v>
      </c>
      <c r="E12" s="17"/>
      <c r="F12" s="17"/>
    </row>
    <row r="13" customFormat="false" ht="13.5" hidden="false" customHeight="false" outlineLevel="0" collapsed="false">
      <c r="A13" s="22" t="s">
        <v>129</v>
      </c>
      <c r="B13" s="197" t="n">
        <f aca="false">O21/O20</f>
        <v>0.7</v>
      </c>
      <c r="C13" s="198" t="n">
        <f aca="false">O22/O20</f>
        <v>0.3</v>
      </c>
      <c r="E13" s="17"/>
      <c r="F13" s="17"/>
    </row>
    <row r="14" customFormat="false" ht="13.5" hidden="false" customHeight="false" outlineLevel="0" collapsed="false">
      <c r="A14" s="154"/>
      <c r="B14" s="12"/>
      <c r="C14" s="199"/>
      <c r="D14" s="200"/>
      <c r="E14" s="200"/>
      <c r="F14" s="200"/>
      <c r="G14" s="115"/>
      <c r="H14" s="30"/>
    </row>
    <row r="15" customFormat="false" ht="64.5" hidden="false" customHeight="false" outlineLevel="0" collapsed="false">
      <c r="A15" s="45" t="s">
        <v>24</v>
      </c>
      <c r="B15" s="46" t="s">
        <v>25</v>
      </c>
      <c r="C15" s="46" t="s">
        <v>130</v>
      </c>
      <c r="D15" s="46" t="s">
        <v>27</v>
      </c>
      <c r="E15" s="46" t="s">
        <v>131</v>
      </c>
      <c r="F15" s="47" t="s">
        <v>29</v>
      </c>
      <c r="G15" s="47" t="s">
        <v>30</v>
      </c>
      <c r="H15" s="47" t="s">
        <v>31</v>
      </c>
    </row>
    <row r="16" customFormat="false" ht="12.75" hidden="false" customHeight="false" outlineLevel="0" collapsed="false">
      <c r="A16" s="52"/>
      <c r="B16" s="201"/>
      <c r="C16" s="201"/>
      <c r="D16" s="201"/>
      <c r="E16" s="201"/>
      <c r="F16" s="201"/>
      <c r="G16" s="201"/>
      <c r="H16" s="52"/>
    </row>
    <row r="17" customFormat="false" ht="12.75" hidden="false" customHeight="false" outlineLevel="0" collapsed="false">
      <c r="A17" s="108" t="s">
        <v>132</v>
      </c>
      <c r="B17" s="202"/>
      <c r="C17" s="203"/>
      <c r="D17" s="141"/>
      <c r="E17" s="142"/>
      <c r="F17" s="142"/>
      <c r="G17" s="203"/>
      <c r="H17" s="52"/>
      <c r="O17" s="1" t="s">
        <v>133</v>
      </c>
      <c r="Q17" s="1" t="s">
        <v>134</v>
      </c>
    </row>
    <row r="18" customFormat="false" ht="12.75" hidden="false" customHeight="false" outlineLevel="0" collapsed="false">
      <c r="A18" s="108"/>
      <c r="B18" s="202"/>
      <c r="C18" s="203"/>
      <c r="D18" s="141"/>
      <c r="E18" s="142"/>
      <c r="F18" s="142"/>
      <c r="G18" s="203"/>
      <c r="H18" s="52"/>
      <c r="L18" s="161" t="s">
        <v>135</v>
      </c>
      <c r="O18" s="59" t="s">
        <v>101</v>
      </c>
      <c r="Q18" s="59" t="s">
        <v>100</v>
      </c>
    </row>
    <row r="19" customFormat="false" ht="12.75" hidden="false" customHeight="false" outlineLevel="0" collapsed="false">
      <c r="A19" s="204" t="s">
        <v>136</v>
      </c>
      <c r="B19" s="202"/>
      <c r="C19" s="88" t="n">
        <f aca="false">D19/B27*100</f>
        <v>0.482562751618092</v>
      </c>
      <c r="D19" s="123" t="n">
        <v>10.012568984717</v>
      </c>
      <c r="E19" s="67" t="n">
        <f aca="false">F19-D19</f>
        <v>0</v>
      </c>
      <c r="F19" s="67" t="n">
        <f aca="false">D19</f>
        <v>10.012568984717</v>
      </c>
      <c r="G19" s="88" t="n">
        <f aca="false">F19/B27*100</f>
        <v>0.482562751618092</v>
      </c>
      <c r="H19" s="53"/>
    </row>
    <row r="20" customFormat="false" ht="12.75" hidden="false" customHeight="false" outlineLevel="0" collapsed="false">
      <c r="A20" s="204"/>
      <c r="B20" s="202"/>
      <c r="D20" s="123"/>
      <c r="E20" s="67"/>
      <c r="F20" s="67"/>
      <c r="G20" s="205"/>
      <c r="H20" s="53"/>
      <c r="L20" s="1" t="s">
        <v>137</v>
      </c>
      <c r="M20" s="206" t="n">
        <f aca="false">B27</f>
        <v>2074.873982947</v>
      </c>
      <c r="O20" s="166" t="n">
        <f aca="false">M20*Residential!N58</f>
        <v>58.2723582977088</v>
      </c>
      <c r="Q20" s="88" t="n">
        <f aca="false">O20/M20*100</f>
        <v>2.80847698591039</v>
      </c>
    </row>
    <row r="21" customFormat="false" ht="12.75" hidden="false" customHeight="false" outlineLevel="0" collapsed="false">
      <c r="A21" s="4" t="s">
        <v>37</v>
      </c>
      <c r="B21" s="202"/>
      <c r="C21" s="203"/>
      <c r="D21" s="123"/>
      <c r="E21" s="67"/>
      <c r="F21" s="67"/>
      <c r="G21" s="203"/>
      <c r="H21" s="73"/>
      <c r="L21" s="1" t="s">
        <v>138</v>
      </c>
      <c r="M21" s="206" t="n">
        <f aca="false">B22+B23</f>
        <v>916.171751715128</v>
      </c>
      <c r="O21" s="166" t="n">
        <f aca="false">O20*0.7</f>
        <v>40.7906508083961</v>
      </c>
      <c r="Q21" s="88" t="n">
        <f aca="false">O21/M21*100</f>
        <v>4.45229300423568</v>
      </c>
    </row>
    <row r="22" customFormat="false" ht="12.75" hidden="false" customHeight="false" outlineLevel="0" collapsed="false">
      <c r="A22" s="2" t="s">
        <v>139</v>
      </c>
      <c r="B22" s="64" t="n">
        <f aca="false">927.066576705018*0.986</f>
        <v>914.087644631148</v>
      </c>
      <c r="C22" s="65" t="n">
        <f aca="false">7.534+6.5</f>
        <v>14.034</v>
      </c>
      <c r="D22" s="123" t="n">
        <f aca="false">C22*B22/100</f>
        <v>128.283060047535</v>
      </c>
      <c r="E22" s="67" t="n">
        <f aca="false">$Q$21*B22/100</f>
        <v>40.6978602544953</v>
      </c>
      <c r="F22" s="67" t="n">
        <f aca="false">E22+D22</f>
        <v>168.980920302031</v>
      </c>
      <c r="G22" s="65" t="n">
        <f aca="false">F22/B22*100</f>
        <v>18.4862930042357</v>
      </c>
      <c r="H22" s="73"/>
      <c r="L22" s="1" t="s">
        <v>140</v>
      </c>
      <c r="M22" s="206" t="n">
        <f aca="false">B24+B25</f>
        <v>1158.70223123187</v>
      </c>
      <c r="O22" s="166" t="n">
        <f aca="false">O20*0.3</f>
        <v>17.4817074893126</v>
      </c>
      <c r="Q22" s="88" t="n">
        <f aca="false">O22/M22*100</f>
        <v>1.50873166704158</v>
      </c>
    </row>
    <row r="23" customFormat="false" ht="12.75" hidden="false" customHeight="false" outlineLevel="0" collapsed="false">
      <c r="A23" s="2" t="s">
        <v>141</v>
      </c>
      <c r="B23" s="64" t="n">
        <f aca="false">2.11369886813403*0.986</f>
        <v>2.08410708398015</v>
      </c>
      <c r="C23" s="65" t="n">
        <f aca="false">7.096+6.5</f>
        <v>13.596</v>
      </c>
      <c r="D23" s="123" t="n">
        <f aca="false">C23*B23/100</f>
        <v>0.283355199137942</v>
      </c>
      <c r="E23" s="67" t="n">
        <f aca="false">$Q$21*B23/100</f>
        <v>0.0927905539008287</v>
      </c>
      <c r="F23" s="67" t="n">
        <f aca="false">E23+D23</f>
        <v>0.37614575303877</v>
      </c>
      <c r="G23" s="65" t="n">
        <f aca="false">F23/B23*100</f>
        <v>18.0482930042357</v>
      </c>
      <c r="H23" s="73"/>
    </row>
    <row r="24" customFormat="false" ht="12.75" hidden="false" customHeight="false" outlineLevel="0" collapsed="false">
      <c r="A24" s="2" t="s">
        <v>142</v>
      </c>
      <c r="B24" s="64" t="n">
        <f aca="false">1172.48115205216*0.986</f>
        <v>1156.06641592343</v>
      </c>
      <c r="C24" s="65" t="n">
        <f aca="false">6.691+6.5</f>
        <v>13.191</v>
      </c>
      <c r="D24" s="123" t="n">
        <f aca="false">C24*B24/100</f>
        <v>152.49672092446</v>
      </c>
      <c r="E24" s="67" t="n">
        <f aca="false">$Q$22*B24/100</f>
        <v>17.4419401090694</v>
      </c>
      <c r="F24" s="67" t="n">
        <f aca="false">E24+D24</f>
        <v>169.938661033529</v>
      </c>
      <c r="G24" s="65" t="n">
        <f aca="false">F24/B24*100</f>
        <v>14.6997316670416</v>
      </c>
      <c r="H24" s="73"/>
      <c r="M24" s="166"/>
    </row>
    <row r="25" customFormat="false" ht="12.75" hidden="false" customHeight="false" outlineLevel="0" collapsed="false">
      <c r="A25" s="2" t="s">
        <v>143</v>
      </c>
      <c r="B25" s="64" t="n">
        <f aca="false">2.67324067793429*0.986</f>
        <v>2.63581530844321</v>
      </c>
      <c r="C25" s="65" t="n">
        <f aca="false">6.335+6.5</f>
        <v>12.835</v>
      </c>
      <c r="D25" s="123" t="n">
        <f aca="false">C25*B25/100</f>
        <v>0.338306894838686</v>
      </c>
      <c r="E25" s="67" t="n">
        <f aca="false">$Q$22*B25/100</f>
        <v>0.0397673802432124</v>
      </c>
      <c r="F25" s="67" t="n">
        <f aca="false">E25+D25</f>
        <v>0.378074275081898</v>
      </c>
      <c r="G25" s="65" t="n">
        <f aca="false">F25/B25*100</f>
        <v>14.3437316670416</v>
      </c>
      <c r="H25" s="73"/>
    </row>
    <row r="26" customFormat="false" ht="12.75" hidden="false" customHeight="false" outlineLevel="0" collapsed="false">
      <c r="A26" s="60"/>
      <c r="B26" s="64"/>
      <c r="C26" s="65"/>
      <c r="D26" s="123"/>
      <c r="E26" s="67"/>
      <c r="F26" s="67"/>
      <c r="G26" s="65"/>
      <c r="H26" s="73"/>
    </row>
    <row r="27" customFormat="false" ht="13.5" hidden="false" customHeight="false" outlineLevel="0" collapsed="false">
      <c r="A27" s="131" t="s">
        <v>144</v>
      </c>
      <c r="B27" s="207" t="n">
        <f aca="false">SUM(B22:B25)</f>
        <v>2074.873982947</v>
      </c>
      <c r="C27" s="95" t="n">
        <f aca="false">D27/B27*100</f>
        <v>14.0449017359977</v>
      </c>
      <c r="D27" s="208" t="n">
        <f aca="false">SUM(D19:D25)</f>
        <v>291.414012050688</v>
      </c>
      <c r="E27" s="208" t="n">
        <f aca="false">SUM(E19:E25)</f>
        <v>58.2723582977088</v>
      </c>
      <c r="F27" s="208" t="n">
        <f aca="false">SUM(F19:F25)</f>
        <v>349.686370348397</v>
      </c>
      <c r="G27" s="97" t="n">
        <f aca="false">F27/B27*100</f>
        <v>16.8533787219081</v>
      </c>
      <c r="H27" s="98" t="n">
        <f aca="false">(G27-C27)/C27</f>
        <v>0.199964160568823</v>
      </c>
    </row>
    <row r="28" customFormat="false" ht="13.5" hidden="false" customHeight="false" outlineLevel="0" collapsed="false">
      <c r="A28" s="60"/>
      <c r="B28" s="134"/>
      <c r="C28" s="101"/>
      <c r="D28" s="130"/>
      <c r="E28" s="130"/>
      <c r="F28" s="130"/>
      <c r="G28" s="209"/>
      <c r="H28" s="104"/>
    </row>
    <row r="29" customFormat="false" ht="12.75" hidden="false" customHeight="false" outlineLevel="0" collapsed="false">
      <c r="A29" s="60"/>
      <c r="B29" s="210"/>
      <c r="C29" s="211"/>
      <c r="D29" s="130"/>
      <c r="E29" s="130"/>
      <c r="F29" s="130"/>
      <c r="G29" s="212"/>
      <c r="H29" s="104"/>
    </row>
    <row r="30" customFormat="false" ht="12.75" hidden="false" customHeight="false" outlineLevel="0" collapsed="false">
      <c r="A30" s="52" t="s">
        <v>145</v>
      </c>
      <c r="B30" s="52"/>
      <c r="C30" s="211"/>
      <c r="D30" s="130"/>
      <c r="E30" s="130"/>
      <c r="F30" s="130"/>
      <c r="G30" s="212"/>
      <c r="H30" s="130"/>
    </row>
    <row r="31" customFormat="false" ht="12.75" hidden="false" customHeight="false" outlineLevel="0" collapsed="false">
      <c r="A31" s="52"/>
      <c r="B31" s="52"/>
      <c r="C31" s="211"/>
      <c r="D31" s="130"/>
      <c r="E31" s="130"/>
      <c r="F31" s="130"/>
      <c r="G31" s="212"/>
      <c r="H31" s="130"/>
    </row>
    <row r="32" customFormat="false" ht="12.75" hidden="false" customHeight="false" outlineLevel="0" collapsed="false">
      <c r="A32" s="204" t="s">
        <v>136</v>
      </c>
      <c r="B32" s="64"/>
      <c r="C32" s="65" t="n">
        <f aca="false">D32/B36*100</f>
        <v>1.09397465124768</v>
      </c>
      <c r="D32" s="123" t="n">
        <v>0.772188646387046</v>
      </c>
      <c r="E32" s="67" t="n">
        <f aca="false">F32-D32</f>
        <v>0</v>
      </c>
      <c r="F32" s="67" t="n">
        <f aca="false">D32</f>
        <v>0.772188646387046</v>
      </c>
      <c r="G32" s="213" t="n">
        <f aca="false">F32/B36*100</f>
        <v>1.09397465124768</v>
      </c>
      <c r="H32" s="130"/>
    </row>
    <row r="33" customFormat="false" ht="12.75" hidden="false" customHeight="false" outlineLevel="0" collapsed="false">
      <c r="A33" s="204"/>
      <c r="B33" s="214"/>
      <c r="C33" s="101"/>
      <c r="D33" s="130"/>
      <c r="E33" s="130"/>
      <c r="F33" s="130"/>
      <c r="G33" s="212"/>
      <c r="H33" s="130"/>
    </row>
    <row r="34" customFormat="false" ht="12.75" hidden="false" customHeight="false" outlineLevel="0" collapsed="false">
      <c r="A34" s="4" t="s">
        <v>37</v>
      </c>
      <c r="B34" s="64" t="n">
        <f aca="false">71.5878365636*0.986</f>
        <v>70.5856068517096</v>
      </c>
      <c r="C34" s="70" t="n">
        <f aca="false">4.496+6.5</f>
        <v>10.996</v>
      </c>
      <c r="D34" s="123" t="n">
        <f aca="false">C34*B34/100</f>
        <v>7.76159332941399</v>
      </c>
      <c r="E34" s="123" t="n">
        <f aca="false">Residential!N58*B34</f>
        <v>1.98238052379545</v>
      </c>
      <c r="F34" s="67" t="n">
        <f aca="false">D34+E34</f>
        <v>9.74397385320944</v>
      </c>
      <c r="G34" s="70" t="n">
        <f aca="false">F34/B34*100</f>
        <v>13.8044769859104</v>
      </c>
      <c r="H34" s="109"/>
    </row>
    <row r="35" customFormat="false" ht="12.75" hidden="false" customHeight="false" outlineLevel="0" collapsed="false">
      <c r="A35" s="215"/>
      <c r="B35" s="216"/>
      <c r="C35" s="217"/>
      <c r="D35" s="123"/>
      <c r="E35" s="218"/>
      <c r="F35" s="218"/>
      <c r="G35" s="217"/>
      <c r="H35" s="109"/>
    </row>
    <row r="36" customFormat="false" ht="13.5" hidden="false" customHeight="false" outlineLevel="0" collapsed="false">
      <c r="A36" s="131" t="s">
        <v>146</v>
      </c>
      <c r="B36" s="207" t="n">
        <f aca="false">B34</f>
        <v>70.5856068517096</v>
      </c>
      <c r="C36" s="95" t="n">
        <f aca="false">D36/B36*100</f>
        <v>12.0899746512477</v>
      </c>
      <c r="D36" s="208" t="n">
        <f aca="false">SUM(D32:D34)</f>
        <v>8.53378197580103</v>
      </c>
      <c r="E36" s="208" t="n">
        <f aca="false">SUM(E32:E34)</f>
        <v>1.98238052379545</v>
      </c>
      <c r="F36" s="208" t="n">
        <f aca="false">SUM(F32:F34)</f>
        <v>10.5161624995965</v>
      </c>
      <c r="G36" s="95" t="n">
        <f aca="false">F36/B36*100</f>
        <v>14.8984516371581</v>
      </c>
      <c r="H36" s="133" t="n">
        <f aca="false">(G36-C36)/C36</f>
        <v>0.232298004497516</v>
      </c>
    </row>
    <row r="37" customFormat="false" ht="13.5" hidden="false" customHeight="false" outlineLevel="0" collapsed="false">
      <c r="A37" s="60"/>
      <c r="B37" s="109"/>
      <c r="C37" s="219"/>
      <c r="D37" s="123"/>
      <c r="E37" s="218"/>
      <c r="F37" s="67"/>
      <c r="G37" s="219"/>
      <c r="H37" s="109"/>
    </row>
    <row r="38" customFormat="false" ht="13.5" hidden="false" customHeight="false" outlineLevel="0" collapsed="false">
      <c r="A38" s="172"/>
      <c r="B38" s="220"/>
      <c r="C38" s="221"/>
      <c r="D38" s="175"/>
      <c r="E38" s="222"/>
      <c r="F38" s="176"/>
      <c r="G38" s="221"/>
      <c r="H38" s="223"/>
    </row>
    <row r="39" customFormat="false" ht="13.5" hidden="false" customHeight="false" outlineLevel="0" collapsed="false">
      <c r="A39" s="180" t="s">
        <v>147</v>
      </c>
      <c r="B39" s="183" t="n">
        <f aca="false">B27+B36</f>
        <v>2145.45958979871</v>
      </c>
      <c r="C39" s="224" t="n">
        <f aca="false">(D39-(D19+D32))/B39*100</f>
        <v>13.4779064481245</v>
      </c>
      <c r="D39" s="182" t="n">
        <f aca="false">D27+D36</f>
        <v>299.94779402649</v>
      </c>
      <c r="E39" s="182" t="n">
        <f aca="false">E27+E36</f>
        <v>60.2547388215042</v>
      </c>
      <c r="F39" s="182" t="n">
        <f aca="false">F27+F36</f>
        <v>360.202532847994</v>
      </c>
      <c r="G39" s="224" t="n">
        <f aca="false">(F39-(F19+F32))/B39*100</f>
        <v>16.2863834340349</v>
      </c>
      <c r="H39" s="184" t="n">
        <f aca="false">(G39-C39)/C39</f>
        <v>0.208376352567813</v>
      </c>
    </row>
    <row r="40" customFormat="false" ht="12.75" hidden="false" customHeight="false" outlineLevel="0" collapsed="false">
      <c r="A40" s="215"/>
      <c r="B40" s="202"/>
      <c r="C40" s="225"/>
      <c r="D40" s="141"/>
      <c r="E40" s="142"/>
      <c r="F40" s="142"/>
      <c r="G40" s="156"/>
      <c r="H40" s="60"/>
    </row>
    <row r="41" customFormat="false" ht="12.75" hidden="false" customHeight="false" outlineLevel="0" collapsed="false">
      <c r="A41" s="60"/>
      <c r="B41" s="210"/>
      <c r="C41" s="226"/>
      <c r="D41" s="227"/>
      <c r="E41" s="130"/>
      <c r="F41" s="228"/>
      <c r="G41" s="226"/>
      <c r="H41" s="104"/>
    </row>
    <row r="42" customFormat="false" ht="12.75" hidden="false" customHeight="false" outlineLevel="0" collapsed="false">
      <c r="A42" s="60"/>
      <c r="B42" s="210"/>
      <c r="C42" s="226"/>
      <c r="D42" s="227"/>
      <c r="E42" s="130"/>
      <c r="F42" s="228"/>
      <c r="G42" s="226"/>
      <c r="H42" s="104"/>
    </row>
    <row r="43" customFormat="false" ht="12.75" hidden="false" customHeight="false" outlineLevel="0" collapsed="false">
      <c r="A43" s="193" t="s">
        <v>111</v>
      </c>
      <c r="B43" s="210"/>
      <c r="C43" s="226"/>
      <c r="D43" s="228"/>
      <c r="E43" s="228"/>
      <c r="F43" s="228"/>
      <c r="G43" s="226"/>
      <c r="H43" s="104"/>
    </row>
    <row r="44" customFormat="false" ht="12.75" hidden="false" customHeight="false" outlineLevel="0" collapsed="false">
      <c r="A44" s="12" t="s">
        <v>112</v>
      </c>
      <c r="C44" s="12"/>
      <c r="D44" s="12"/>
      <c r="E44" s="187"/>
      <c r="F44" s="12"/>
      <c r="G44" s="12"/>
      <c r="H44" s="12"/>
    </row>
    <row r="45" customFormat="false" ht="12.75" hidden="false" customHeight="false" outlineLevel="0" collapsed="false">
      <c r="A45" s="12" t="s">
        <v>148</v>
      </c>
      <c r="C45" s="12"/>
      <c r="D45" s="12"/>
      <c r="E45" s="187"/>
      <c r="F45" s="12"/>
      <c r="G45" s="12"/>
      <c r="H45" s="12"/>
    </row>
    <row r="46" customFormat="false" ht="12.75" hidden="false" customHeight="false" outlineLevel="0" collapsed="false">
      <c r="A46" s="193" t="s">
        <v>149</v>
      </c>
      <c r="E46" s="194"/>
    </row>
    <row r="47" customFormat="false" ht="12.75" hidden="false" customHeight="false" outlineLevel="0" collapsed="false">
      <c r="A47" s="193" t="s">
        <v>115</v>
      </c>
      <c r="E47" s="194"/>
    </row>
    <row r="48" customFormat="false" ht="12.75" hidden="false" customHeight="false" outlineLevel="0" collapsed="false">
      <c r="E48" s="194"/>
    </row>
    <row r="49" customFormat="false" ht="12.75" hidden="false" customHeight="false" outlineLevel="0" collapsed="false">
      <c r="E49" s="194"/>
    </row>
    <row r="50" customFormat="false" ht="12.75" hidden="false" customHeight="false" outlineLevel="0" collapsed="false">
      <c r="E50" s="194"/>
    </row>
    <row r="51" customFormat="false" ht="12.75" hidden="false" customHeight="false" outlineLevel="0" collapsed="false">
      <c r="E51" s="194"/>
    </row>
    <row r="52" customFormat="false" ht="12.75" hidden="false" customHeight="false" outlineLevel="0" collapsed="false">
      <c r="E52" s="194"/>
    </row>
    <row r="53" customFormat="false" ht="12.75" hidden="false" customHeight="false" outlineLevel="0" collapsed="false">
      <c r="E53" s="194"/>
    </row>
    <row r="54" customFormat="false" ht="12.75" hidden="false" customHeight="false" outlineLevel="0" collapsed="false">
      <c r="E54" s="194"/>
    </row>
    <row r="55" customFormat="false" ht="12.75" hidden="false" customHeight="false" outlineLevel="0" collapsed="false">
      <c r="E55" s="194"/>
    </row>
    <row r="56" customFormat="false" ht="12.75" hidden="false" customHeight="false" outlineLevel="0" collapsed="false">
      <c r="E56" s="194"/>
    </row>
    <row r="57" customFormat="false" ht="12.75" hidden="false" customHeight="false" outlineLevel="0" collapsed="false">
      <c r="E57" s="194"/>
    </row>
    <row r="58" customFormat="false" ht="12.75" hidden="false" customHeight="false" outlineLevel="0" collapsed="false">
      <c r="E58" s="194"/>
    </row>
    <row r="59" customFormat="false" ht="12.75" hidden="false" customHeight="false" outlineLevel="0" collapsed="false">
      <c r="E59" s="194"/>
    </row>
    <row r="60" customFormat="false" ht="12.75" hidden="false" customHeight="false" outlineLevel="0" collapsed="false">
      <c r="E60" s="194"/>
    </row>
    <row r="61" customFormat="false" ht="12.75" hidden="false" customHeight="false" outlineLevel="0" collapsed="false">
      <c r="E61" s="194"/>
    </row>
    <row r="62" customFormat="false" ht="12.75" hidden="false" customHeight="false" outlineLevel="0" collapsed="false">
      <c r="E62" s="194"/>
    </row>
    <row r="63" customFormat="false" ht="12.75" hidden="false" customHeight="false" outlineLevel="0" collapsed="false">
      <c r="E63" s="194"/>
    </row>
    <row r="64" customFormat="false" ht="12.75" hidden="false" customHeight="false" outlineLevel="0" collapsed="false">
      <c r="E64" s="194"/>
    </row>
    <row r="65" customFormat="false" ht="12.75" hidden="false" customHeight="false" outlineLevel="0" collapsed="false">
      <c r="E65" s="194"/>
    </row>
    <row r="66" customFormat="false" ht="12.75" hidden="false" customHeight="false" outlineLevel="0" collapsed="false">
      <c r="E66" s="194"/>
    </row>
    <row r="67" customFormat="false" ht="12.75" hidden="false" customHeight="false" outlineLevel="0" collapsed="false">
      <c r="E67" s="194"/>
    </row>
    <row r="68" customFormat="false" ht="12.75" hidden="false" customHeight="false" outlineLevel="0" collapsed="false">
      <c r="E68" s="194"/>
    </row>
    <row r="69" customFormat="false" ht="12.75" hidden="false" customHeight="false" outlineLevel="0" collapsed="false">
      <c r="E69" s="194"/>
    </row>
    <row r="70" customFormat="false" ht="12.75" hidden="false" customHeight="false" outlineLevel="0" collapsed="false">
      <c r="E70" s="194"/>
    </row>
    <row r="71" customFormat="false" ht="12.75" hidden="false" customHeight="false" outlineLevel="0" collapsed="false">
      <c r="E71" s="194"/>
    </row>
    <row r="72" customFormat="false" ht="12.75" hidden="false" customHeight="false" outlineLevel="0" collapsed="false">
      <c r="E72" s="194"/>
    </row>
    <row r="73" customFormat="false" ht="12.75" hidden="false" customHeight="false" outlineLevel="0" collapsed="false">
      <c r="E73" s="194"/>
    </row>
    <row r="74" customFormat="false" ht="12.75" hidden="false" customHeight="false" outlineLevel="0" collapsed="false">
      <c r="E74" s="194"/>
    </row>
    <row r="75" customFormat="false" ht="12.75" hidden="false" customHeight="false" outlineLevel="0" collapsed="false">
      <c r="E75" s="194"/>
    </row>
    <row r="76" customFormat="false" ht="12.75" hidden="false" customHeight="false" outlineLevel="0" collapsed="false">
      <c r="E76" s="194"/>
    </row>
    <row r="77" customFormat="false" ht="12.75" hidden="false" customHeight="false" outlineLevel="0" collapsed="false">
      <c r="E77" s="194"/>
    </row>
    <row r="78" customFormat="false" ht="12.75" hidden="false" customHeight="false" outlineLevel="0" collapsed="false">
      <c r="E78" s="194"/>
    </row>
    <row r="79" customFormat="false" ht="12.75" hidden="false" customHeight="false" outlineLevel="0" collapsed="false">
      <c r="E79" s="194"/>
    </row>
    <row r="80" customFormat="false" ht="12.75" hidden="false" customHeight="false" outlineLevel="0" collapsed="false">
      <c r="E80" s="194"/>
    </row>
    <row r="81" customFormat="false" ht="12.75" hidden="false" customHeight="false" outlineLevel="0" collapsed="false">
      <c r="E81" s="194"/>
    </row>
    <row r="82" customFormat="false" ht="12.75" hidden="false" customHeight="false" outlineLevel="0" collapsed="false">
      <c r="E82" s="194"/>
    </row>
    <row r="83" customFormat="false" ht="12.75" hidden="false" customHeight="false" outlineLevel="0" collapsed="false">
      <c r="E83" s="194"/>
    </row>
    <row r="84" customFormat="false" ht="12.75" hidden="false" customHeight="false" outlineLevel="0" collapsed="false">
      <c r="E84" s="194"/>
    </row>
    <row r="85" customFormat="false" ht="12.75" hidden="false" customHeight="false" outlineLevel="0" collapsed="false">
      <c r="E85" s="194"/>
    </row>
    <row r="86" customFormat="false" ht="12.75" hidden="false" customHeight="false" outlineLevel="0" collapsed="false">
      <c r="E86" s="194"/>
    </row>
    <row r="87" customFormat="false" ht="12.75" hidden="false" customHeight="false" outlineLevel="0" collapsed="false">
      <c r="E87" s="194"/>
    </row>
    <row r="88" customFormat="false" ht="12.75" hidden="false" customHeight="false" outlineLevel="0" collapsed="false">
      <c r="E88" s="194"/>
    </row>
    <row r="89" customFormat="false" ht="12.75" hidden="false" customHeight="false" outlineLevel="0" collapsed="false">
      <c r="E89" s="194"/>
    </row>
    <row r="90" customFormat="false" ht="12.75" hidden="false" customHeight="false" outlineLevel="0" collapsed="false">
      <c r="E90" s="194"/>
    </row>
    <row r="91" customFormat="false" ht="12.75" hidden="false" customHeight="false" outlineLevel="0" collapsed="false">
      <c r="E91" s="194"/>
    </row>
    <row r="92" customFormat="false" ht="12.75" hidden="false" customHeight="false" outlineLevel="0" collapsed="false">
      <c r="E92" s="194"/>
    </row>
    <row r="93" customFormat="false" ht="12.75" hidden="false" customHeight="false" outlineLevel="0" collapsed="false">
      <c r="E93" s="194"/>
    </row>
    <row r="94" customFormat="false" ht="12.75" hidden="false" customHeight="false" outlineLevel="0" collapsed="false">
      <c r="E94" s="194"/>
    </row>
    <row r="95" customFormat="false" ht="12.75" hidden="false" customHeight="false" outlineLevel="0" collapsed="false">
      <c r="E95" s="194"/>
    </row>
    <row r="96" customFormat="false" ht="12.75" hidden="false" customHeight="false" outlineLevel="0" collapsed="false">
      <c r="E96" s="194"/>
    </row>
    <row r="97" customFormat="false" ht="12.75" hidden="false" customHeight="false" outlineLevel="0" collapsed="false">
      <c r="E97" s="194"/>
    </row>
    <row r="98" customFormat="false" ht="12.75" hidden="false" customHeight="false" outlineLevel="0" collapsed="false">
      <c r="E98" s="194"/>
    </row>
    <row r="99" customFormat="false" ht="12.75" hidden="false" customHeight="false" outlineLevel="0" collapsed="false">
      <c r="E99" s="194"/>
    </row>
    <row r="100" customFormat="false" ht="12.75" hidden="false" customHeight="false" outlineLevel="0" collapsed="false">
      <c r="E100" s="194"/>
    </row>
    <row r="101" customFormat="false" ht="12.75" hidden="false" customHeight="false" outlineLevel="0" collapsed="false">
      <c r="E101" s="194"/>
    </row>
    <row r="102" customFormat="false" ht="12.75" hidden="false" customHeight="false" outlineLevel="0" collapsed="false">
      <c r="E102" s="194"/>
    </row>
    <row r="103" customFormat="false" ht="12.75" hidden="false" customHeight="false" outlineLevel="0" collapsed="false">
      <c r="E103" s="194"/>
    </row>
    <row r="104" customFormat="false" ht="12.75" hidden="false" customHeight="false" outlineLevel="0" collapsed="false">
      <c r="E104" s="194"/>
    </row>
    <row r="105" customFormat="false" ht="12.75" hidden="false" customHeight="false" outlineLevel="0" collapsed="false">
      <c r="E105" s="194"/>
    </row>
    <row r="106" customFormat="false" ht="12.75" hidden="false" customHeight="false" outlineLevel="0" collapsed="false">
      <c r="E106" s="194"/>
    </row>
    <row r="107" customFormat="false" ht="12.75" hidden="false" customHeight="false" outlineLevel="0" collapsed="false">
      <c r="E107" s="194"/>
    </row>
    <row r="108" customFormat="false" ht="12.75" hidden="false" customHeight="false" outlineLevel="0" collapsed="false">
      <c r="E108" s="194"/>
    </row>
    <row r="109" customFormat="false" ht="12.75" hidden="false" customHeight="false" outlineLevel="0" collapsed="false">
      <c r="E109" s="194"/>
    </row>
    <row r="110" customFormat="false" ht="12.75" hidden="false" customHeight="false" outlineLevel="0" collapsed="false">
      <c r="E110" s="194"/>
    </row>
    <row r="111" customFormat="false" ht="12.75" hidden="false" customHeight="false" outlineLevel="0" collapsed="false">
      <c r="E111" s="194"/>
    </row>
    <row r="112" customFormat="false" ht="12.75" hidden="false" customHeight="false" outlineLevel="0" collapsed="false">
      <c r="E112" s="194"/>
    </row>
    <row r="113" customFormat="false" ht="12.75" hidden="false" customHeight="false" outlineLevel="0" collapsed="false">
      <c r="E113" s="194"/>
    </row>
    <row r="114" customFormat="false" ht="12.75" hidden="false" customHeight="false" outlineLevel="0" collapsed="false">
      <c r="E114" s="194"/>
    </row>
    <row r="115" customFormat="false" ht="12.75" hidden="false" customHeight="false" outlineLevel="0" collapsed="false">
      <c r="E115" s="194"/>
    </row>
    <row r="116" customFormat="false" ht="12.75" hidden="false" customHeight="false" outlineLevel="0" collapsed="false">
      <c r="E116" s="194"/>
    </row>
    <row r="117" customFormat="false" ht="12.75" hidden="false" customHeight="false" outlineLevel="0" collapsed="false">
      <c r="E117" s="194"/>
    </row>
    <row r="118" customFormat="false" ht="12.75" hidden="false" customHeight="false" outlineLevel="0" collapsed="false">
      <c r="E118" s="194"/>
    </row>
    <row r="119" customFormat="false" ht="12.75" hidden="false" customHeight="false" outlineLevel="0" collapsed="false">
      <c r="E119" s="194"/>
    </row>
    <row r="120" customFormat="false" ht="12.75" hidden="false" customHeight="false" outlineLevel="0" collapsed="false">
      <c r="E120" s="194"/>
    </row>
    <row r="121" customFormat="false" ht="12.75" hidden="false" customHeight="false" outlineLevel="0" collapsed="false">
      <c r="E121" s="194"/>
    </row>
    <row r="122" customFormat="false" ht="12.75" hidden="false" customHeight="false" outlineLevel="0" collapsed="false">
      <c r="E122" s="194"/>
    </row>
    <row r="123" customFormat="false" ht="12.75" hidden="false" customHeight="false" outlineLevel="0" collapsed="false">
      <c r="E123" s="194"/>
    </row>
    <row r="124" customFormat="false" ht="12.75" hidden="false" customHeight="false" outlineLevel="0" collapsed="false">
      <c r="E124" s="194"/>
    </row>
    <row r="125" customFormat="false" ht="12.75" hidden="false" customHeight="false" outlineLevel="0" collapsed="false">
      <c r="E125" s="194"/>
    </row>
    <row r="126" customFormat="false" ht="12.75" hidden="false" customHeight="false" outlineLevel="0" collapsed="false">
      <c r="E126" s="194"/>
    </row>
    <row r="127" customFormat="false" ht="12.75" hidden="false" customHeight="false" outlineLevel="0" collapsed="false">
      <c r="E127" s="194"/>
    </row>
    <row r="128" customFormat="false" ht="12.75" hidden="false" customHeight="false" outlineLevel="0" collapsed="false">
      <c r="E128" s="194"/>
    </row>
    <row r="129" customFormat="false" ht="12.75" hidden="false" customHeight="false" outlineLevel="0" collapsed="false">
      <c r="E129" s="194"/>
    </row>
    <row r="130" customFormat="false" ht="12.75" hidden="false" customHeight="false" outlineLevel="0" collapsed="false">
      <c r="E130" s="194"/>
    </row>
    <row r="131" customFormat="false" ht="12.75" hidden="false" customHeight="false" outlineLevel="0" collapsed="false">
      <c r="E131" s="194"/>
    </row>
    <row r="132" customFormat="false" ht="12.75" hidden="false" customHeight="false" outlineLevel="0" collapsed="false">
      <c r="E132" s="194"/>
    </row>
    <row r="133" customFormat="false" ht="12.75" hidden="false" customHeight="false" outlineLevel="0" collapsed="false">
      <c r="E133" s="194"/>
    </row>
    <row r="134" customFormat="false" ht="12.75" hidden="false" customHeight="false" outlineLevel="0" collapsed="false">
      <c r="E134" s="194"/>
    </row>
    <row r="135" customFormat="false" ht="12.75" hidden="false" customHeight="false" outlineLevel="0" collapsed="false">
      <c r="E135" s="194"/>
    </row>
    <row r="136" customFormat="false" ht="12.75" hidden="false" customHeight="false" outlineLevel="0" collapsed="false">
      <c r="E136" s="194"/>
    </row>
    <row r="137" customFormat="false" ht="12.75" hidden="false" customHeight="false" outlineLevel="0" collapsed="false">
      <c r="E137" s="194"/>
    </row>
    <row r="138" customFormat="false" ht="12.75" hidden="false" customHeight="false" outlineLevel="0" collapsed="false">
      <c r="E138" s="194"/>
    </row>
    <row r="139" customFormat="false" ht="12.75" hidden="false" customHeight="false" outlineLevel="0" collapsed="false">
      <c r="E139" s="194"/>
    </row>
    <row r="140" customFormat="false" ht="12.75" hidden="false" customHeight="false" outlineLevel="0" collapsed="false">
      <c r="E140" s="194"/>
    </row>
    <row r="141" customFormat="false" ht="12.75" hidden="false" customHeight="false" outlineLevel="0" collapsed="false">
      <c r="E141" s="194"/>
    </row>
    <row r="142" customFormat="false" ht="12.75" hidden="false" customHeight="false" outlineLevel="0" collapsed="false">
      <c r="E142" s="194"/>
    </row>
    <row r="143" customFormat="false" ht="12.75" hidden="false" customHeight="false" outlineLevel="0" collapsed="false">
      <c r="E143" s="194"/>
    </row>
    <row r="144" customFormat="false" ht="12.75" hidden="false" customHeight="false" outlineLevel="0" collapsed="false">
      <c r="E144" s="194"/>
    </row>
    <row r="145" customFormat="false" ht="12.75" hidden="false" customHeight="false" outlineLevel="0" collapsed="false">
      <c r="E145" s="194"/>
    </row>
    <row r="146" customFormat="false" ht="12.75" hidden="false" customHeight="false" outlineLevel="0" collapsed="false">
      <c r="E146" s="194"/>
    </row>
    <row r="147" customFormat="false" ht="12.75" hidden="false" customHeight="false" outlineLevel="0" collapsed="false">
      <c r="E147" s="194"/>
    </row>
    <row r="148" customFormat="false" ht="12.75" hidden="false" customHeight="false" outlineLevel="0" collapsed="false">
      <c r="E148" s="194"/>
    </row>
    <row r="149" customFormat="false" ht="12.75" hidden="false" customHeight="false" outlineLevel="0" collapsed="false">
      <c r="E149" s="194"/>
    </row>
    <row r="150" customFormat="false" ht="12.75" hidden="false" customHeight="false" outlineLevel="0" collapsed="false">
      <c r="E150" s="194"/>
    </row>
    <row r="151" customFormat="false" ht="12.75" hidden="false" customHeight="false" outlineLevel="0" collapsed="false">
      <c r="E151" s="194"/>
    </row>
    <row r="152" customFormat="false" ht="12.75" hidden="false" customHeight="false" outlineLevel="0" collapsed="false">
      <c r="E152" s="194"/>
    </row>
    <row r="153" customFormat="false" ht="12.75" hidden="false" customHeight="false" outlineLevel="0" collapsed="false">
      <c r="E153" s="194"/>
    </row>
    <row r="154" customFormat="false" ht="12.75" hidden="false" customHeight="false" outlineLevel="0" collapsed="false">
      <c r="E154" s="194"/>
    </row>
    <row r="155" customFormat="false" ht="12.75" hidden="false" customHeight="false" outlineLevel="0" collapsed="false">
      <c r="E155" s="194"/>
    </row>
    <row r="156" customFormat="false" ht="12.75" hidden="false" customHeight="false" outlineLevel="0" collapsed="false">
      <c r="E156" s="194"/>
    </row>
    <row r="157" customFormat="false" ht="12.75" hidden="false" customHeight="false" outlineLevel="0" collapsed="false">
      <c r="E157" s="194"/>
    </row>
    <row r="158" customFormat="false" ht="12.75" hidden="false" customHeight="false" outlineLevel="0" collapsed="false">
      <c r="E158" s="194"/>
    </row>
    <row r="159" customFormat="false" ht="12.75" hidden="false" customHeight="false" outlineLevel="0" collapsed="false">
      <c r="E159" s="194"/>
    </row>
    <row r="160" customFormat="false" ht="12.75" hidden="false" customHeight="false" outlineLevel="0" collapsed="false">
      <c r="E160" s="194"/>
    </row>
    <row r="161" customFormat="false" ht="12.75" hidden="false" customHeight="false" outlineLevel="0" collapsed="false">
      <c r="E161" s="194"/>
    </row>
    <row r="162" customFormat="false" ht="12.75" hidden="false" customHeight="false" outlineLevel="0" collapsed="false">
      <c r="E162" s="194"/>
    </row>
    <row r="163" customFormat="false" ht="12.75" hidden="false" customHeight="false" outlineLevel="0" collapsed="false">
      <c r="E163" s="194"/>
    </row>
    <row r="164" customFormat="false" ht="12.75" hidden="false" customHeight="false" outlineLevel="0" collapsed="false">
      <c r="E164" s="194"/>
    </row>
    <row r="165" customFormat="false" ht="12.75" hidden="false" customHeight="false" outlineLevel="0" collapsed="false">
      <c r="E165" s="194"/>
    </row>
    <row r="166" customFormat="false" ht="12.75" hidden="false" customHeight="false" outlineLevel="0" collapsed="false">
      <c r="E166" s="194"/>
    </row>
    <row r="167" customFormat="false" ht="12.75" hidden="false" customHeight="false" outlineLevel="0" collapsed="false">
      <c r="E167" s="194"/>
    </row>
    <row r="168" customFormat="false" ht="12.75" hidden="false" customHeight="false" outlineLevel="0" collapsed="false">
      <c r="E168" s="194"/>
    </row>
    <row r="169" customFormat="false" ht="12.75" hidden="false" customHeight="false" outlineLevel="0" collapsed="false">
      <c r="E169" s="194"/>
    </row>
    <row r="170" customFormat="false" ht="12.75" hidden="false" customHeight="false" outlineLevel="0" collapsed="false">
      <c r="E170" s="194"/>
    </row>
    <row r="171" customFormat="false" ht="12.75" hidden="false" customHeight="false" outlineLevel="0" collapsed="false">
      <c r="E171" s="194"/>
    </row>
    <row r="172" customFormat="false" ht="12.75" hidden="false" customHeight="false" outlineLevel="0" collapsed="false">
      <c r="E172" s="194"/>
    </row>
    <row r="173" customFormat="false" ht="12.75" hidden="false" customHeight="false" outlineLevel="0" collapsed="false">
      <c r="E173" s="194"/>
    </row>
    <row r="174" customFormat="false" ht="12.75" hidden="false" customHeight="false" outlineLevel="0" collapsed="false">
      <c r="E174" s="194"/>
    </row>
    <row r="175" customFormat="false" ht="12.75" hidden="false" customHeight="false" outlineLevel="0" collapsed="false">
      <c r="E175" s="194"/>
    </row>
    <row r="176" customFormat="false" ht="12.75" hidden="false" customHeight="false" outlineLevel="0" collapsed="false">
      <c r="E176" s="194"/>
    </row>
    <row r="177" customFormat="false" ht="12.75" hidden="false" customHeight="false" outlineLevel="0" collapsed="false">
      <c r="E177" s="194"/>
    </row>
    <row r="178" customFormat="false" ht="12.75" hidden="false" customHeight="false" outlineLevel="0" collapsed="false">
      <c r="E178" s="194"/>
    </row>
    <row r="179" customFormat="false" ht="12.75" hidden="false" customHeight="false" outlineLevel="0" collapsed="false">
      <c r="E179" s="194"/>
    </row>
    <row r="180" customFormat="false" ht="12.75" hidden="false" customHeight="false" outlineLevel="0" collapsed="false">
      <c r="E180" s="194"/>
    </row>
    <row r="181" customFormat="false" ht="12.75" hidden="false" customHeight="false" outlineLevel="0" collapsed="false">
      <c r="E181" s="194"/>
    </row>
    <row r="182" customFormat="false" ht="12.75" hidden="false" customHeight="false" outlineLevel="0" collapsed="false">
      <c r="E182" s="194"/>
    </row>
    <row r="183" customFormat="false" ht="12.75" hidden="false" customHeight="false" outlineLevel="0" collapsed="false">
      <c r="E183" s="194"/>
    </row>
    <row r="184" customFormat="false" ht="12.75" hidden="false" customHeight="false" outlineLevel="0" collapsed="false">
      <c r="E184" s="194"/>
    </row>
    <row r="185" customFormat="false" ht="12.75" hidden="false" customHeight="false" outlineLevel="0" collapsed="false">
      <c r="E185" s="194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</sheetData>
  <mergeCells count="6">
    <mergeCell ref="A2:H2"/>
    <mergeCell ref="A3:H3"/>
    <mergeCell ref="G5:H5"/>
    <mergeCell ref="G6:H6"/>
    <mergeCell ref="G7:H7"/>
    <mergeCell ref="G9:H9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10" min="9" style="1" width="2.13"/>
    <col collapsed="false" customWidth="true" hidden="false" outlineLevel="0" max="11" min="11" style="1" width="32.99"/>
    <col collapsed="false" customWidth="true" hidden="false" outlineLevel="0" max="12" min="12" style="1" width="12.56"/>
    <col collapsed="false" customWidth="false" hidden="false" outlineLevel="0" max="13" min="13" style="1" width="2.13"/>
    <col collapsed="false" customWidth="true" hidden="false" outlineLevel="0" max="14" min="14" style="1" width="7.56"/>
    <col collapsed="false" customWidth="false" hidden="false" outlineLevel="0" max="15" min="15" style="1" width="2.13"/>
    <col collapsed="false" customWidth="true" hidden="false" outlineLevel="0" max="16" min="16" style="1" width="8.99"/>
    <col collapsed="false" customWidth="true" hidden="false" outlineLevel="0" max="17" min="17" style="1" width="13.28"/>
    <col collapsed="false" customWidth="false" hidden="false" outlineLevel="0" max="257" min="18" style="1" width="2.13"/>
  </cols>
  <sheetData>
    <row r="1" customFormat="false" ht="12.75" hidden="false" customHeight="false" outlineLevel="0" collapsed="false">
      <c r="H1" s="2" t="s">
        <v>0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1" hidden="false" customHeight="false" outlineLevel="0" collapsed="false">
      <c r="A3" s="3" t="s">
        <v>150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5" t="s">
        <v>3</v>
      </c>
      <c r="H4" s="5"/>
    </row>
    <row r="5" customFormat="false" ht="12.75" hidden="false" customHeight="false" outlineLevel="0" collapsed="false">
      <c r="A5" s="145" t="s">
        <v>151</v>
      </c>
      <c r="B5" s="7"/>
      <c r="C5" s="8"/>
      <c r="D5" s="9"/>
      <c r="G5" s="10" t="s">
        <v>5</v>
      </c>
      <c r="H5" s="10"/>
    </row>
    <row r="6" customFormat="false" ht="12.75" hidden="false" customHeight="false" outlineLevel="0" collapsed="false">
      <c r="A6" s="11"/>
      <c r="B6" s="12"/>
      <c r="C6" s="13"/>
      <c r="E6" s="14"/>
      <c r="F6" s="14"/>
      <c r="G6" s="15" t="s">
        <v>6</v>
      </c>
      <c r="H6" s="15"/>
    </row>
    <row r="7" customFormat="false" ht="12.75" hidden="false" customHeight="false" outlineLevel="0" collapsed="false">
      <c r="A7" s="11" t="s">
        <v>152</v>
      </c>
      <c r="B7" s="12"/>
      <c r="C7" s="229" t="n">
        <f aca="false">G170-C170</f>
        <v>2.80948259771777</v>
      </c>
      <c r="E7" s="17"/>
      <c r="F7" s="17"/>
      <c r="G7" s="18"/>
      <c r="H7" s="19"/>
    </row>
    <row r="8" customFormat="false" ht="12.75" hidden="false" customHeight="false" outlineLevel="0" collapsed="false">
      <c r="A8" s="11"/>
      <c r="B8" s="12"/>
      <c r="C8" s="20"/>
      <c r="E8" s="17"/>
      <c r="F8" s="17"/>
      <c r="G8" s="21" t="n">
        <f aca="false">'Street Lighting'!G62-'Street Lighting'!C62</f>
        <v>2.75159775101589</v>
      </c>
      <c r="H8" s="21"/>
    </row>
    <row r="9" customFormat="false" ht="13.5" hidden="false" customHeight="false" outlineLevel="0" collapsed="false">
      <c r="A9" s="22" t="s">
        <v>153</v>
      </c>
      <c r="B9" s="23"/>
      <c r="C9" s="24" t="n">
        <f aca="false">E170</f>
        <v>74.2237952978949</v>
      </c>
      <c r="E9" s="17"/>
      <c r="F9" s="17"/>
      <c r="G9" s="230"/>
      <c r="H9" s="26"/>
    </row>
    <row r="10" customFormat="false" ht="12.75" hidden="false" customHeight="false" outlineLevel="0" collapsed="false">
      <c r="A10" s="11"/>
      <c r="B10" s="12"/>
      <c r="C10" s="20"/>
      <c r="E10" s="17"/>
      <c r="F10" s="17"/>
      <c r="G10" s="12"/>
      <c r="H10" s="30"/>
    </row>
    <row r="11" customFormat="false" ht="12.75" hidden="false" customHeight="false" outlineLevel="0" collapsed="false">
      <c r="A11" s="11" t="s">
        <v>154</v>
      </c>
      <c r="B11" s="12"/>
      <c r="C11" s="20"/>
      <c r="E11" s="17"/>
      <c r="F11" s="17"/>
      <c r="G11" s="12"/>
      <c r="H11" s="30"/>
    </row>
    <row r="12" customFormat="false" ht="12.75" hidden="false" customHeight="false" outlineLevel="0" collapsed="false">
      <c r="A12" s="11" t="s">
        <v>155</v>
      </c>
      <c r="B12" s="12"/>
      <c r="C12" s="16" t="n">
        <f aca="false">N51*100</f>
        <v>14.066954298318</v>
      </c>
      <c r="E12" s="17"/>
      <c r="F12" s="17"/>
      <c r="G12" s="12"/>
      <c r="H12" s="30"/>
    </row>
    <row r="13" customFormat="false" ht="12.75" hidden="false" customHeight="false" outlineLevel="0" collapsed="false">
      <c r="A13" s="11" t="s">
        <v>156</v>
      </c>
      <c r="B13" s="12"/>
      <c r="C13" s="16" t="n">
        <f aca="false">N52*100</f>
        <v>9.84686800882259</v>
      </c>
      <c r="E13" s="17"/>
      <c r="F13" s="17"/>
      <c r="G13" s="12"/>
      <c r="H13" s="30"/>
    </row>
    <row r="14" customFormat="false" ht="12.75" hidden="false" customHeight="false" outlineLevel="0" collapsed="false">
      <c r="A14" s="11" t="s">
        <v>157</v>
      </c>
      <c r="B14" s="12"/>
      <c r="C14" s="16" t="n">
        <f aca="false">N53*100</f>
        <v>7.03347714915899</v>
      </c>
      <c r="E14" s="17"/>
      <c r="F14" s="17"/>
      <c r="G14" s="12"/>
      <c r="H14" s="30"/>
    </row>
    <row r="15" customFormat="false" ht="12.75" hidden="false" customHeight="false" outlineLevel="0" collapsed="false">
      <c r="A15" s="11"/>
      <c r="B15" s="12"/>
      <c r="C15" s="20"/>
      <c r="E15" s="17"/>
      <c r="F15" s="17"/>
      <c r="G15" s="12"/>
      <c r="H15" s="30"/>
    </row>
    <row r="16" customFormat="false" ht="15.75" hidden="false" customHeight="false" outlineLevel="0" collapsed="false">
      <c r="A16" s="11" t="s">
        <v>158</v>
      </c>
      <c r="B16" s="231"/>
      <c r="C16" s="232"/>
      <c r="E16" s="17"/>
      <c r="F16" s="17"/>
      <c r="G16" s="12"/>
      <c r="H16" s="30"/>
    </row>
    <row r="17" customFormat="false" ht="15" hidden="false" customHeight="false" outlineLevel="0" collapsed="false">
      <c r="A17" s="11" t="s">
        <v>159</v>
      </c>
      <c r="B17" s="231"/>
      <c r="C17" s="36" t="n">
        <v>2</v>
      </c>
      <c r="E17" s="17"/>
      <c r="F17" s="17"/>
      <c r="G17" s="12"/>
      <c r="H17" s="30"/>
    </row>
    <row r="18" customFormat="false" ht="15.75" hidden="false" customHeight="false" outlineLevel="0" collapsed="false">
      <c r="A18" s="22" t="s">
        <v>160</v>
      </c>
      <c r="B18" s="233"/>
      <c r="C18" s="234" t="n">
        <v>1.4</v>
      </c>
      <c r="E18" s="200"/>
      <c r="F18" s="200"/>
      <c r="G18" s="200"/>
      <c r="H18" s="200"/>
    </row>
    <row r="19" customFormat="false" ht="13.5" hidden="false" customHeight="false" outlineLevel="0" collapsed="false">
      <c r="A19" s="43"/>
      <c r="B19" s="44"/>
      <c r="C19" s="44"/>
      <c r="D19" s="44"/>
      <c r="E19" s="44"/>
      <c r="F19" s="44"/>
      <c r="G19" s="44"/>
      <c r="H19" s="44"/>
    </row>
    <row r="20" customFormat="false" ht="64.5" hidden="false" customHeight="false" outlineLevel="0" collapsed="false">
      <c r="A20" s="45" t="s">
        <v>24</v>
      </c>
      <c r="B20" s="46" t="s">
        <v>25</v>
      </c>
      <c r="C20" s="46" t="s">
        <v>161</v>
      </c>
      <c r="D20" s="46" t="s">
        <v>27</v>
      </c>
      <c r="E20" s="46" t="s">
        <v>28</v>
      </c>
      <c r="F20" s="46" t="s">
        <v>29</v>
      </c>
      <c r="G20" s="46" t="s">
        <v>30</v>
      </c>
      <c r="H20" s="47" t="s">
        <v>31</v>
      </c>
    </row>
    <row r="21" customFormat="false" ht="12.75" hidden="false" customHeight="false" outlineLevel="0" collapsed="false">
      <c r="A21" s="52"/>
      <c r="B21" s="201"/>
      <c r="C21" s="201"/>
      <c r="D21" s="201"/>
      <c r="E21" s="201"/>
      <c r="F21" s="201"/>
      <c r="G21" s="201"/>
      <c r="H21" s="52"/>
      <c r="K21" s="109"/>
      <c r="L21" s="56"/>
    </row>
    <row r="22" customFormat="false" ht="12.75" hidden="false" customHeight="false" outlineLevel="0" collapsed="false">
      <c r="A22" s="108" t="s">
        <v>162</v>
      </c>
      <c r="B22" s="235"/>
      <c r="C22" s="110"/>
      <c r="D22" s="123"/>
      <c r="E22" s="218"/>
      <c r="F22" s="67"/>
      <c r="G22" s="110"/>
      <c r="H22" s="109"/>
      <c r="K22" s="109"/>
      <c r="L22" s="56"/>
    </row>
    <row r="23" customFormat="false" ht="12.75" hidden="false" customHeight="false" outlineLevel="0" collapsed="false">
      <c r="A23" s="108"/>
      <c r="B23" s="235"/>
      <c r="C23" s="110"/>
      <c r="D23" s="123"/>
      <c r="E23" s="218"/>
      <c r="F23" s="67"/>
      <c r="G23" s="110"/>
      <c r="H23" s="109"/>
      <c r="K23" s="109"/>
      <c r="L23" s="56"/>
    </row>
    <row r="24" customFormat="false" ht="12.75" hidden="false" customHeight="false" outlineLevel="0" collapsed="false">
      <c r="A24" s="204" t="s">
        <v>163</v>
      </c>
      <c r="B24" s="235"/>
      <c r="C24" s="110"/>
      <c r="D24" s="79"/>
      <c r="E24" s="218"/>
      <c r="F24" s="67"/>
      <c r="G24" s="110"/>
      <c r="H24" s="109"/>
      <c r="K24" s="109"/>
      <c r="L24" s="56"/>
    </row>
    <row r="25" customFormat="false" ht="12.75" hidden="false" customHeight="false" outlineLevel="0" collapsed="false">
      <c r="A25" s="68" t="s">
        <v>164</v>
      </c>
      <c r="B25" s="235"/>
      <c r="C25" s="69" t="n">
        <f aca="false">D25/B33*100</f>
        <v>0.117363376528485</v>
      </c>
      <c r="D25" s="123" t="n">
        <v>0.075024742752</v>
      </c>
      <c r="E25" s="67" t="n">
        <f aca="false">F25-D25</f>
        <v>0</v>
      </c>
      <c r="F25" s="67" t="n">
        <f aca="false">D25</f>
        <v>0.075024742752</v>
      </c>
      <c r="G25" s="236" t="n">
        <f aca="false">F25/B33*100</f>
        <v>0.117363376528485</v>
      </c>
      <c r="H25" s="109"/>
      <c r="K25" s="109"/>
      <c r="L25" s="56"/>
    </row>
    <row r="26" customFormat="false" ht="12.75" hidden="false" customHeight="false" outlineLevel="0" collapsed="false">
      <c r="A26" s="68" t="s">
        <v>165</v>
      </c>
      <c r="B26" s="235"/>
      <c r="C26" s="69" t="n">
        <f aca="false">D26/B30*100</f>
        <v>4.99888888888889</v>
      </c>
      <c r="D26" s="79" t="n">
        <v>3.12588546863852</v>
      </c>
      <c r="E26" s="67" t="n">
        <f aca="false">F26-D26</f>
        <v>0</v>
      </c>
      <c r="F26" s="67" t="n">
        <f aca="false">D26</f>
        <v>3.12588546863852</v>
      </c>
      <c r="G26" s="236" t="n">
        <f aca="false">F26/B30*100</f>
        <v>4.99888888888889</v>
      </c>
      <c r="H26" s="109"/>
      <c r="K26" s="109"/>
      <c r="L26" s="56"/>
    </row>
    <row r="27" customFormat="false" ht="12.75" hidden="false" customHeight="false" outlineLevel="0" collapsed="false">
      <c r="A27" s="68" t="s">
        <v>166</v>
      </c>
      <c r="B27" s="235"/>
      <c r="C27" s="69" t="n">
        <f aca="false">D27/B31*100</f>
        <v>2.22408888888889</v>
      </c>
      <c r="D27" s="79" t="n">
        <v>0.0309942087273723</v>
      </c>
      <c r="E27" s="67" t="n">
        <f aca="false">F27-D27</f>
        <v>0</v>
      </c>
      <c r="F27" s="67" t="n">
        <f aca="false">D27</f>
        <v>0.0309942087273723</v>
      </c>
      <c r="G27" s="236" t="n">
        <f aca="false">F27/B31*100</f>
        <v>2.22408888888889</v>
      </c>
      <c r="H27" s="109"/>
      <c r="K27" s="109"/>
      <c r="L27" s="56"/>
    </row>
    <row r="28" customFormat="false" ht="12.75" hidden="false" customHeight="false" outlineLevel="0" collapsed="false">
      <c r="A28" s="204"/>
      <c r="B28" s="235"/>
      <c r="C28" s="110"/>
      <c r="D28" s="79"/>
      <c r="E28" s="130"/>
      <c r="F28" s="67"/>
      <c r="G28" s="110"/>
      <c r="H28" s="109"/>
      <c r="K28" s="109"/>
      <c r="L28" s="56"/>
    </row>
    <row r="29" customFormat="false" ht="12.75" hidden="false" customHeight="false" outlineLevel="0" collapsed="false">
      <c r="A29" s="4" t="s">
        <v>37</v>
      </c>
      <c r="B29" s="235"/>
      <c r="C29" s="110"/>
      <c r="D29" s="123"/>
      <c r="E29" s="130"/>
      <c r="F29" s="67"/>
      <c r="G29" s="110"/>
      <c r="H29" s="109"/>
      <c r="K29" s="109"/>
      <c r="L29" s="56"/>
    </row>
    <row r="30" customFormat="false" ht="12.75" hidden="false" customHeight="false" outlineLevel="0" collapsed="false">
      <c r="A30" s="2" t="s">
        <v>167</v>
      </c>
      <c r="B30" s="64" t="n">
        <f aca="false">122.90016762*0.6*0.848</f>
        <v>62.531605285056</v>
      </c>
      <c r="C30" s="70" t="n">
        <f aca="false">1.387+6.5</f>
        <v>7.887</v>
      </c>
      <c r="D30" s="123" t="n">
        <f aca="false">C30*B30/100</f>
        <v>4.93186770883237</v>
      </c>
      <c r="E30" s="67" t="n">
        <f aca="false">Residential!$N$58*B30</f>
        <v>1.75618574335112</v>
      </c>
      <c r="F30" s="67" t="n">
        <f aca="false">D30+E30</f>
        <v>6.68805345218349</v>
      </c>
      <c r="G30" s="70" t="n">
        <f aca="false">F30/B30*100</f>
        <v>10.6954769859104</v>
      </c>
      <c r="H30" s="109"/>
      <c r="K30" s="109"/>
      <c r="L30" s="56"/>
    </row>
    <row r="31" customFormat="false" ht="12.75" hidden="false" customHeight="false" outlineLevel="0" collapsed="false">
      <c r="A31" s="2" t="s">
        <v>168</v>
      </c>
      <c r="B31" s="64" t="n">
        <f aca="false">2.73893238*0.6*0.848</f>
        <v>1.393568794944</v>
      </c>
      <c r="C31" s="70" t="n">
        <f aca="false">1.353+6.5</f>
        <v>7.853</v>
      </c>
      <c r="D31" s="123" t="n">
        <f aca="false">C31*B31/100</f>
        <v>0.109436957466952</v>
      </c>
      <c r="E31" s="67" t="n">
        <f aca="false">Residential!$N$58*B31</f>
        <v>0.039138058888831</v>
      </c>
      <c r="F31" s="67" t="n">
        <f aca="false">D31+E31</f>
        <v>0.148575016355783</v>
      </c>
      <c r="G31" s="70" t="n">
        <f aca="false">F31/B31*100</f>
        <v>10.6614769859104</v>
      </c>
      <c r="H31" s="109"/>
      <c r="K31" s="109"/>
      <c r="L31" s="56"/>
    </row>
    <row r="32" customFormat="false" ht="12.75" hidden="false" customHeight="false" outlineLevel="0" collapsed="false">
      <c r="A32" s="215"/>
      <c r="B32" s="216"/>
      <c r="C32" s="217"/>
      <c r="D32" s="123"/>
      <c r="E32" s="130"/>
      <c r="F32" s="67"/>
      <c r="G32" s="217"/>
      <c r="H32" s="109"/>
      <c r="K32" s="109"/>
      <c r="L32" s="56"/>
    </row>
    <row r="33" customFormat="false" ht="13.5" hidden="false" customHeight="false" outlineLevel="0" collapsed="false">
      <c r="A33" s="131" t="s">
        <v>169</v>
      </c>
      <c r="B33" s="207" t="n">
        <f aca="false">B30+B31</f>
        <v>63.92517408</v>
      </c>
      <c r="C33" s="95" t="n">
        <f aca="false">D33/B33*100</f>
        <v>12.9420204254174</v>
      </c>
      <c r="D33" s="237" t="n">
        <f aca="false">SUM(D25:D31)</f>
        <v>8.27320908641721</v>
      </c>
      <c r="E33" s="238" t="n">
        <f aca="false">SUM(E25:E31)</f>
        <v>1.79532380223995</v>
      </c>
      <c r="F33" s="237" t="n">
        <f aca="false">SUM(F25:F31)</f>
        <v>10.0685328886572</v>
      </c>
      <c r="G33" s="95" t="n">
        <f aca="false">F33/B33*100</f>
        <v>15.7504974113278</v>
      </c>
      <c r="H33" s="133" t="n">
        <f aca="false">(G33-C33)/C33</f>
        <v>0.217004524300913</v>
      </c>
      <c r="K33" s="109"/>
      <c r="L33" s="56"/>
    </row>
    <row r="34" customFormat="false" ht="13.5" hidden="false" customHeight="false" outlineLevel="0" collapsed="false">
      <c r="A34" s="60"/>
      <c r="B34" s="239"/>
      <c r="C34" s="101"/>
      <c r="D34" s="240"/>
      <c r="E34" s="240"/>
      <c r="F34" s="240"/>
      <c r="G34" s="101"/>
      <c r="H34" s="171"/>
      <c r="K34" s="109"/>
      <c r="L34" s="56"/>
    </row>
    <row r="35" customFormat="false" ht="12.75" hidden="false" customHeight="false" outlineLevel="0" collapsed="false">
      <c r="A35" s="60"/>
      <c r="B35" s="239"/>
      <c r="C35" s="101"/>
      <c r="D35" s="240"/>
      <c r="E35" s="240"/>
      <c r="F35" s="241"/>
      <c r="G35" s="101"/>
      <c r="H35" s="171"/>
      <c r="K35" s="109"/>
      <c r="L35" s="56"/>
    </row>
    <row r="36" customFormat="false" ht="12.75" hidden="false" customHeight="false" outlineLevel="0" collapsed="false">
      <c r="A36" s="242" t="s">
        <v>170</v>
      </c>
      <c r="C36" s="166"/>
      <c r="D36" s="79"/>
      <c r="E36" s="243"/>
      <c r="F36" s="79"/>
      <c r="G36" s="166"/>
      <c r="K36" s="109"/>
      <c r="L36" s="56"/>
    </row>
    <row r="37" customFormat="false" ht="12.75" hidden="false" customHeight="false" outlineLevel="0" collapsed="false">
      <c r="A37" s="57"/>
      <c r="B37" s="64"/>
      <c r="C37" s="65"/>
      <c r="D37" s="79"/>
      <c r="E37" s="243"/>
      <c r="F37" s="79"/>
      <c r="G37" s="65"/>
      <c r="K37" s="109"/>
      <c r="L37" s="56"/>
    </row>
    <row r="38" customFormat="false" ht="12.75" hidden="false" customHeight="false" outlineLevel="0" collapsed="false">
      <c r="A38" s="4" t="s">
        <v>171</v>
      </c>
      <c r="B38" s="64"/>
      <c r="C38" s="88" t="n">
        <f aca="false">D38/B46*100</f>
        <v>0.162832353247681</v>
      </c>
      <c r="D38" s="79" t="n">
        <v>0.18550189952</v>
      </c>
      <c r="E38" s="79" t="n">
        <f aca="false">F38-D38</f>
        <v>0</v>
      </c>
      <c r="F38" s="79" t="n">
        <f aca="false">D38</f>
        <v>0.18550189952</v>
      </c>
      <c r="G38" s="65" t="n">
        <f aca="false">F38/B46*100</f>
        <v>0.162832353247681</v>
      </c>
      <c r="K38" s="109"/>
      <c r="L38" s="56"/>
    </row>
    <row r="39" customFormat="false" ht="12.75" hidden="false" customHeight="false" outlineLevel="0" collapsed="false">
      <c r="A39" s="215"/>
      <c r="B39" s="64"/>
      <c r="C39" s="65"/>
      <c r="D39" s="79"/>
      <c r="E39" s="243"/>
      <c r="F39" s="79"/>
      <c r="G39" s="65"/>
      <c r="K39" s="109"/>
      <c r="L39" s="56"/>
    </row>
    <row r="40" customFormat="false" ht="12.75" hidden="false" customHeight="false" outlineLevel="0" collapsed="false">
      <c r="A40" s="4" t="s">
        <v>37</v>
      </c>
      <c r="B40" s="64"/>
      <c r="C40" s="65"/>
      <c r="D40" s="79"/>
      <c r="E40" s="243"/>
      <c r="F40" s="79"/>
      <c r="G40" s="65"/>
      <c r="K40" s="109"/>
      <c r="L40" s="56"/>
    </row>
    <row r="41" customFormat="false" ht="12.75" hidden="false" customHeight="false" outlineLevel="0" collapsed="false">
      <c r="A41" s="2" t="s">
        <v>75</v>
      </c>
      <c r="B41" s="64" t="n">
        <f aca="false">15.274148032*0.848</f>
        <v>12.952477531136</v>
      </c>
      <c r="C41" s="65" t="n">
        <f aca="false">7.609+6.5</f>
        <v>14.109</v>
      </c>
      <c r="D41" s="79" t="n">
        <f aca="false">C41*B41/100</f>
        <v>1.82746505486798</v>
      </c>
      <c r="E41" s="67" t="n">
        <f aca="false">($N$51-0.065)*B41</f>
        <v>0.980108055280967</v>
      </c>
      <c r="F41" s="79" t="n">
        <f aca="false">D41+E41</f>
        <v>2.80757311014894</v>
      </c>
      <c r="G41" s="65" t="n">
        <f aca="false">F41/B41*100</f>
        <v>21.675954298318</v>
      </c>
      <c r="K41" s="109"/>
      <c r="L41" s="56"/>
    </row>
    <row r="42" customFormat="false" ht="12.75" hidden="false" customHeight="false" outlineLevel="0" collapsed="false">
      <c r="A42" s="2" t="s">
        <v>172</v>
      </c>
      <c r="B42" s="64" t="n">
        <f aca="false">8.072342096*0.848</f>
        <v>6.845346097408</v>
      </c>
      <c r="C42" s="65" t="n">
        <f aca="false">6.558+6.5</f>
        <v>13.058</v>
      </c>
      <c r="D42" s="79" t="n">
        <f aca="false">C42*B42/100</f>
        <v>0.893865293399537</v>
      </c>
      <c r="E42" s="67" t="n">
        <f aca="false">($N$51-0.065)*B42</f>
        <v>0.517984210752557</v>
      </c>
      <c r="F42" s="79" t="n">
        <f aca="false">D42+E42</f>
        <v>1.41184950415209</v>
      </c>
      <c r="G42" s="65" t="n">
        <f aca="false">F42/B42*100</f>
        <v>20.624954298318</v>
      </c>
      <c r="K42" s="109"/>
      <c r="L42" s="56"/>
    </row>
    <row r="43" customFormat="false" ht="12.75" hidden="false" customHeight="false" outlineLevel="0" collapsed="false">
      <c r="A43" s="2" t="s">
        <v>173</v>
      </c>
      <c r="B43" s="64" t="n">
        <f aca="false">48.100347048*0.848</f>
        <v>40.789094296704</v>
      </c>
      <c r="C43" s="65" t="n">
        <f aca="false">5.535+6.5</f>
        <v>12.035</v>
      </c>
      <c r="D43" s="79" t="n">
        <f aca="false">C43*B43/100</f>
        <v>4.90896749860833</v>
      </c>
      <c r="E43" s="67" t="n">
        <f aca="false">($N$52-0.065)*B43</f>
        <v>1.36515714810487</v>
      </c>
      <c r="F43" s="79" t="n">
        <f aca="false">D43+E43</f>
        <v>6.27412464671319</v>
      </c>
      <c r="G43" s="65" t="n">
        <f aca="false">F43/B43*100</f>
        <v>15.3818680088226</v>
      </c>
      <c r="K43" s="109"/>
      <c r="L43" s="56"/>
    </row>
    <row r="44" customFormat="false" ht="12.75" hidden="false" customHeight="false" outlineLevel="0" collapsed="false">
      <c r="A44" s="2" t="s">
        <v>174</v>
      </c>
      <c r="B44" s="64" t="n">
        <f aca="false">62.895162824*0.848</f>
        <v>53.335098074752</v>
      </c>
      <c r="C44" s="65" t="n">
        <f aca="false">5.492+6.5</f>
        <v>11.992</v>
      </c>
      <c r="D44" s="79" t="n">
        <f aca="false">C44*B44/100</f>
        <v>6.39594496112426</v>
      </c>
      <c r="E44" s="67" t="n">
        <f aca="false">($N$53-0.065)*B44</f>
        <v>0.28453056071034</v>
      </c>
      <c r="F44" s="79" t="n">
        <f aca="false">D44+E44</f>
        <v>6.6804755218346</v>
      </c>
      <c r="G44" s="65" t="n">
        <f aca="false">F44/B44*100</f>
        <v>12.525477149159</v>
      </c>
      <c r="K44" s="109"/>
      <c r="L44" s="56"/>
    </row>
    <row r="45" customFormat="false" ht="12.75" hidden="false" customHeight="false" outlineLevel="0" collapsed="false">
      <c r="A45" s="2"/>
      <c r="B45" s="64"/>
      <c r="C45" s="65"/>
      <c r="D45" s="79"/>
      <c r="E45" s="243"/>
      <c r="F45" s="79"/>
      <c r="G45" s="65"/>
      <c r="K45" s="109"/>
      <c r="L45" s="56"/>
    </row>
    <row r="46" customFormat="false" ht="13.5" hidden="false" customHeight="false" outlineLevel="0" collapsed="false">
      <c r="A46" s="244" t="s">
        <v>175</v>
      </c>
      <c r="B46" s="94" t="n">
        <f aca="false">SUM(B41:B44)</f>
        <v>113.922016</v>
      </c>
      <c r="C46" s="97" t="n">
        <f aca="false">D46/B46*100</f>
        <v>12.4749764852477</v>
      </c>
      <c r="D46" s="245" t="n">
        <f aca="false">SUM(D38:D44)</f>
        <v>14.2117447075201</v>
      </c>
      <c r="E46" s="245" t="n">
        <f aca="false">SUM(E38:E44)</f>
        <v>3.14777997484873</v>
      </c>
      <c r="F46" s="245" t="n">
        <f aca="false">SUM(F38:F44)</f>
        <v>17.3595246823688</v>
      </c>
      <c r="G46" s="97" t="n">
        <f aca="false">F46/B46*100</f>
        <v>15.2380771442535</v>
      </c>
      <c r="H46" s="133" t="n">
        <f aca="false">(G46-C46)/C46</f>
        <v>0.221491452290378</v>
      </c>
      <c r="K46" s="109"/>
      <c r="L46" s="56"/>
    </row>
    <row r="47" customFormat="false" ht="13.5" hidden="false" customHeight="false" outlineLevel="0" collapsed="false">
      <c r="A47" s="246"/>
      <c r="B47" s="100"/>
      <c r="C47" s="103"/>
      <c r="D47" s="247"/>
      <c r="E47" s="247"/>
      <c r="F47" s="247"/>
      <c r="G47" s="103"/>
      <c r="H47" s="171"/>
      <c r="K47" s="109"/>
      <c r="L47" s="56"/>
    </row>
    <row r="48" customFormat="false" ht="12.75" hidden="false" customHeight="false" outlineLevel="0" collapsed="false">
      <c r="A48" s="52"/>
      <c r="B48" s="248"/>
      <c r="C48" s="248"/>
      <c r="D48" s="249"/>
      <c r="E48" s="249"/>
      <c r="F48" s="248"/>
      <c r="G48" s="248"/>
      <c r="H48" s="52"/>
      <c r="K48" s="109"/>
      <c r="L48" s="56"/>
    </row>
    <row r="49" customFormat="false" ht="12.75" hidden="false" customHeight="false" outlineLevel="0" collapsed="false">
      <c r="A49" s="108" t="s">
        <v>176</v>
      </c>
      <c r="B49" s="202"/>
      <c r="C49" s="124"/>
      <c r="D49" s="123"/>
      <c r="E49" s="67"/>
      <c r="F49" s="67"/>
      <c r="G49" s="124"/>
      <c r="H49" s="52"/>
      <c r="K49" s="109"/>
      <c r="L49" s="56" t="s">
        <v>177</v>
      </c>
      <c r="M49" s="155"/>
      <c r="N49" s="56" t="s">
        <v>35</v>
      </c>
      <c r="P49" s="1" t="s">
        <v>97</v>
      </c>
    </row>
    <row r="50" customFormat="false" ht="12.75" hidden="false" customHeight="false" outlineLevel="0" collapsed="false">
      <c r="A50" s="108"/>
      <c r="B50" s="202"/>
      <c r="C50" s="124"/>
      <c r="D50" s="123"/>
      <c r="E50" s="67"/>
      <c r="F50" s="67"/>
      <c r="G50" s="124"/>
      <c r="H50" s="52"/>
      <c r="K50" s="250"/>
      <c r="L50" s="59" t="s">
        <v>99</v>
      </c>
      <c r="M50" s="111"/>
      <c r="N50" s="59" t="s">
        <v>178</v>
      </c>
      <c r="P50" s="59" t="s">
        <v>101</v>
      </c>
    </row>
    <row r="51" customFormat="false" ht="12.75" hidden="false" customHeight="false" outlineLevel="0" collapsed="false">
      <c r="A51" s="57" t="s">
        <v>163</v>
      </c>
      <c r="B51" s="202"/>
      <c r="C51" s="124"/>
      <c r="D51" s="123"/>
      <c r="E51" s="67"/>
      <c r="F51" s="67"/>
      <c r="G51" s="251"/>
      <c r="H51" s="53"/>
      <c r="K51" s="252" t="s">
        <v>179</v>
      </c>
      <c r="L51" s="206" t="n">
        <f aca="false">SUM(B41:B42)+SUM(B68:B72)+SUM(B108:B112)+SUM(B152:B154)</f>
        <v>444.503067889549</v>
      </c>
      <c r="N51" s="87" t="n">
        <f aca="false">N53*2</f>
        <v>0.14066954298318</v>
      </c>
      <c r="P51" s="166" t="n">
        <f aca="false">N51*L51</f>
        <v>62.5280434146443</v>
      </c>
      <c r="Q51" s="165"/>
    </row>
    <row r="52" customFormat="false" ht="12.75" hidden="false" customHeight="false" outlineLevel="0" collapsed="false">
      <c r="A52" s="60" t="s">
        <v>164</v>
      </c>
      <c r="B52" s="202"/>
      <c r="C52" s="124"/>
      <c r="D52" s="123"/>
      <c r="E52" s="67"/>
      <c r="F52" s="67"/>
      <c r="G52" s="251"/>
      <c r="H52" s="53"/>
      <c r="K52" s="252" t="s">
        <v>180</v>
      </c>
      <c r="L52" s="127" t="n">
        <f aca="false">B43+SUM(B94:B98)+SUM(B115:B119)+SUM(B157:B159)</f>
        <v>974.323526045637</v>
      </c>
      <c r="N52" s="87" t="n">
        <f aca="false">N53*1.4</f>
        <v>0.0984686800882259</v>
      </c>
      <c r="P52" s="166" t="n">
        <f aca="false">N52*L52</f>
        <v>95.9403515886201</v>
      </c>
    </row>
    <row r="53" customFormat="false" ht="12.75" hidden="false" customHeight="false" outlineLevel="0" collapsed="false">
      <c r="A53" s="253" t="s">
        <v>167</v>
      </c>
      <c r="B53" s="64"/>
      <c r="C53" s="65" t="n">
        <f aca="false">D53/(B68+B94+B101+B108+B115+B122)*100</f>
        <v>0.10802616001289</v>
      </c>
      <c r="D53" s="254" t="n">
        <v>1.62100302648873</v>
      </c>
      <c r="E53" s="67" t="n">
        <f aca="false">F53-D53</f>
        <v>0</v>
      </c>
      <c r="F53" s="67" t="n">
        <f aca="false">D53</f>
        <v>1.62100302648873</v>
      </c>
      <c r="G53" s="65" t="n">
        <f aca="false">F53/(B68+B94+B101+B108+B115+B122)*100</f>
        <v>0.10802616001289</v>
      </c>
      <c r="H53" s="143"/>
      <c r="K53" s="252" t="s">
        <v>181</v>
      </c>
      <c r="L53" s="255" t="n">
        <f aca="false">B44+SUM(B101:B105)+SUM(B122:B126)+SUM(B162:B164)</f>
        <v>1159.15088545521</v>
      </c>
      <c r="N53" s="87" t="n">
        <f aca="false">0.095*P60</f>
        <v>0.0703347714915899</v>
      </c>
      <c r="P53" s="255" t="n">
        <f aca="false">N53*L53</f>
        <v>81.5286126527664</v>
      </c>
    </row>
    <row r="54" customFormat="false" ht="12.75" hidden="false" customHeight="false" outlineLevel="0" collapsed="false">
      <c r="A54" s="253" t="s">
        <v>168</v>
      </c>
      <c r="B54" s="64"/>
      <c r="C54" s="65" t="n">
        <f aca="false">D54/(B69+B95+B102+B109+B116+B123)*100</f>
        <v>5.60492213936194E-005</v>
      </c>
      <c r="D54" s="254" t="n">
        <v>0.000130327086206222</v>
      </c>
      <c r="E54" s="67" t="n">
        <f aca="false">F54-D54</f>
        <v>0</v>
      </c>
      <c r="F54" s="67" t="n">
        <f aca="false">D54</f>
        <v>0.000130327086206222</v>
      </c>
      <c r="G54" s="65" t="n">
        <f aca="false">F54/(B69+B95+B102+B109+B116+B123)*100</f>
        <v>5.60492213936194E-005</v>
      </c>
      <c r="H54" s="114"/>
      <c r="K54" s="252"/>
      <c r="L54" s="206" t="n">
        <f aca="false">SUM(L51:L53)</f>
        <v>2577.9774793904</v>
      </c>
      <c r="P54" s="166" t="n">
        <f aca="false">SUM(P51:P53)</f>
        <v>239.997007656031</v>
      </c>
    </row>
    <row r="55" customFormat="false" ht="12.75" hidden="false" customHeight="false" outlineLevel="0" collapsed="false">
      <c r="A55" s="253" t="s">
        <v>182</v>
      </c>
      <c r="B55" s="64"/>
      <c r="C55" s="65" t="n">
        <f aca="false">D55/(B70+B96+B103+B110+B117+B124)*100</f>
        <v>0</v>
      </c>
      <c r="D55" s="254" t="n">
        <v>0</v>
      </c>
      <c r="E55" s="67" t="n">
        <f aca="false">F55-D55</f>
        <v>0</v>
      </c>
      <c r="F55" s="67" t="n">
        <f aca="false">D55</f>
        <v>0</v>
      </c>
      <c r="G55" s="65" t="n">
        <f aca="false">F55/(B70+B96+B103+B110+B117+B124)*100</f>
        <v>0</v>
      </c>
      <c r="H55" s="114"/>
      <c r="K55" s="252"/>
    </row>
    <row r="56" customFormat="false" ht="12.75" hidden="false" customHeight="false" outlineLevel="0" collapsed="false">
      <c r="A56" s="253" t="s">
        <v>183</v>
      </c>
      <c r="B56" s="64"/>
      <c r="C56" s="65" t="n">
        <f aca="false">D56/(B71+B97+B104+B111+B118+B125)*100</f>
        <v>6.71305019999878E-006</v>
      </c>
      <c r="D56" s="254" t="n">
        <v>1.98240509062362E-005</v>
      </c>
      <c r="E56" s="67" t="n">
        <f aca="false">F56-D56</f>
        <v>0</v>
      </c>
      <c r="F56" s="67" t="n">
        <f aca="false">D56</f>
        <v>1.98240509062362E-005</v>
      </c>
      <c r="G56" s="65" t="n">
        <f aca="false">F56/(B71+B97+B104+B111+B118+B125)*100</f>
        <v>6.71305019999878E-006</v>
      </c>
      <c r="H56" s="114"/>
      <c r="K56" s="104" t="s">
        <v>104</v>
      </c>
      <c r="L56" s="114" t="n">
        <f aca="false">L54</f>
        <v>2577.9774793904</v>
      </c>
      <c r="M56" s="125"/>
      <c r="N56" s="256" t="n">
        <f aca="false">0.065+Residential!N58</f>
        <v>0.0930847698591039</v>
      </c>
      <c r="O56" s="168"/>
      <c r="P56" s="78" t="n">
        <f aca="false">L56*N56</f>
        <v>239.970440371008</v>
      </c>
      <c r="Q56" s="166"/>
    </row>
    <row r="57" customFormat="false" ht="12.75" hidden="false" customHeight="false" outlineLevel="0" collapsed="false">
      <c r="A57" s="253" t="s">
        <v>184</v>
      </c>
      <c r="B57" s="64"/>
      <c r="C57" s="65" t="n">
        <f aca="false">D57/(B72+B98+B105+B112+B119+B126)*100</f>
        <v>7.40288051704406E-006</v>
      </c>
      <c r="D57" s="254" t="n">
        <v>5.84020636301275E-006</v>
      </c>
      <c r="E57" s="67" t="n">
        <f aca="false">F57-D57</f>
        <v>0</v>
      </c>
      <c r="F57" s="67" t="n">
        <f aca="false">D57</f>
        <v>5.84020636301275E-006</v>
      </c>
      <c r="G57" s="65" t="n">
        <f aca="false">F57/(B72+B98+B105+B112+B119+B126)*100</f>
        <v>7.40288051704406E-006</v>
      </c>
      <c r="H57" s="114"/>
      <c r="K57" s="104"/>
      <c r="L57" s="125"/>
      <c r="M57" s="125"/>
      <c r="N57" s="74"/>
      <c r="O57" s="168"/>
      <c r="Q57" s="166"/>
    </row>
    <row r="58" customFormat="false" ht="12.75" hidden="false" customHeight="false" outlineLevel="0" collapsed="false">
      <c r="B58" s="64"/>
      <c r="C58" s="65"/>
      <c r="D58" s="254"/>
      <c r="E58" s="67"/>
      <c r="F58" s="67"/>
      <c r="G58" s="90"/>
      <c r="H58" s="114"/>
      <c r="K58" s="177" t="s">
        <v>106</v>
      </c>
      <c r="L58" s="178"/>
      <c r="M58" s="178"/>
      <c r="N58" s="178"/>
      <c r="O58" s="178"/>
      <c r="P58" s="179" t="n">
        <f aca="false">P56</f>
        <v>239.970440371008</v>
      </c>
    </row>
    <row r="59" customFormat="false" ht="12.75" hidden="false" customHeight="false" outlineLevel="0" collapsed="false">
      <c r="A59" s="60" t="s">
        <v>185</v>
      </c>
      <c r="B59" s="64"/>
      <c r="C59" s="65"/>
      <c r="D59" s="254"/>
      <c r="E59" s="67"/>
      <c r="F59" s="67"/>
      <c r="G59" s="90"/>
      <c r="H59" s="114"/>
      <c r="K59" s="185" t="s">
        <v>108</v>
      </c>
      <c r="L59" s="12"/>
      <c r="M59" s="12"/>
      <c r="N59" s="12"/>
      <c r="O59" s="12"/>
      <c r="P59" s="186" t="n">
        <f aca="false">P54-P58</f>
        <v>0.0265672850228782</v>
      </c>
    </row>
    <row r="60" customFormat="false" ht="12.75" hidden="false" customHeight="false" outlineLevel="0" collapsed="false">
      <c r="A60" s="253" t="s">
        <v>167</v>
      </c>
      <c r="B60" s="64"/>
      <c r="C60" s="65" t="n">
        <f aca="false">D60/(B68+B94+B101+B108+B115+B122)*100</f>
        <v>2.85553124</v>
      </c>
      <c r="D60" s="254" t="n">
        <v>42.849109713062</v>
      </c>
      <c r="E60" s="67" t="n">
        <f aca="false">F60-D60</f>
        <v>0</v>
      </c>
      <c r="F60" s="67" t="n">
        <f aca="false">D60</f>
        <v>42.849109713062</v>
      </c>
      <c r="G60" s="65" t="n">
        <f aca="false">F60/(B68+B94+B101+B108+B115+B122)*100</f>
        <v>2.85553124</v>
      </c>
      <c r="H60" s="114"/>
      <c r="K60" s="185" t="s">
        <v>109</v>
      </c>
      <c r="L60" s="12"/>
      <c r="M60" s="12"/>
      <c r="N60" s="12"/>
      <c r="O60" s="12"/>
      <c r="P60" s="188" t="n">
        <v>0.740366015700947</v>
      </c>
    </row>
    <row r="61" customFormat="false" ht="12.75" hidden="false" customHeight="false" outlineLevel="0" collapsed="false">
      <c r="A61" s="253" t="s">
        <v>168</v>
      </c>
      <c r="B61" s="64"/>
      <c r="C61" s="65" t="n">
        <f aca="false">D61/(B69+B95+B102+B109+B116+B123)*100</f>
        <v>2.38675896</v>
      </c>
      <c r="D61" s="254" t="n">
        <v>5.54975310984078</v>
      </c>
      <c r="E61" s="67" t="n">
        <f aca="false">F61-D61</f>
        <v>0</v>
      </c>
      <c r="F61" s="67" t="n">
        <f aca="false">D61</f>
        <v>5.54975310984078</v>
      </c>
      <c r="G61" s="65" t="n">
        <f aca="false">F61/(B69+B95+B102+B109+B116+B123)*100</f>
        <v>2.38675896</v>
      </c>
      <c r="H61" s="114"/>
      <c r="K61" s="190" t="s">
        <v>110</v>
      </c>
      <c r="L61" s="161"/>
      <c r="M61" s="161"/>
      <c r="N61" s="161"/>
      <c r="O61" s="161"/>
      <c r="P61" s="191"/>
    </row>
    <row r="62" customFormat="false" ht="12.75" hidden="false" customHeight="false" outlineLevel="0" collapsed="false">
      <c r="A62" s="253" t="s">
        <v>182</v>
      </c>
      <c r="B62" s="64"/>
      <c r="C62" s="65" t="n">
        <f aca="false">D62/(B70+B96+B103+B110+B117+B124)*100</f>
        <v>0.92892044</v>
      </c>
      <c r="D62" s="254" t="n">
        <v>0.669049105858273</v>
      </c>
      <c r="E62" s="67" t="n">
        <f aca="false">F62-D62</f>
        <v>0</v>
      </c>
      <c r="F62" s="67" t="n">
        <f aca="false">D62</f>
        <v>0.669049105858273</v>
      </c>
      <c r="G62" s="65" t="n">
        <f aca="false">F62/(B70+B96+B103+B110+B117+B124)*100</f>
        <v>0.92892044</v>
      </c>
      <c r="H62" s="114"/>
    </row>
    <row r="63" customFormat="false" ht="12.75" hidden="false" customHeight="false" outlineLevel="0" collapsed="false">
      <c r="A63" s="253" t="s">
        <v>183</v>
      </c>
      <c r="B63" s="64"/>
      <c r="C63" s="65" t="n">
        <f aca="false">D63/(B71+B97+B104+B111+B118+B125)*100</f>
        <v>0.623871704027778</v>
      </c>
      <c r="D63" s="254" t="n">
        <v>1.84233158566418</v>
      </c>
      <c r="E63" s="67" t="n">
        <f aca="false">F63-D63</f>
        <v>0</v>
      </c>
      <c r="F63" s="67" t="n">
        <f aca="false">D63</f>
        <v>1.84233158566418</v>
      </c>
      <c r="G63" s="65" t="n">
        <f aca="false">F63/(B71+B97+B104+B111+B118+B125)*100</f>
        <v>0.623871704027778</v>
      </c>
      <c r="H63" s="114"/>
    </row>
    <row r="64" customFormat="false" ht="12.75" hidden="false" customHeight="false" outlineLevel="0" collapsed="false">
      <c r="A64" s="253" t="s">
        <v>184</v>
      </c>
      <c r="B64" s="64"/>
      <c r="C64" s="65" t="n">
        <f aca="false">D64/(B72+B98+B105+B112+B119+B126)*100</f>
        <v>0.5914068</v>
      </c>
      <c r="D64" s="254" t="n">
        <v>0.466566730144681</v>
      </c>
      <c r="E64" s="67" t="n">
        <f aca="false">F64-D64</f>
        <v>0</v>
      </c>
      <c r="F64" s="67" t="n">
        <f aca="false">D64</f>
        <v>0.466566730144681</v>
      </c>
      <c r="G64" s="65" t="n">
        <f aca="false">F64/(B72+B98+B105+B112+B119+B126)*100</f>
        <v>0.5914068</v>
      </c>
      <c r="H64" s="114"/>
    </row>
    <row r="65" customFormat="false" ht="12.75" hidden="false" customHeight="false" outlineLevel="0" collapsed="false">
      <c r="A65" s="257"/>
      <c r="B65" s="64"/>
      <c r="C65" s="65"/>
      <c r="D65" s="123"/>
      <c r="E65" s="67"/>
      <c r="F65" s="67"/>
      <c r="G65" s="90"/>
      <c r="H65" s="114"/>
    </row>
    <row r="66" customFormat="false" ht="12.75" hidden="false" customHeight="false" outlineLevel="0" collapsed="false">
      <c r="A66" s="4" t="s">
        <v>37</v>
      </c>
      <c r="B66" s="64"/>
      <c r="C66" s="65"/>
      <c r="D66" s="123"/>
      <c r="E66" s="67"/>
      <c r="F66" s="67"/>
      <c r="G66" s="90"/>
      <c r="H66" s="114"/>
    </row>
    <row r="67" customFormat="false" ht="12.75" hidden="false" customHeight="false" outlineLevel="0" collapsed="false">
      <c r="A67" s="252" t="s">
        <v>186</v>
      </c>
      <c r="B67" s="64"/>
      <c r="C67" s="65"/>
      <c r="D67" s="123"/>
      <c r="E67" s="67"/>
      <c r="F67" s="67"/>
      <c r="G67" s="65"/>
      <c r="H67" s="114"/>
    </row>
    <row r="68" customFormat="false" ht="12.75" hidden="false" customHeight="false" outlineLevel="0" collapsed="false">
      <c r="A68" s="253" t="s">
        <v>167</v>
      </c>
      <c r="B68" s="64" t="n">
        <f aca="false">642.584335264508*0.32*0.848</f>
        <v>174.371685217377</v>
      </c>
      <c r="C68" s="65" t="n">
        <f aca="false">1.542+6.5</f>
        <v>8.042</v>
      </c>
      <c r="D68" s="123" t="n">
        <f aca="false">C68*B68/100</f>
        <v>14.0229709251814</v>
      </c>
      <c r="E68" s="67" t="n">
        <f aca="false">($N$51-0.065)*B68</f>
        <v>13.1946257296058</v>
      </c>
      <c r="F68" s="67" t="n">
        <f aca="false">D68+E68</f>
        <v>27.2175966547873</v>
      </c>
      <c r="G68" s="65" t="n">
        <f aca="false">F68/B68*100</f>
        <v>15.608954298318</v>
      </c>
      <c r="H68" s="114"/>
    </row>
    <row r="69" customFormat="false" ht="12.75" hidden="false" customHeight="false" outlineLevel="0" collapsed="false">
      <c r="A69" s="253" t="s">
        <v>168</v>
      </c>
      <c r="B69" s="64" t="n">
        <f aca="false">90.8256987135955*0.32*0.848</f>
        <v>24.6464616029213</v>
      </c>
      <c r="C69" s="65" t="n">
        <f aca="false">1.503+6.5</f>
        <v>8.003</v>
      </c>
      <c r="D69" s="123" t="n">
        <f aca="false">C69*B69/100</f>
        <v>1.97245632208179</v>
      </c>
      <c r="E69" s="67" t="n">
        <f aca="false">($N$51-0.065)*B69</f>
        <v>1.86498648564554</v>
      </c>
      <c r="F69" s="67" t="n">
        <f aca="false">D69+E69</f>
        <v>3.83744280772733</v>
      </c>
      <c r="G69" s="65" t="n">
        <f aca="false">F69/B69*100</f>
        <v>15.569954298318</v>
      </c>
      <c r="H69" s="114"/>
    </row>
    <row r="70" customFormat="false" ht="12.75" hidden="false" customHeight="false" outlineLevel="0" collapsed="false">
      <c r="A70" s="253" t="s">
        <v>182</v>
      </c>
      <c r="B70" s="64" t="n">
        <f aca="false">30.84286568*0.32*0.848</f>
        <v>8.3695200309248</v>
      </c>
      <c r="C70" s="65" t="n">
        <f aca="false">1.069+6.5</f>
        <v>7.569</v>
      </c>
      <c r="D70" s="123" t="n">
        <f aca="false">C70*B70/100</f>
        <v>0.633488971140698</v>
      </c>
      <c r="E70" s="67" t="n">
        <f aca="false">($N$51-0.065)*B70</f>
        <v>0.633317755728649</v>
      </c>
      <c r="F70" s="67" t="n">
        <f aca="false">D70+E70</f>
        <v>1.26680672686935</v>
      </c>
      <c r="G70" s="65" t="n">
        <f aca="false">F70/B70*100</f>
        <v>15.135954298318</v>
      </c>
      <c r="H70" s="114"/>
    </row>
    <row r="71" customFormat="false" ht="12.75" hidden="false" customHeight="false" outlineLevel="0" collapsed="false">
      <c r="A71" s="253" t="s">
        <v>183</v>
      </c>
      <c r="B71" s="64" t="n">
        <f aca="false">114.38365314383*0.32*0.848</f>
        <v>31.0391481171097</v>
      </c>
      <c r="C71" s="65" t="n">
        <f aca="false">1.025+6.5</f>
        <v>7.525</v>
      </c>
      <c r="D71" s="123" t="n">
        <f aca="false">C71*B71/100</f>
        <v>2.33569589581251</v>
      </c>
      <c r="E71" s="67" t="n">
        <f aca="false">($N$51-0.065)*B71</f>
        <v>2.34871815260892</v>
      </c>
      <c r="F71" s="67" t="n">
        <f aca="false">D71+E71</f>
        <v>4.68441404842143</v>
      </c>
      <c r="G71" s="65" t="n">
        <f aca="false">F71/B71*100</f>
        <v>15.091954298318</v>
      </c>
      <c r="H71" s="114"/>
    </row>
    <row r="72" customFormat="false" ht="12.75" hidden="false" customHeight="false" outlineLevel="0" collapsed="false">
      <c r="A72" s="253" t="s">
        <v>184</v>
      </c>
      <c r="B72" s="64" t="n">
        <f aca="false">28.5130954303513*0.32*0.848</f>
        <v>7.73731357598013</v>
      </c>
      <c r="C72" s="65" t="n">
        <f aca="false">1.021+6.5</f>
        <v>7.521</v>
      </c>
      <c r="D72" s="123" t="n">
        <f aca="false">C72*B72/100</f>
        <v>0.581923354049465</v>
      </c>
      <c r="E72" s="67" t="n">
        <f aca="false">($N$51-0.065)*B72</f>
        <v>0.585478982211969</v>
      </c>
      <c r="F72" s="67" t="n">
        <f aca="false">D72+E72</f>
        <v>1.16740233626143</v>
      </c>
      <c r="G72" s="65" t="n">
        <f aca="false">F72/B72*100</f>
        <v>15.087954298318</v>
      </c>
      <c r="H72" s="114"/>
    </row>
    <row r="73" customFormat="false" ht="12.75" hidden="false" customHeight="false" outlineLevel="0" collapsed="false">
      <c r="A73" s="253"/>
      <c r="B73" s="64"/>
      <c r="C73" s="65"/>
      <c r="D73" s="258"/>
      <c r="E73" s="259"/>
      <c r="F73" s="259"/>
      <c r="G73" s="65"/>
      <c r="H73" s="114"/>
    </row>
    <row r="80" customFormat="false" ht="12.75" hidden="false" customHeight="false" outlineLevel="0" collapsed="false">
      <c r="A80" s="253"/>
      <c r="B80" s="114"/>
      <c r="C80" s="239"/>
      <c r="D80" s="258"/>
      <c r="E80" s="260"/>
      <c r="F80" s="259"/>
      <c r="G80" s="64"/>
      <c r="H80" s="239"/>
    </row>
    <row r="81" customFormat="false" ht="12.75" hidden="false" customHeight="false" outlineLevel="0" collapsed="false">
      <c r="D81" s="261"/>
      <c r="E81" s="261"/>
      <c r="F81" s="261"/>
      <c r="H81" s="239"/>
    </row>
    <row r="82" customFormat="false" ht="12.75" hidden="false" customHeight="false" outlineLevel="0" collapsed="false">
      <c r="A82" s="60"/>
      <c r="B82" s="109"/>
      <c r="C82" s="110"/>
      <c r="D82" s="258"/>
      <c r="E82" s="262"/>
      <c r="F82" s="259"/>
      <c r="G82" s="110"/>
      <c r="H82" s="109"/>
    </row>
    <row r="83" customFormat="false" ht="12.75" hidden="false" customHeight="false" outlineLevel="0" collapsed="false">
      <c r="H83" s="2" t="s">
        <v>65</v>
      </c>
    </row>
    <row r="84" customFormat="false" ht="20.25" hidden="false" customHeight="false" outlineLevel="0" collapsed="false">
      <c r="A84" s="3" t="s">
        <v>1</v>
      </c>
      <c r="B84" s="3"/>
      <c r="C84" s="3"/>
      <c r="D84" s="3"/>
      <c r="E84" s="3"/>
      <c r="F84" s="3"/>
      <c r="G84" s="3"/>
      <c r="H84" s="3"/>
    </row>
    <row r="85" customFormat="false" ht="20.25" hidden="false" customHeight="false" outlineLevel="0" collapsed="false">
      <c r="A85" s="3" t="s">
        <v>150</v>
      </c>
      <c r="B85" s="3"/>
      <c r="C85" s="3"/>
      <c r="D85" s="3"/>
      <c r="E85" s="3"/>
      <c r="F85" s="3"/>
      <c r="G85" s="3"/>
      <c r="H85" s="3"/>
    </row>
    <row r="86" customFormat="false" ht="13.5" hidden="false" customHeight="false" outlineLevel="0" collapsed="false">
      <c r="A86" s="4"/>
      <c r="B86" s="4"/>
      <c r="C86" s="4"/>
      <c r="D86" s="4"/>
      <c r="E86" s="4"/>
      <c r="F86" s="4"/>
      <c r="G86" s="4"/>
      <c r="H86" s="4"/>
    </row>
    <row r="87" customFormat="false" ht="64.5" hidden="false" customHeight="false" outlineLevel="0" collapsed="false">
      <c r="A87" s="45" t="s">
        <v>24</v>
      </c>
      <c r="B87" s="47" t="s">
        <v>25</v>
      </c>
      <c r="C87" s="47" t="s">
        <v>187</v>
      </c>
      <c r="D87" s="47" t="s">
        <v>27</v>
      </c>
      <c r="E87" s="47" t="s">
        <v>131</v>
      </c>
      <c r="F87" s="47" t="s">
        <v>29</v>
      </c>
      <c r="G87" s="47" t="s">
        <v>30</v>
      </c>
      <c r="H87" s="47" t="s">
        <v>31</v>
      </c>
    </row>
    <row r="88" customFormat="false" ht="12.75" hidden="false" customHeight="false" outlineLevel="0" collapsed="false">
      <c r="A88" s="48"/>
      <c r="B88" s="50"/>
      <c r="C88" s="50"/>
      <c r="D88" s="50"/>
      <c r="E88" s="50"/>
      <c r="F88" s="50"/>
      <c r="G88" s="50"/>
      <c r="H88" s="50"/>
    </row>
    <row r="89" customFormat="false" ht="12.75" hidden="false" customHeight="false" outlineLevel="0" collapsed="false">
      <c r="A89" s="108" t="s">
        <v>188</v>
      </c>
      <c r="B89" s="50"/>
      <c r="C89" s="50"/>
      <c r="D89" s="50"/>
      <c r="E89" s="50"/>
      <c r="F89" s="50"/>
      <c r="G89" s="50"/>
      <c r="H89" s="50"/>
    </row>
    <row r="90" customFormat="false" ht="12.75" hidden="false" customHeight="false" outlineLevel="0" collapsed="false">
      <c r="A90" s="48"/>
      <c r="B90" s="50"/>
      <c r="C90" s="50"/>
      <c r="D90" s="50"/>
      <c r="E90" s="50"/>
      <c r="F90" s="50"/>
      <c r="G90" s="50"/>
      <c r="H90" s="50"/>
    </row>
    <row r="91" customFormat="false" ht="12.75" hidden="false" customHeight="false" outlineLevel="0" collapsed="false">
      <c r="A91" s="50" t="s">
        <v>37</v>
      </c>
      <c r="B91" s="50"/>
      <c r="C91" s="50"/>
      <c r="D91" s="50"/>
      <c r="E91" s="50"/>
      <c r="F91" s="50"/>
      <c r="G91" s="50"/>
      <c r="H91" s="50"/>
    </row>
    <row r="92" customFormat="false" ht="12.75" hidden="false" customHeight="false" outlineLevel="0" collapsed="false">
      <c r="A92" s="50"/>
      <c r="B92" s="50"/>
      <c r="C92" s="50"/>
      <c r="D92" s="50"/>
      <c r="E92" s="50"/>
      <c r="F92" s="50"/>
      <c r="G92" s="50"/>
      <c r="H92" s="50"/>
    </row>
    <row r="93" customFormat="false" ht="12.75" hidden="false" customHeight="false" outlineLevel="0" collapsed="false">
      <c r="A93" s="246" t="s">
        <v>189</v>
      </c>
      <c r="B93" s="64"/>
      <c r="C93" s="65"/>
      <c r="D93" s="258"/>
      <c r="E93" s="259"/>
      <c r="F93" s="259"/>
      <c r="G93" s="65"/>
      <c r="H93" s="114"/>
    </row>
    <row r="94" customFormat="false" ht="12.75" hidden="false" customHeight="false" outlineLevel="0" collapsed="false">
      <c r="A94" s="253" t="s">
        <v>167</v>
      </c>
      <c r="B94" s="64" t="n">
        <f aca="false">700.97897383455*0.32*0.848</f>
        <v>190.217654339744</v>
      </c>
      <c r="C94" s="65" t="n">
        <f aca="false">1.266+6.5</f>
        <v>7.766</v>
      </c>
      <c r="D94" s="123" t="n">
        <f aca="false">C94*B94/100</f>
        <v>14.7723030360245</v>
      </c>
      <c r="E94" s="67" t="n">
        <f aca="false">($N$52-0.065)*B94</f>
        <v>6.36633382022961</v>
      </c>
      <c r="F94" s="67" t="n">
        <f aca="false">D94+E94</f>
        <v>21.1386368562541</v>
      </c>
      <c r="G94" s="65" t="n">
        <f aca="false">F94/B94*100</f>
        <v>11.1128680088226</v>
      </c>
      <c r="H94" s="114"/>
    </row>
    <row r="95" customFormat="false" ht="12.75" hidden="false" customHeight="false" outlineLevel="0" collapsed="false">
      <c r="A95" s="253" t="s">
        <v>168</v>
      </c>
      <c r="B95" s="64" t="n">
        <f aca="false">109.865540079459*0.32*0.848</f>
        <v>29.813112955962</v>
      </c>
      <c r="C95" s="70" t="n">
        <f aca="false">1.237+6.5</f>
        <v>7.737</v>
      </c>
      <c r="D95" s="123" t="n">
        <f aca="false">C95*B95/100</f>
        <v>2.30664054940278</v>
      </c>
      <c r="E95" s="67" t="n">
        <f aca="false">($N$52-0.065)*B95</f>
        <v>0.997805539957234</v>
      </c>
      <c r="F95" s="67" t="n">
        <f aca="false">D95+E95</f>
        <v>3.30444608936001</v>
      </c>
      <c r="G95" s="65" t="n">
        <f aca="false">F95/B95*100</f>
        <v>11.0838680088226</v>
      </c>
      <c r="H95" s="239"/>
    </row>
    <row r="96" customFormat="false" ht="12.75" hidden="false" customHeight="false" outlineLevel="0" collapsed="false">
      <c r="A96" s="253" t="s">
        <v>182</v>
      </c>
      <c r="B96" s="114" t="n">
        <f aca="false">33.64570088*0.32*0.848</f>
        <v>9.1300973907968</v>
      </c>
      <c r="C96" s="70" t="n">
        <f aca="false">0.793+6.5</f>
        <v>7.293</v>
      </c>
      <c r="D96" s="123" t="n">
        <f aca="false">C96*B96/100</f>
        <v>0.665858002710811</v>
      </c>
      <c r="E96" s="67" t="n">
        <f aca="false">($N$52-0.065)*B96</f>
        <v>0.305572308746924</v>
      </c>
      <c r="F96" s="67" t="n">
        <f aca="false">D96+E96</f>
        <v>0.971430311457735</v>
      </c>
      <c r="G96" s="65" t="n">
        <f aca="false">F96/B96*100</f>
        <v>10.6398680088226</v>
      </c>
      <c r="H96" s="239"/>
    </row>
    <row r="97" customFormat="false" ht="12.75" hidden="false" customHeight="false" outlineLevel="0" collapsed="false">
      <c r="A97" s="253" t="s">
        <v>183</v>
      </c>
      <c r="B97" s="114" t="n">
        <f aca="false">138.659159253819*0.32*0.848</f>
        <v>37.6265494551163</v>
      </c>
      <c r="C97" s="70" t="n">
        <f aca="false">0.77+6.5</f>
        <v>7.27</v>
      </c>
      <c r="D97" s="123" t="n">
        <f aca="false">C97*B97/100</f>
        <v>2.73545014538696</v>
      </c>
      <c r="E97" s="67" t="n">
        <f aca="false">($N$52-0.065)*B97</f>
        <v>1.2593109465371</v>
      </c>
      <c r="F97" s="67" t="n">
        <f aca="false">D97+E97</f>
        <v>3.99476109192406</v>
      </c>
      <c r="G97" s="65" t="n">
        <f aca="false">F97/B97*100</f>
        <v>10.6168680088226</v>
      </c>
      <c r="H97" s="239"/>
    </row>
    <row r="98" customFormat="false" ht="12.75" hidden="false" customHeight="false" outlineLevel="0" collapsed="false">
      <c r="A98" s="253" t="s">
        <v>184</v>
      </c>
      <c r="B98" s="114" t="n">
        <f aca="false">35.2288312315781*0.32*0.848</f>
        <v>9.55969564300103</v>
      </c>
      <c r="C98" s="70" t="n">
        <f aca="false">0.767+6.5</f>
        <v>7.267</v>
      </c>
      <c r="D98" s="123" t="n">
        <f aca="false">C98*B98/100</f>
        <v>0.694703082376885</v>
      </c>
      <c r="E98" s="67" t="n">
        <f aca="false">($N$52-0.065)*B98</f>
        <v>0.319950395216408</v>
      </c>
      <c r="F98" s="67" t="n">
        <f aca="false">D98+E98</f>
        <v>1.01465347759329</v>
      </c>
      <c r="G98" s="65" t="n">
        <f aca="false">F98/B98*100</f>
        <v>10.6138680088226</v>
      </c>
      <c r="H98" s="239"/>
    </row>
    <row r="99" customFormat="false" ht="12.75" hidden="false" customHeight="false" outlineLevel="0" collapsed="false">
      <c r="A99" s="50"/>
      <c r="B99" s="50"/>
      <c r="C99" s="50"/>
      <c r="D99" s="263"/>
      <c r="E99" s="263"/>
      <c r="F99" s="263"/>
      <c r="G99" s="50"/>
      <c r="H99" s="50"/>
    </row>
    <row r="100" customFormat="false" ht="12.75" hidden="false" customHeight="false" outlineLevel="0" collapsed="false">
      <c r="A100" s="246" t="s">
        <v>190</v>
      </c>
      <c r="B100" s="64"/>
      <c r="C100" s="239"/>
      <c r="D100" s="123"/>
      <c r="E100" s="130"/>
      <c r="F100" s="67"/>
      <c r="G100" s="64"/>
      <c r="H100" s="50"/>
    </row>
    <row r="101" customFormat="false" ht="12.75" hidden="false" customHeight="false" outlineLevel="0" collapsed="false">
      <c r="A101" s="253" t="s">
        <v>167</v>
      </c>
      <c r="B101" s="114" t="n">
        <f aca="false">1089.54663131937*0.32*0.848</f>
        <v>295.659373874824</v>
      </c>
      <c r="C101" s="70" t="n">
        <f aca="false">0.988+6.5</f>
        <v>7.488</v>
      </c>
      <c r="D101" s="123" t="n">
        <f aca="false">C101*B101/100</f>
        <v>22.1389739157468</v>
      </c>
      <c r="E101" s="67" t="n">
        <f aca="false">($N$53-0.065)*B101</f>
        <v>1.57727519896874</v>
      </c>
      <c r="F101" s="67" t="n">
        <f aca="false">D101+E101</f>
        <v>23.7162491147156</v>
      </c>
      <c r="G101" s="65" t="n">
        <f aca="false">F101/B101*100</f>
        <v>8.02147714915899</v>
      </c>
      <c r="H101" s="50"/>
    </row>
    <row r="102" customFormat="false" ht="12.75" hidden="false" customHeight="false" outlineLevel="0" collapsed="false">
      <c r="A102" s="253" t="s">
        <v>168</v>
      </c>
      <c r="B102" s="114" t="n">
        <f aca="false">176.335322907217*0.32*0.848</f>
        <v>47.8503532241024</v>
      </c>
      <c r="C102" s="70" t="n">
        <f aca="false">0.976+6.5</f>
        <v>7.476</v>
      </c>
      <c r="D102" s="123" t="n">
        <f aca="false">C102*B102/100</f>
        <v>3.5772924070339</v>
      </c>
      <c r="E102" s="67" t="n">
        <f aca="false">($N$53-0.065)*B102</f>
        <v>0.25527070024245</v>
      </c>
      <c r="F102" s="67" t="n">
        <f aca="false">D102+E102</f>
        <v>3.83256310727635</v>
      </c>
      <c r="G102" s="65" t="n">
        <f aca="false">F102/B102*100</f>
        <v>8.00947714915899</v>
      </c>
      <c r="H102" s="50"/>
    </row>
    <row r="103" customFormat="false" ht="12.75" hidden="false" customHeight="false" outlineLevel="0" collapsed="false">
      <c r="A103" s="253" t="s">
        <v>182</v>
      </c>
      <c r="B103" s="64" t="n">
        <f aca="false">52.29623344*0.32*0.848</f>
        <v>14.1911059062784</v>
      </c>
      <c r="C103" s="70" t="n">
        <f aca="false">0.711+6.5</f>
        <v>7.211</v>
      </c>
      <c r="D103" s="123" t="n">
        <f aca="false">C103*B103/100</f>
        <v>1.02332064690174</v>
      </c>
      <c r="E103" s="67" t="n">
        <f aca="false">($N$53-0.065)*B103</f>
        <v>0.0757063072229474</v>
      </c>
      <c r="F103" s="67" t="n">
        <f aca="false">D103+E103</f>
        <v>1.09902695412468</v>
      </c>
      <c r="G103" s="65" t="n">
        <f aca="false">F103/B103*100</f>
        <v>7.74447714915899</v>
      </c>
      <c r="H103" s="50"/>
    </row>
    <row r="104" customFormat="false" ht="12.75" hidden="false" customHeight="false" outlineLevel="0" collapsed="false">
      <c r="A104" s="253" t="s">
        <v>183</v>
      </c>
      <c r="B104" s="64" t="n">
        <f aca="false">225.784985837423*0.32*0.848</f>
        <v>61.2690137568431</v>
      </c>
      <c r="C104" s="70" t="n">
        <f aca="false">0.697+6.5</f>
        <v>7.197</v>
      </c>
      <c r="D104" s="123" t="n">
        <f aca="false">C104*B104/100</f>
        <v>4.40953092008</v>
      </c>
      <c r="E104" s="67" t="n">
        <f aca="false">($N$53-0.065)*B104</f>
        <v>0.326856187907837</v>
      </c>
      <c r="F104" s="67" t="n">
        <f aca="false">D104+E104</f>
        <v>4.73638710798784</v>
      </c>
      <c r="G104" s="65" t="n">
        <f aca="false">F104/B104*100</f>
        <v>7.73047714915899</v>
      </c>
      <c r="H104" s="50"/>
    </row>
    <row r="105" customFormat="false" ht="12.75" hidden="false" customHeight="false" outlineLevel="0" collapsed="false">
      <c r="A105" s="253" t="s">
        <v>184</v>
      </c>
      <c r="B105" s="64" t="n">
        <f aca="false">64.1768505042946*0.32*0.848</f>
        <v>17.4150301528454</v>
      </c>
      <c r="C105" s="70" t="n">
        <f aca="false">0.695+6.5</f>
        <v>7.195</v>
      </c>
      <c r="D105" s="123" t="n">
        <f aca="false">C105*B105/100</f>
        <v>1.25301141949723</v>
      </c>
      <c r="E105" s="67" t="n">
        <f aca="false">($N$53-0.065)*B105</f>
        <v>0.0929052063845785</v>
      </c>
      <c r="F105" s="67" t="n">
        <f aca="false">D105+E105</f>
        <v>1.3459166258818</v>
      </c>
      <c r="G105" s="65" t="n">
        <f aca="false">F105/B105*100</f>
        <v>7.72847714915899</v>
      </c>
      <c r="H105" s="50"/>
    </row>
    <row r="106" customFormat="false" ht="12.75" hidden="false" customHeight="false" outlineLevel="0" collapsed="false">
      <c r="A106" s="50"/>
      <c r="B106" s="50"/>
      <c r="C106" s="264"/>
      <c r="D106" s="263"/>
      <c r="E106" s="263"/>
      <c r="F106" s="263"/>
      <c r="G106" s="264"/>
      <c r="H106" s="50"/>
    </row>
    <row r="107" customFormat="false" ht="12.75" hidden="false" customHeight="false" outlineLevel="0" collapsed="false">
      <c r="A107" s="246" t="s">
        <v>191</v>
      </c>
      <c r="B107" s="64"/>
      <c r="C107" s="212"/>
      <c r="D107" s="123"/>
      <c r="E107" s="130"/>
      <c r="F107" s="130"/>
      <c r="G107" s="212"/>
      <c r="H107" s="130"/>
    </row>
    <row r="108" customFormat="false" ht="12.75" hidden="false" customHeight="false" outlineLevel="0" collapsed="false">
      <c r="A108" s="253" t="s">
        <v>167</v>
      </c>
      <c r="B108" s="114" t="n">
        <f aca="false">315.552240090994*0.32*0.848</f>
        <v>85.6282558710921</v>
      </c>
      <c r="C108" s="70" t="n">
        <f aca="false">1.344+6.5</f>
        <v>7.844</v>
      </c>
      <c r="D108" s="123" t="n">
        <f aca="false">C108*B108/100</f>
        <v>6.71668039052847</v>
      </c>
      <c r="E108" s="67" t="n">
        <f aca="false">($N$51-0.065)*B108</f>
        <v>6.47945098821233</v>
      </c>
      <c r="F108" s="67" t="n">
        <f aca="false">D108+E108</f>
        <v>13.1961313787408</v>
      </c>
      <c r="G108" s="70" t="n">
        <f aca="false">F108/B108*100</f>
        <v>15.410954298318</v>
      </c>
      <c r="H108" s="109"/>
    </row>
    <row r="109" customFormat="false" ht="12.75" hidden="false" customHeight="false" outlineLevel="0" collapsed="false">
      <c r="A109" s="253" t="s">
        <v>168</v>
      </c>
      <c r="B109" s="114" t="n">
        <f aca="false">45.1540720349035*0.32*0.848</f>
        <v>12.2530089873914</v>
      </c>
      <c r="C109" s="70" t="n">
        <f aca="false">1.315+6.5</f>
        <v>7.815</v>
      </c>
      <c r="D109" s="123" t="n">
        <f aca="false">C109*B109/100</f>
        <v>0.957572652364639</v>
      </c>
      <c r="E109" s="67" t="n">
        <f aca="false">($N$51-0.065)*B109</f>
        <v>0.927179590244704</v>
      </c>
      <c r="F109" s="67" t="n">
        <f aca="false">D109+E109</f>
        <v>1.88475224260934</v>
      </c>
      <c r="G109" s="70" t="n">
        <f aca="false">F109/B109*100</f>
        <v>15.381954298318</v>
      </c>
      <c r="H109" s="109"/>
    </row>
    <row r="110" customFormat="false" ht="12.75" hidden="false" customHeight="false" outlineLevel="0" collapsed="false">
      <c r="A110" s="253" t="s">
        <v>182</v>
      </c>
      <c r="B110" s="114" t="n">
        <f aca="false">15.14592688*0.32*0.848</f>
        <v>4.1099987181568</v>
      </c>
      <c r="C110" s="70" t="n">
        <f aca="false">0.961+6.5</f>
        <v>7.461</v>
      </c>
      <c r="D110" s="123" t="n">
        <f aca="false">C110*B110/100</f>
        <v>0.306647004361679</v>
      </c>
      <c r="E110" s="67" t="n">
        <f aca="false">($N$51-0.065)*B110</f>
        <v>0.31100172466438</v>
      </c>
      <c r="F110" s="67" t="n">
        <f aca="false">D110+E110</f>
        <v>0.617648729026059</v>
      </c>
      <c r="G110" s="70" t="n">
        <f aca="false">F110/B110*100</f>
        <v>15.027954298318</v>
      </c>
      <c r="H110" s="109"/>
    </row>
    <row r="111" customFormat="false" ht="12.75" hidden="false" customHeight="false" outlineLevel="0" collapsed="false">
      <c r="A111" s="253" t="s">
        <v>183</v>
      </c>
      <c r="B111" s="114" t="n">
        <f aca="false">57.2979462290751*0.32*0.848</f>
        <v>15.5483706887218</v>
      </c>
      <c r="C111" s="70" t="n">
        <f aca="false">0.924+6.5</f>
        <v>7.424</v>
      </c>
      <c r="D111" s="123" t="n">
        <f aca="false">C111*B111/100</f>
        <v>1.15431103993071</v>
      </c>
      <c r="E111" s="67" t="n">
        <f aca="false">($N$51-0.065)*B111</f>
        <v>1.17653810414865</v>
      </c>
      <c r="F111" s="67" t="n">
        <f aca="false">D111+E111</f>
        <v>2.33084914407936</v>
      </c>
      <c r="G111" s="70" t="n">
        <f aca="false">F111/B111*100</f>
        <v>14.990954298318</v>
      </c>
      <c r="H111" s="109"/>
    </row>
    <row r="112" customFormat="false" ht="12.75" hidden="false" customHeight="false" outlineLevel="0" collapsed="false">
      <c r="A112" s="253" t="s">
        <v>184</v>
      </c>
      <c r="B112" s="114" t="n">
        <f aca="false">14.9455647649119*0.32*0.848</f>
        <v>4.05562845460649</v>
      </c>
      <c r="C112" s="70" t="n">
        <f aca="false">0.921+6.5</f>
        <v>7.421</v>
      </c>
      <c r="D112" s="123" t="n">
        <f aca="false">C112*B112/100</f>
        <v>0.300968187616348</v>
      </c>
      <c r="E112" s="67" t="n">
        <f aca="false">($N$51-0.065)*B112</f>
        <v>0.306887551669653</v>
      </c>
      <c r="F112" s="67" t="n">
        <f aca="false">D112+E112</f>
        <v>0.607855739286001</v>
      </c>
      <c r="G112" s="70" t="n">
        <f aca="false">F112/B112*100</f>
        <v>14.987954298318</v>
      </c>
      <c r="H112" s="109"/>
    </row>
    <row r="113" customFormat="false" ht="12.75" hidden="false" customHeight="false" outlineLevel="0" collapsed="false">
      <c r="A113" s="253"/>
      <c r="B113" s="114"/>
      <c r="C113" s="217"/>
      <c r="D113" s="123"/>
      <c r="E113" s="218"/>
      <c r="F113" s="67"/>
      <c r="G113" s="70"/>
      <c r="H113" s="109"/>
    </row>
    <row r="114" customFormat="false" ht="12.75" hidden="false" customHeight="false" outlineLevel="0" collapsed="false">
      <c r="A114" s="246" t="s">
        <v>192</v>
      </c>
      <c r="B114" s="114"/>
      <c r="C114" s="217"/>
      <c r="D114" s="123"/>
      <c r="E114" s="218"/>
      <c r="F114" s="67"/>
      <c r="G114" s="70"/>
      <c r="H114" s="109"/>
    </row>
    <row r="115" customFormat="false" ht="12.75" hidden="false" customHeight="false" outlineLevel="0" collapsed="false">
      <c r="A115" s="253" t="s">
        <v>167</v>
      </c>
      <c r="B115" s="114" t="n">
        <f aca="false">1360.99322394496*0.32*0.848</f>
        <v>369.319121249704</v>
      </c>
      <c r="C115" s="65" t="n">
        <f aca="false">1.178+6.5</f>
        <v>7.678</v>
      </c>
      <c r="D115" s="123" t="n">
        <f aca="false">C115*B115/100</f>
        <v>28.3563221295523</v>
      </c>
      <c r="E115" s="67" t="n">
        <f aca="false">($N$52-0.065)*B115</f>
        <v>12.3606235195711</v>
      </c>
      <c r="F115" s="67" t="n">
        <f aca="false">D115+E115</f>
        <v>40.7169456491234</v>
      </c>
      <c r="G115" s="70" t="n">
        <f aca="false">F115/B115*100</f>
        <v>11.0248680088226</v>
      </c>
    </row>
    <row r="116" customFormat="false" ht="12.75" hidden="false" customHeight="false" outlineLevel="0" collapsed="false">
      <c r="A116" s="253" t="s">
        <v>168</v>
      </c>
      <c r="B116" s="114" t="n">
        <f aca="false">205.328665501968*0.32*0.848</f>
        <v>55.717986670614</v>
      </c>
      <c r="C116" s="70" t="n">
        <f aca="false">1.155+6.5</f>
        <v>7.655</v>
      </c>
      <c r="D116" s="123" t="n">
        <f aca="false">C116*B116/100</f>
        <v>4.26521187963551</v>
      </c>
      <c r="E116" s="67" t="n">
        <f aca="false">($N$52-0.065)*B116</f>
        <v>1.86480747103882</v>
      </c>
      <c r="F116" s="67" t="n">
        <f aca="false">D116+E116</f>
        <v>6.13001935067432</v>
      </c>
      <c r="G116" s="70" t="n">
        <f aca="false">F116/B116*100</f>
        <v>11.0018680088226</v>
      </c>
      <c r="H116" s="109"/>
    </row>
    <row r="117" customFormat="false" ht="12.75" hidden="false" customHeight="false" outlineLevel="0" collapsed="false">
      <c r="A117" s="253" t="s">
        <v>182</v>
      </c>
      <c r="B117" s="114" t="n">
        <f aca="false">65.3251704*0.32*0.848</f>
        <v>17.726638239744</v>
      </c>
      <c r="C117" s="70" t="n">
        <f aca="false">0.795+6.5</f>
        <v>7.295</v>
      </c>
      <c r="D117" s="123" t="n">
        <f aca="false">C117*B117/100</f>
        <v>1.29315825958933</v>
      </c>
      <c r="E117" s="67" t="n">
        <f aca="false">($N$52-0.065)*B117</f>
        <v>0.593287184285704</v>
      </c>
      <c r="F117" s="67" t="n">
        <f aca="false">D117+E117</f>
        <v>1.88644544387503</v>
      </c>
      <c r="G117" s="70" t="n">
        <f aca="false">F117/B117*100</f>
        <v>10.6418680088226</v>
      </c>
      <c r="H117" s="109"/>
    </row>
    <row r="118" customFormat="false" ht="12.75" hidden="false" customHeight="false" outlineLevel="0" collapsed="false">
      <c r="A118" s="253" t="s">
        <v>183</v>
      </c>
      <c r="B118" s="114" t="n">
        <f aca="false">259.491998810725*0.32*0.848</f>
        <v>70.4157487972783</v>
      </c>
      <c r="C118" s="70" t="n">
        <f aca="false">0.772+6.5</f>
        <v>7.272</v>
      </c>
      <c r="D118" s="123" t="n">
        <f aca="false">C118*B118/100</f>
        <v>5.12063325253808</v>
      </c>
      <c r="E118" s="67" t="n">
        <f aca="false">($N$52-0.065)*B118</f>
        <v>2.35672216966899</v>
      </c>
      <c r="F118" s="67" t="n">
        <f aca="false">D118+E118</f>
        <v>7.47735542220707</v>
      </c>
      <c r="G118" s="70" t="n">
        <f aca="false">F118/B118*100</f>
        <v>10.6188680088226</v>
      </c>
      <c r="H118" s="109"/>
    </row>
    <row r="119" customFormat="false" ht="12.75" hidden="false" customHeight="false" outlineLevel="0" collapsed="false">
      <c r="A119" s="253" t="s">
        <v>184</v>
      </c>
      <c r="B119" s="114" t="n">
        <f aca="false">64.715272266367*0.32*0.848</f>
        <v>17.5611362822013</v>
      </c>
      <c r="C119" s="70" t="n">
        <f aca="false">0.769+6.5</f>
        <v>7.269</v>
      </c>
      <c r="D119" s="123" t="n">
        <f aca="false">C119*B119/100</f>
        <v>1.27651899635322</v>
      </c>
      <c r="E119" s="67" t="n">
        <f aca="false">($N$52-0.065)*B119</f>
        <v>0.587748052214733</v>
      </c>
      <c r="F119" s="67" t="n">
        <f aca="false">D119+E119</f>
        <v>1.86426704856795</v>
      </c>
      <c r="G119" s="70" t="n">
        <f aca="false">F119/B119*100</f>
        <v>10.6158680088226</v>
      </c>
      <c r="H119" s="109"/>
    </row>
    <row r="120" customFormat="false" ht="12.75" hidden="false" customHeight="false" outlineLevel="0" collapsed="false">
      <c r="A120" s="253"/>
      <c r="B120" s="114"/>
      <c r="C120" s="217"/>
      <c r="D120" s="123"/>
      <c r="E120" s="218"/>
      <c r="F120" s="67"/>
      <c r="G120" s="70"/>
      <c r="H120" s="109"/>
    </row>
    <row r="121" customFormat="false" ht="12.75" hidden="false" customHeight="false" outlineLevel="0" collapsed="false">
      <c r="A121" s="246" t="s">
        <v>193</v>
      </c>
      <c r="B121" s="114"/>
      <c r="C121" s="217"/>
      <c r="D121" s="123"/>
      <c r="E121" s="218"/>
      <c r="F121" s="67"/>
      <c r="G121" s="70"/>
      <c r="H121" s="109"/>
    </row>
    <row r="122" customFormat="false" ht="12.75" hidden="false" customHeight="false" outlineLevel="0" collapsed="false">
      <c r="A122" s="253" t="s">
        <v>167</v>
      </c>
      <c r="B122" s="114" t="n">
        <f aca="false">1420.13991467841*0.32*0.848</f>
        <v>385.369167247133</v>
      </c>
      <c r="C122" s="70" t="n">
        <f aca="false">0.993+6.5</f>
        <v>7.493</v>
      </c>
      <c r="D122" s="123" t="n">
        <f aca="false">C122*B122/100</f>
        <v>28.8757117018277</v>
      </c>
      <c r="E122" s="67" t="n">
        <f aca="false">($N$53-0.065)*B122</f>
        <v>2.05585644716776</v>
      </c>
      <c r="F122" s="67" t="n">
        <f aca="false">D122+E122</f>
        <v>30.9315681489955</v>
      </c>
      <c r="G122" s="70" t="n">
        <f aca="false">F122/B122*100</f>
        <v>8.02647714915899</v>
      </c>
      <c r="H122" s="109"/>
    </row>
    <row r="123" customFormat="false" ht="12.75" hidden="false" customHeight="false" outlineLevel="0" collapsed="false">
      <c r="A123" s="253" t="s">
        <v>168</v>
      </c>
      <c r="B123" s="114" t="n">
        <f aca="false">229.369250081656*0.32*0.848</f>
        <v>62.2416397021582</v>
      </c>
      <c r="C123" s="70" t="n">
        <f aca="false">0.981+6.5</f>
        <v>7.481</v>
      </c>
      <c r="D123" s="123" t="n">
        <f aca="false">C123*B123/100</f>
        <v>4.65629706611845</v>
      </c>
      <c r="E123" s="67" t="n">
        <f aca="false">($N$53-0.065)*B123</f>
        <v>0.332044925072885</v>
      </c>
      <c r="F123" s="67" t="n">
        <f aca="false">D123+E123</f>
        <v>4.98834199119134</v>
      </c>
      <c r="G123" s="70" t="n">
        <f aca="false">F123/B123*100</f>
        <v>8.01447714915899</v>
      </c>
      <c r="H123" s="109"/>
    </row>
    <row r="124" customFormat="false" ht="12.75" hidden="false" customHeight="false" outlineLevel="0" collapsed="false">
      <c r="A124" s="253" t="s">
        <v>182</v>
      </c>
      <c r="B124" s="114" t="n">
        <f aca="false">68.16410272*0.32*0.848</f>
        <v>18.4970109140992</v>
      </c>
      <c r="C124" s="70" t="n">
        <f aca="false">0.714+6.5</f>
        <v>7.214</v>
      </c>
      <c r="D124" s="123" t="n">
        <f aca="false">C124*B124/100</f>
        <v>1.33437436734312</v>
      </c>
      <c r="E124" s="67" t="n">
        <f aca="false">($N$53-0.065)*B124</f>
        <v>0.0986773265041641</v>
      </c>
      <c r="F124" s="67" t="n">
        <f aca="false">D124+E124</f>
        <v>1.43305169384728</v>
      </c>
      <c r="G124" s="70" t="n">
        <f aca="false">F124/B124*100</f>
        <v>7.74747714915899</v>
      </c>
      <c r="H124" s="109"/>
    </row>
    <row r="125" customFormat="false" ht="12.75" hidden="false" customHeight="false" outlineLevel="0" collapsed="false">
      <c r="A125" s="253" t="s">
        <v>183</v>
      </c>
      <c r="B125" s="114" t="n">
        <f aca="false">292.627252713928*0.32*0.848</f>
        <v>79.4073312964515</v>
      </c>
      <c r="C125" s="70" t="n">
        <f aca="false">0.7+6.5</f>
        <v>7.2</v>
      </c>
      <c r="D125" s="123" t="n">
        <f aca="false">C125*B125/100</f>
        <v>5.71732785334451</v>
      </c>
      <c r="E125" s="67" t="n">
        <f aca="false">($N$53-0.065)*B125</f>
        <v>0.423619967223546</v>
      </c>
      <c r="F125" s="67" t="n">
        <f aca="false">D125+E125</f>
        <v>6.14094782056805</v>
      </c>
      <c r="G125" s="70" t="n">
        <f aca="false">F125/B125*100</f>
        <v>7.73347714915899</v>
      </c>
      <c r="H125" s="109"/>
    </row>
    <row r="126" customFormat="false" ht="12.75" hidden="false" customHeight="false" outlineLevel="0" collapsed="false">
      <c r="A126" s="253" t="s">
        <v>184</v>
      </c>
      <c r="B126" s="114" t="n">
        <f aca="false">83.1448793620971*0.32*0.848</f>
        <v>22.5621944636987</v>
      </c>
      <c r="C126" s="70" t="n">
        <f aca="false">0.698+6.5</f>
        <v>7.198</v>
      </c>
      <c r="D126" s="123" t="n">
        <f aca="false">C126*B126/100</f>
        <v>1.62402675749703</v>
      </c>
      <c r="E126" s="67" t="n">
        <f aca="false">($N$53-0.065)*B126</f>
        <v>0.120364151812648</v>
      </c>
      <c r="F126" s="67" t="n">
        <f aca="false">D126+E126</f>
        <v>1.74439090930968</v>
      </c>
      <c r="G126" s="70" t="n">
        <f aca="false">F126/B126*100</f>
        <v>7.73147714915899</v>
      </c>
      <c r="H126" s="109"/>
    </row>
    <row r="127" customFormat="false" ht="12.75" hidden="false" customHeight="false" outlineLevel="0" collapsed="false">
      <c r="A127" s="253"/>
      <c r="B127" s="216"/>
      <c r="C127" s="217"/>
      <c r="D127" s="123"/>
      <c r="E127" s="218"/>
      <c r="F127" s="67"/>
      <c r="G127" s="217"/>
      <c r="H127" s="109"/>
    </row>
    <row r="128" customFormat="false" ht="13.5" hidden="false" customHeight="false" outlineLevel="0" collapsed="false">
      <c r="A128" s="131" t="s">
        <v>194</v>
      </c>
      <c r="B128" s="265" t="n">
        <f aca="false">SUM(B68:B126)</f>
        <v>2179.30935282688</v>
      </c>
      <c r="C128" s="97" t="n">
        <f aca="false">D128/B128*100</f>
        <v>10.0067184179957</v>
      </c>
      <c r="D128" s="237" t="n">
        <f aca="false">SUM(D53:D126)</f>
        <v>218.077350394431</v>
      </c>
      <c r="E128" s="237" t="n">
        <f aca="false">SUM(E53:E126)</f>
        <v>60.1989228907147</v>
      </c>
      <c r="F128" s="237" t="n">
        <f aca="false">SUM(F53:F126)</f>
        <v>278.276273285145</v>
      </c>
      <c r="G128" s="95" t="n">
        <f aca="false">F128/B128*100</f>
        <v>12.7690120231981</v>
      </c>
      <c r="H128" s="133" t="n">
        <f aca="false">(G128-C128)/C128</f>
        <v>0.276043902687897</v>
      </c>
    </row>
    <row r="129" customFormat="false" ht="13.5" hidden="false" customHeight="false" outlineLevel="0" collapsed="false">
      <c r="A129" s="48"/>
      <c r="B129" s="266"/>
      <c r="C129" s="266"/>
      <c r="D129" s="267"/>
      <c r="E129" s="263"/>
      <c r="F129" s="263"/>
      <c r="G129" s="266"/>
      <c r="H129" s="50"/>
    </row>
    <row r="130" customFormat="false" ht="12.75" hidden="false" customHeight="false" outlineLevel="0" collapsed="false">
      <c r="A130" s="48"/>
      <c r="B130" s="268"/>
      <c r="C130" s="266"/>
      <c r="D130" s="267"/>
      <c r="E130" s="263"/>
      <c r="F130" s="264"/>
      <c r="G130" s="266"/>
      <c r="H130" s="50"/>
    </row>
    <row r="131" customFormat="false" ht="12.75" hidden="false" customHeight="false" outlineLevel="0" collapsed="false">
      <c r="F131" s="79"/>
      <c r="H131" s="2" t="s">
        <v>87</v>
      </c>
    </row>
    <row r="132" customFormat="false" ht="20.25" hidden="false" customHeight="false" outlineLevel="0" collapsed="false">
      <c r="A132" s="3" t="s">
        <v>1</v>
      </c>
      <c r="B132" s="3"/>
      <c r="C132" s="3"/>
      <c r="D132" s="3"/>
      <c r="E132" s="3"/>
      <c r="F132" s="3"/>
      <c r="G132" s="3"/>
      <c r="H132" s="3"/>
    </row>
    <row r="133" customFormat="false" ht="20.25" hidden="false" customHeight="false" outlineLevel="0" collapsed="false">
      <c r="A133" s="3" t="s">
        <v>150</v>
      </c>
      <c r="B133" s="3"/>
      <c r="C133" s="3"/>
      <c r="D133" s="3"/>
      <c r="E133" s="3"/>
      <c r="F133" s="3"/>
      <c r="G133" s="3"/>
      <c r="H133" s="3"/>
    </row>
    <row r="134" customFormat="false" ht="13.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</row>
    <row r="135" customFormat="false" ht="64.5" hidden="false" customHeight="false" outlineLevel="0" collapsed="false">
      <c r="A135" s="45" t="s">
        <v>24</v>
      </c>
      <c r="B135" s="47" t="s">
        <v>25</v>
      </c>
      <c r="C135" s="47" t="s">
        <v>130</v>
      </c>
      <c r="D135" s="47" t="s">
        <v>27</v>
      </c>
      <c r="E135" s="47" t="s">
        <v>131</v>
      </c>
      <c r="F135" s="47" t="s">
        <v>29</v>
      </c>
      <c r="G135" s="47" t="s">
        <v>30</v>
      </c>
      <c r="H135" s="47" t="s">
        <v>31</v>
      </c>
    </row>
    <row r="136" customFormat="false" ht="12.75" hidden="false" customHeight="false" outlineLevel="0" collapsed="false">
      <c r="A136" s="48"/>
      <c r="B136" s="266"/>
      <c r="C136" s="266"/>
      <c r="D136" s="267"/>
      <c r="E136" s="263"/>
      <c r="F136" s="263"/>
      <c r="G136" s="266"/>
      <c r="H136" s="50"/>
    </row>
    <row r="137" customFormat="false" ht="12.75" hidden="false" customHeight="false" outlineLevel="0" collapsed="false">
      <c r="A137" s="242" t="s">
        <v>195</v>
      </c>
      <c r="B137" s="64"/>
      <c r="C137" s="64"/>
      <c r="D137" s="258"/>
      <c r="E137" s="67"/>
      <c r="F137" s="67"/>
      <c r="G137" s="269"/>
      <c r="H137" s="60"/>
    </row>
    <row r="138" customFormat="false" ht="12.75" hidden="false" customHeight="false" outlineLevel="0" collapsed="false">
      <c r="A138" s="242"/>
      <c r="B138" s="64"/>
      <c r="C138" s="64"/>
      <c r="D138" s="258"/>
      <c r="E138" s="67"/>
      <c r="F138" s="67"/>
      <c r="G138" s="269"/>
      <c r="H138" s="60"/>
    </row>
    <row r="139" customFormat="false" ht="12.75" hidden="false" customHeight="false" outlineLevel="0" collapsed="false">
      <c r="A139" s="57" t="s">
        <v>163</v>
      </c>
      <c r="B139" s="64"/>
      <c r="C139" s="64"/>
      <c r="D139" s="258"/>
      <c r="E139" s="67"/>
      <c r="F139" s="67"/>
      <c r="G139" s="269"/>
      <c r="H139" s="60"/>
    </row>
    <row r="140" customFormat="false" ht="12.75" hidden="false" customHeight="false" outlineLevel="0" collapsed="false">
      <c r="A140" s="60" t="s">
        <v>164</v>
      </c>
      <c r="B140" s="64"/>
      <c r="C140" s="64"/>
      <c r="D140" s="258"/>
      <c r="E140" s="67"/>
      <c r="F140" s="67"/>
      <c r="G140" s="269"/>
      <c r="H140" s="60"/>
    </row>
    <row r="141" customFormat="false" ht="12.75" hidden="false" customHeight="false" outlineLevel="0" collapsed="false">
      <c r="A141" s="63" t="s">
        <v>196</v>
      </c>
      <c r="B141" s="64"/>
      <c r="C141" s="88" t="n">
        <f aca="false">D141/(B152+B157+B162)*100</f>
        <v>0.165539509055655</v>
      </c>
      <c r="D141" s="66" t="n">
        <v>0.449684417061755</v>
      </c>
      <c r="E141" s="71" t="n">
        <f aca="false">F141-D141</f>
        <v>0</v>
      </c>
      <c r="F141" s="71" t="n">
        <f aca="false">D141</f>
        <v>0.449684417061755</v>
      </c>
      <c r="G141" s="88" t="n">
        <f aca="false">F141/(B152+B157+B162)*100</f>
        <v>0.165539509055655</v>
      </c>
      <c r="H141" s="60"/>
    </row>
    <row r="142" customFormat="false" ht="12.75" hidden="false" customHeight="false" outlineLevel="0" collapsed="false">
      <c r="A142" s="270" t="s">
        <v>197</v>
      </c>
      <c r="B142" s="64"/>
      <c r="C142" s="88" t="n">
        <f aca="false">D142/(B153+B158+B163)*100</f>
        <v>0.0619099900417237</v>
      </c>
      <c r="D142" s="66" t="n">
        <v>0.00773896807366971</v>
      </c>
      <c r="E142" s="71" t="n">
        <f aca="false">F142-D142</f>
        <v>0</v>
      </c>
      <c r="F142" s="71" t="n">
        <f aca="false">D142</f>
        <v>0.00773896807366971</v>
      </c>
      <c r="G142" s="88" t="n">
        <f aca="false">F142/(B153+B158+B163)*100</f>
        <v>0.0619099900417237</v>
      </c>
      <c r="H142" s="60"/>
    </row>
    <row r="143" customFormat="false" ht="12.75" hidden="false" customHeight="false" outlineLevel="0" collapsed="false">
      <c r="A143" s="270" t="s">
        <v>198</v>
      </c>
      <c r="B143" s="64"/>
      <c r="C143" s="88" t="n">
        <f aca="false">D143/(B154+B159+B164)*100</f>
        <v>0.0842387551173525</v>
      </c>
      <c r="D143" s="66" t="n">
        <v>0.000503719815445957</v>
      </c>
      <c r="E143" s="71" t="n">
        <f aca="false">F143-D143</f>
        <v>0</v>
      </c>
      <c r="F143" s="71" t="n">
        <f aca="false">D143</f>
        <v>0.000503719815445957</v>
      </c>
      <c r="G143" s="88" t="n">
        <f aca="false">F143/(B154+B159+B164)*100</f>
        <v>0.0842387551173525</v>
      </c>
      <c r="H143" s="60"/>
    </row>
    <row r="144" customFormat="false" ht="12.75" hidden="false" customHeight="false" outlineLevel="0" collapsed="false">
      <c r="A144" s="270"/>
      <c r="B144" s="64"/>
      <c r="C144" s="64"/>
      <c r="D144" s="66"/>
      <c r="E144" s="71"/>
      <c r="F144" s="71"/>
      <c r="G144" s="269"/>
      <c r="H144" s="60"/>
    </row>
    <row r="145" customFormat="false" ht="12.75" hidden="false" customHeight="false" outlineLevel="0" collapsed="false">
      <c r="A145" s="60" t="s">
        <v>185</v>
      </c>
      <c r="B145" s="64"/>
      <c r="D145" s="66"/>
      <c r="E145" s="66"/>
      <c r="F145" s="66"/>
      <c r="G145" s="269"/>
      <c r="H145" s="60"/>
    </row>
    <row r="146" customFormat="false" ht="12.75" hidden="false" customHeight="false" outlineLevel="0" collapsed="false">
      <c r="A146" s="63" t="s">
        <v>196</v>
      </c>
      <c r="B146" s="64"/>
      <c r="C146" s="88" t="n">
        <f aca="false">D146/(B152+B157+B162)*100</f>
        <v>3.798756</v>
      </c>
      <c r="D146" s="66" t="n">
        <v>10.3192367016476</v>
      </c>
      <c r="E146" s="71" t="n">
        <f aca="false">F146-D146</f>
        <v>0</v>
      </c>
      <c r="F146" s="66" t="n">
        <f aca="false">D146</f>
        <v>10.3192367016476</v>
      </c>
      <c r="G146" s="88" t="n">
        <f aca="false">F146/(B152+B157+B162)*100</f>
        <v>3.798756</v>
      </c>
      <c r="H146" s="60"/>
    </row>
    <row r="147" customFormat="false" ht="12.75" hidden="false" customHeight="false" outlineLevel="0" collapsed="false">
      <c r="A147" s="270" t="s">
        <v>197</v>
      </c>
      <c r="B147" s="64"/>
      <c r="C147" s="88" t="n">
        <f aca="false">D147/(B153+B158+B163)*100</f>
        <v>3.1100448</v>
      </c>
      <c r="D147" s="66" t="n">
        <v>0.388766617449974</v>
      </c>
      <c r="E147" s="71" t="n">
        <f aca="false">F147-D147</f>
        <v>0</v>
      </c>
      <c r="F147" s="66" t="n">
        <f aca="false">D147</f>
        <v>0.388766617449974</v>
      </c>
      <c r="G147" s="88" t="n">
        <f aca="false">F147/(B153+B158+B163)*100</f>
        <v>3.1100448</v>
      </c>
      <c r="H147" s="60"/>
    </row>
    <row r="148" customFormat="false" ht="12.75" hidden="false" customHeight="false" outlineLevel="0" collapsed="false">
      <c r="A148" s="270" t="s">
        <v>198</v>
      </c>
      <c r="B148" s="64"/>
      <c r="C148" s="88" t="n">
        <f aca="false">D148/(B154+B159+B164)*100</f>
        <v>0.5824412</v>
      </c>
      <c r="D148" s="66" t="n">
        <v>0.00348280519297093</v>
      </c>
      <c r="E148" s="71" t="n">
        <f aca="false">F148-D148</f>
        <v>0</v>
      </c>
      <c r="F148" s="66" t="n">
        <f aca="false">D148</f>
        <v>0.00348280519297093</v>
      </c>
      <c r="G148" s="88" t="n">
        <f aca="false">F148/(B154+B159+B164)*100</f>
        <v>0.5824412</v>
      </c>
      <c r="H148" s="60"/>
    </row>
    <row r="149" customFormat="false" ht="12.75" hidden="false" customHeight="false" outlineLevel="0" collapsed="false">
      <c r="A149" s="270"/>
      <c r="B149" s="64"/>
      <c r="C149" s="64"/>
      <c r="D149" s="123"/>
      <c r="E149" s="67"/>
      <c r="F149" s="67"/>
      <c r="G149" s="269"/>
      <c r="H149" s="60"/>
    </row>
    <row r="150" customFormat="false" ht="12.75" hidden="false" customHeight="false" outlineLevel="0" collapsed="false">
      <c r="A150" s="4" t="s">
        <v>37</v>
      </c>
      <c r="B150" s="64"/>
      <c r="C150" s="64"/>
      <c r="D150" s="123"/>
      <c r="E150" s="67"/>
      <c r="F150" s="67"/>
      <c r="G150" s="269"/>
      <c r="H150" s="60"/>
    </row>
    <row r="151" customFormat="false" ht="12.75" hidden="false" customHeight="false" outlineLevel="0" collapsed="false">
      <c r="A151" s="60" t="s">
        <v>199</v>
      </c>
      <c r="B151" s="64"/>
      <c r="C151" s="239"/>
      <c r="D151" s="130"/>
      <c r="E151" s="130"/>
      <c r="F151" s="130"/>
      <c r="G151" s="239"/>
      <c r="H151" s="104"/>
    </row>
    <row r="152" customFormat="false" ht="12.75" hidden="false" customHeight="false" outlineLevel="0" collapsed="false">
      <c r="A152" s="63" t="s">
        <v>196</v>
      </c>
      <c r="B152" s="64" t="n">
        <f aca="false">112.939299431931*0.57*0.848</f>
        <v>54.5903397734182</v>
      </c>
      <c r="C152" s="70" t="n">
        <f aca="false">2.18+6.5</f>
        <v>8.68</v>
      </c>
      <c r="D152" s="67" t="n">
        <f aca="false">B152*C152/100</f>
        <v>4.7384414923327</v>
      </c>
      <c r="E152" s="67" t="n">
        <f aca="false">($N$51-0.065)*B152</f>
        <v>4.13082606195106</v>
      </c>
      <c r="F152" s="67" t="n">
        <f aca="false">D152+E152</f>
        <v>8.86926755428376</v>
      </c>
      <c r="G152" s="70" t="n">
        <f aca="false">F152/B152*100</f>
        <v>16.246954298318</v>
      </c>
      <c r="H152" s="104"/>
    </row>
    <row r="153" customFormat="false" ht="12.75" hidden="false" customHeight="false" outlineLevel="0" collapsed="false">
      <c r="A153" s="270" t="s">
        <v>197</v>
      </c>
      <c r="B153" s="64" t="n">
        <f aca="false">4.68908108215586*0.57*0.848</f>
        <v>2.26651423187086</v>
      </c>
      <c r="C153" s="65" t="n">
        <f aca="false">2.129+6.5</f>
        <v>8.629</v>
      </c>
      <c r="D153" s="67" t="n">
        <f aca="false">B153*C153/100</f>
        <v>0.195577513068136</v>
      </c>
      <c r="E153" s="67" t="n">
        <f aca="false">($N$51-0.065)*B153</f>
        <v>0.171506096090541</v>
      </c>
      <c r="F153" s="67" t="n">
        <f aca="false">D153+E153</f>
        <v>0.367083609158677</v>
      </c>
      <c r="G153" s="70" t="n">
        <f aca="false">F153/B153*100</f>
        <v>16.195954298318</v>
      </c>
      <c r="H153" s="12"/>
    </row>
    <row r="154" customFormat="false" ht="12.75" hidden="false" customHeight="false" outlineLevel="0" collapsed="false">
      <c r="A154" s="270" t="s">
        <v>198</v>
      </c>
      <c r="B154" s="64" t="n">
        <f aca="false">0.184125685689439*0.57*0.848</f>
        <v>0.0889989914348472</v>
      </c>
      <c r="C154" s="65" t="n">
        <f aca="false">0.996+6.5</f>
        <v>7.496</v>
      </c>
      <c r="D154" s="67" t="n">
        <f aca="false">B154*C154/100</f>
        <v>0.00667136439795615</v>
      </c>
      <c r="E154" s="67" t="n">
        <f aca="false">($N$51-0.065)*B154</f>
        <v>0.00673451300783883</v>
      </c>
      <c r="F154" s="67" t="n">
        <f aca="false">D154+E154</f>
        <v>0.013405877405795</v>
      </c>
      <c r="G154" s="70" t="n">
        <f aca="false">F154/B154*100</f>
        <v>15.062954298318</v>
      </c>
      <c r="H154" s="12"/>
    </row>
    <row r="155" customFormat="false" ht="12.75" hidden="false" customHeight="false" outlineLevel="0" collapsed="false">
      <c r="A155" s="270"/>
      <c r="B155" s="64"/>
      <c r="C155" s="65"/>
      <c r="D155" s="67"/>
      <c r="E155" s="271"/>
      <c r="F155" s="67"/>
      <c r="G155" s="70"/>
      <c r="H155" s="12"/>
    </row>
    <row r="156" customFormat="false" ht="12.75" hidden="false" customHeight="false" outlineLevel="0" collapsed="false">
      <c r="A156" s="246" t="s">
        <v>200</v>
      </c>
      <c r="B156" s="64"/>
      <c r="C156" s="65"/>
      <c r="D156" s="67"/>
      <c r="E156" s="271"/>
      <c r="F156" s="67"/>
      <c r="G156" s="70"/>
      <c r="H156" s="12"/>
    </row>
    <row r="157" customFormat="false" ht="12.75" hidden="false" customHeight="false" outlineLevel="0" collapsed="false">
      <c r="A157" s="270" t="s">
        <v>196</v>
      </c>
      <c r="B157" s="64" t="n">
        <f aca="false">249.756808230223*0.57*0.848</f>
        <v>120.722450826161</v>
      </c>
      <c r="C157" s="65" t="n">
        <f aca="false">1.54+6.5</f>
        <v>8.04</v>
      </c>
      <c r="D157" s="67" t="n">
        <f aca="false">B157*C157/100</f>
        <v>9.70608504642331</v>
      </c>
      <c r="E157" s="67" t="n">
        <f aca="false">($N$52-0.065)*B157</f>
        <v>4.04042108616735</v>
      </c>
      <c r="F157" s="67" t="n">
        <f aca="false">D157+E157</f>
        <v>13.7465061325907</v>
      </c>
      <c r="G157" s="70" t="n">
        <f aca="false">F157/B157*100</f>
        <v>11.3868680088226</v>
      </c>
      <c r="H157" s="12"/>
    </row>
    <row r="158" customFormat="false" ht="12.75" hidden="false" customHeight="false" outlineLevel="0" collapsed="false">
      <c r="A158" s="270" t="s">
        <v>197</v>
      </c>
      <c r="B158" s="64" t="n">
        <f aca="false">11.4248313873357*0.57*0.848</f>
        <v>5.52230649938258</v>
      </c>
      <c r="C158" s="65" t="n">
        <f aca="false">1.513+6.5</f>
        <v>8.013</v>
      </c>
      <c r="D158" s="67" t="n">
        <f aca="false">B158*C158/100</f>
        <v>0.442502419795526</v>
      </c>
      <c r="E158" s="67" t="n">
        <f aca="false">($N$52-0.065)*B158</f>
        <v>0.184824309576966</v>
      </c>
      <c r="F158" s="67" t="n">
        <f aca="false">D158+E158</f>
        <v>0.627326729372493</v>
      </c>
      <c r="G158" s="70" t="n">
        <f aca="false">F158/B158*100</f>
        <v>11.3598680088226</v>
      </c>
      <c r="H158" s="12"/>
    </row>
    <row r="159" customFormat="false" ht="12.75" hidden="false" customHeight="false" outlineLevel="0" collapsed="false">
      <c r="A159" s="270" t="s">
        <v>198</v>
      </c>
      <c r="B159" s="64" t="n">
        <f aca="false">0.41777019039294*0.57*0.848</f>
        <v>0.201933399228331</v>
      </c>
      <c r="C159" s="65" t="n">
        <f aca="false">0.78+6.5</f>
        <v>7.28</v>
      </c>
      <c r="D159" s="67" t="n">
        <f aca="false">B159*C159/100</f>
        <v>0.0147007514638225</v>
      </c>
      <c r="E159" s="67" t="n">
        <f aca="false">($N$52-0.065)*B159</f>
        <v>0.00675844433790103</v>
      </c>
      <c r="F159" s="67" t="n">
        <f aca="false">D159+E159</f>
        <v>0.0214591958017236</v>
      </c>
      <c r="G159" s="70" t="n">
        <f aca="false">F159/B159*100</f>
        <v>10.6268680088226</v>
      </c>
      <c r="H159" s="12"/>
    </row>
    <row r="160" customFormat="false" ht="12.75" hidden="false" customHeight="false" outlineLevel="0" collapsed="false">
      <c r="D160" s="79"/>
      <c r="E160" s="79"/>
      <c r="F160" s="79"/>
    </row>
    <row r="161" customFormat="false" ht="12.75" hidden="false" customHeight="false" outlineLevel="0" collapsed="false">
      <c r="A161" s="272" t="s">
        <v>201</v>
      </c>
      <c r="B161" s="64"/>
      <c r="C161" s="64"/>
      <c r="D161" s="67"/>
      <c r="E161" s="243"/>
      <c r="F161" s="67"/>
      <c r="G161" s="114"/>
    </row>
    <row r="162" customFormat="false" ht="12.75" hidden="false" customHeight="false" outlineLevel="0" collapsed="false">
      <c r="A162" s="2" t="s">
        <v>196</v>
      </c>
      <c r="B162" s="64" t="n">
        <f aca="false">199.302794765846*0.57*0.848</f>
        <v>96.3349988780193</v>
      </c>
      <c r="C162" s="65" t="n">
        <f aca="false">1.303+6.5</f>
        <v>7.803</v>
      </c>
      <c r="D162" s="67" t="n">
        <f aca="false">B162*C162/100</f>
        <v>7.51701996245185</v>
      </c>
      <c r="E162" s="67" t="n">
        <f aca="false">($N$53-0.065)*B162</f>
        <v>0.513925205656805</v>
      </c>
      <c r="F162" s="67" t="n">
        <f aca="false">D162+E162</f>
        <v>8.03094516810865</v>
      </c>
      <c r="G162" s="70" t="n">
        <f aca="false">F162/B162*100</f>
        <v>8.33647714915899</v>
      </c>
    </row>
    <row r="163" customFormat="false" ht="12.75" hidden="false" customHeight="false" outlineLevel="0" collapsed="false">
      <c r="A163" s="2" t="s">
        <v>197</v>
      </c>
      <c r="B163" s="64" t="n">
        <f aca="false">9.74746260030846*0.57*0.848</f>
        <v>4.7115335224851</v>
      </c>
      <c r="C163" s="65" t="n">
        <f aca="false">1.284+6.5</f>
        <v>7.784</v>
      </c>
      <c r="D163" s="67" t="n">
        <f aca="false">B163*C163/100</f>
        <v>0.36674576939024</v>
      </c>
      <c r="E163" s="67" t="n">
        <f aca="false">($N$53-0.065)*B163</f>
        <v>0.0251349547174237</v>
      </c>
      <c r="F163" s="67" t="n">
        <f aca="false">D163+E163</f>
        <v>0.391880724107664</v>
      </c>
      <c r="G163" s="70" t="n">
        <f aca="false">F163/B163*100</f>
        <v>8.31747714915899</v>
      </c>
    </row>
    <row r="164" customFormat="false" ht="12.75" hidden="false" customHeight="false" outlineLevel="0" collapsed="false">
      <c r="A164" s="2" t="s">
        <v>198</v>
      </c>
      <c r="B164" s="64" t="n">
        <f aca="false">0.635208626117621*0.57*0.848</f>
        <v>0.307034441520213</v>
      </c>
      <c r="C164" s="65" t="n">
        <f aca="false">0.707+6.5</f>
        <v>7.207</v>
      </c>
      <c r="D164" s="67" t="n">
        <f aca="false">B164*C164/100</f>
        <v>0.0221279722003618</v>
      </c>
      <c r="E164" s="67" t="n">
        <f aca="false">($N$53-0.065)*B164</f>
        <v>0.00163795858555827</v>
      </c>
      <c r="F164" s="67" t="n">
        <f aca="false">D164+E164</f>
        <v>0.02376593078592</v>
      </c>
      <c r="G164" s="70" t="n">
        <f aca="false">F164/B164*100</f>
        <v>7.74047714915899</v>
      </c>
    </row>
    <row r="165" customFormat="false" ht="12.75" hidden="false" customHeight="false" outlineLevel="0" collapsed="false">
      <c r="A165" s="2"/>
      <c r="B165" s="64"/>
      <c r="C165" s="65"/>
      <c r="D165" s="79"/>
      <c r="E165" s="243"/>
      <c r="F165" s="79"/>
      <c r="G165" s="70"/>
    </row>
    <row r="166" customFormat="false" ht="13.5" hidden="false" customHeight="false" outlineLevel="0" collapsed="false">
      <c r="A166" s="244" t="s">
        <v>202</v>
      </c>
      <c r="B166" s="94" t="n">
        <f aca="false">SUM(B152:B164)</f>
        <v>284.74611056352</v>
      </c>
      <c r="C166" s="273" t="n">
        <f aca="false">D166/B166*100</f>
        <v>12.0034248942413</v>
      </c>
      <c r="D166" s="245" t="n">
        <f aca="false">SUM(D141:D164)</f>
        <v>34.1792855207653</v>
      </c>
      <c r="E166" s="245" t="n">
        <f aca="false">SUM(E141:E164)</f>
        <v>9.08176863009144</v>
      </c>
      <c r="F166" s="245" t="n">
        <f aca="false">SUM(F141:F164)</f>
        <v>43.2610541508568</v>
      </c>
      <c r="G166" s="273" t="n">
        <f aca="false">F166/B166*100</f>
        <v>15.1928516478213</v>
      </c>
      <c r="H166" s="133" t="n">
        <f aca="false">(G166-C166)/C166</f>
        <v>0.26570972715547</v>
      </c>
    </row>
    <row r="167" customFormat="false" ht="13.5" hidden="false" customHeight="false" outlineLevel="0" collapsed="false">
      <c r="C167" s="166"/>
      <c r="D167" s="261"/>
      <c r="E167" s="261"/>
      <c r="F167" s="261"/>
      <c r="G167" s="166"/>
    </row>
    <row r="168" customFormat="false" ht="12.75" hidden="false" customHeight="false" outlineLevel="0" collapsed="false">
      <c r="C168" s="166"/>
      <c r="D168" s="261"/>
      <c r="E168" s="274"/>
      <c r="F168" s="261"/>
      <c r="G168" s="166"/>
    </row>
    <row r="169" customFormat="false" ht="13.5" hidden="false" customHeight="false" outlineLevel="0" collapsed="false">
      <c r="A169" s="23"/>
      <c r="B169" s="23"/>
      <c r="C169" s="275"/>
      <c r="D169" s="276"/>
      <c r="E169" s="277"/>
      <c r="F169" s="276"/>
      <c r="G169" s="275"/>
      <c r="H169" s="23"/>
    </row>
    <row r="170" customFormat="false" ht="13.5" hidden="false" customHeight="false" outlineLevel="0" collapsed="false">
      <c r="A170" s="180" t="s">
        <v>203</v>
      </c>
      <c r="B170" s="183" t="n">
        <f aca="false">B33+B46+B128+B166</f>
        <v>2641.9026534704</v>
      </c>
      <c r="C170" s="278" t="n">
        <f aca="false">D170/B170*100</f>
        <v>10.3993835408066</v>
      </c>
      <c r="D170" s="182" t="n">
        <f aca="false">D33+D46+D128+D166</f>
        <v>274.741589709133</v>
      </c>
      <c r="E170" s="182" t="n">
        <f aca="false">E33+E46+E128+E166</f>
        <v>74.2237952978949</v>
      </c>
      <c r="F170" s="182" t="n">
        <f aca="false">F33+F46+F128+F166</f>
        <v>348.965385007028</v>
      </c>
      <c r="G170" s="278" t="n">
        <f aca="false">F170/B170*100</f>
        <v>13.2088661385244</v>
      </c>
      <c r="H170" s="279" t="n">
        <f aca="false">(G170-C170)/C170</f>
        <v>0.270158571101212</v>
      </c>
    </row>
    <row r="171" customFormat="false" ht="12.75" hidden="false" customHeight="false" outlineLevel="0" collapsed="false">
      <c r="E171" s="194"/>
    </row>
    <row r="172" customFormat="false" ht="12.75" hidden="false" customHeight="false" outlineLevel="0" collapsed="false">
      <c r="B172" s="280"/>
      <c r="C172" s="280"/>
      <c r="E172" s="194"/>
      <c r="F172" s="166"/>
      <c r="G172" s="280"/>
    </row>
    <row r="173" customFormat="false" ht="12.75" hidden="false" customHeight="false" outlineLevel="0" collapsed="false">
      <c r="B173" s="280"/>
      <c r="E173" s="194"/>
    </row>
    <row r="174" customFormat="false" ht="12.75" hidden="false" customHeight="false" outlineLevel="0" collapsed="false">
      <c r="A174" s="1" t="s">
        <v>111</v>
      </c>
      <c r="E174" s="194"/>
    </row>
    <row r="175" customFormat="false" ht="12.75" hidden="false" customHeight="false" outlineLevel="0" collapsed="false">
      <c r="A175" s="12" t="s">
        <v>112</v>
      </c>
      <c r="E175" s="194"/>
    </row>
    <row r="176" customFormat="false" ht="12.75" hidden="false" customHeight="false" outlineLevel="0" collapsed="false">
      <c r="A176" s="12" t="s">
        <v>148</v>
      </c>
      <c r="E176" s="194"/>
    </row>
    <row r="177" customFormat="false" ht="12.75" hidden="false" customHeight="false" outlineLevel="0" collapsed="false">
      <c r="A177" s="193" t="s">
        <v>204</v>
      </c>
      <c r="E177" s="194"/>
    </row>
    <row r="178" customFormat="false" ht="12.75" hidden="false" customHeight="false" outlineLevel="0" collapsed="false">
      <c r="A178" s="193" t="s">
        <v>205</v>
      </c>
      <c r="E178" s="194"/>
    </row>
    <row r="179" customFormat="false" ht="12.75" hidden="false" customHeight="false" outlineLevel="0" collapsed="false">
      <c r="E179" s="194"/>
    </row>
    <row r="180" customFormat="false" ht="12.75" hidden="false" customHeight="false" outlineLevel="0" collapsed="false">
      <c r="B180" s="280"/>
      <c r="E180" s="194"/>
    </row>
    <row r="181" customFormat="false" ht="12.75" hidden="false" customHeight="false" outlineLevel="0" collapsed="false">
      <c r="E181" s="194"/>
    </row>
    <row r="182" customFormat="false" ht="12.75" hidden="false" customHeight="false" outlineLevel="0" collapsed="false">
      <c r="E182" s="194"/>
    </row>
    <row r="184" customFormat="false" ht="12.75" hidden="false" customHeight="false" outlineLevel="0" collapsed="false">
      <c r="E184" s="194"/>
    </row>
    <row r="185" customFormat="false" ht="12.75" hidden="false" customHeight="false" outlineLevel="0" collapsed="false">
      <c r="E185" s="194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  <row r="1048" customFormat="false" ht="12.75" hidden="false" customHeight="false" outlineLevel="0" collapsed="false">
      <c r="E1048" s="194"/>
    </row>
    <row r="1049" customFormat="false" ht="12.75" hidden="false" customHeight="false" outlineLevel="0" collapsed="false">
      <c r="E1049" s="194"/>
    </row>
    <row r="1050" customFormat="false" ht="12.75" hidden="false" customHeight="false" outlineLevel="0" collapsed="false">
      <c r="E1050" s="194"/>
    </row>
    <row r="1051" customFormat="false" ht="12.75" hidden="false" customHeight="false" outlineLevel="0" collapsed="false">
      <c r="E1051" s="194"/>
    </row>
    <row r="1052" customFormat="false" ht="12.75" hidden="false" customHeight="false" outlineLevel="0" collapsed="false">
      <c r="E1052" s="194"/>
    </row>
    <row r="1053" customFormat="false" ht="12.75" hidden="false" customHeight="false" outlineLevel="0" collapsed="false">
      <c r="E1053" s="194"/>
    </row>
    <row r="1054" customFormat="false" ht="12.75" hidden="false" customHeight="false" outlineLevel="0" collapsed="false">
      <c r="E1054" s="194"/>
    </row>
    <row r="1055" customFormat="false" ht="12.75" hidden="false" customHeight="false" outlineLevel="0" collapsed="false">
      <c r="E1055" s="194"/>
    </row>
    <row r="1056" customFormat="false" ht="12.75" hidden="false" customHeight="false" outlineLevel="0" collapsed="false">
      <c r="E1056" s="194"/>
    </row>
    <row r="1057" customFormat="false" ht="12.75" hidden="false" customHeight="false" outlineLevel="0" collapsed="false">
      <c r="E1057" s="194"/>
    </row>
    <row r="1058" customFormat="false" ht="12.75" hidden="false" customHeight="false" outlineLevel="0" collapsed="false">
      <c r="E1058" s="194"/>
    </row>
    <row r="1059" customFormat="false" ht="12.75" hidden="false" customHeight="false" outlineLevel="0" collapsed="false">
      <c r="E1059" s="194"/>
    </row>
    <row r="1060" customFormat="false" ht="12.75" hidden="false" customHeight="false" outlineLevel="0" collapsed="false">
      <c r="E1060" s="194"/>
    </row>
    <row r="1061" customFormat="false" ht="12.75" hidden="false" customHeight="false" outlineLevel="0" collapsed="false">
      <c r="E1061" s="194"/>
    </row>
    <row r="1062" customFormat="false" ht="12.75" hidden="false" customHeight="false" outlineLevel="0" collapsed="false">
      <c r="E1062" s="194"/>
    </row>
    <row r="1063" customFormat="false" ht="12.75" hidden="false" customHeight="false" outlineLevel="0" collapsed="false">
      <c r="E1063" s="194"/>
    </row>
    <row r="1064" customFormat="false" ht="12.75" hidden="false" customHeight="false" outlineLevel="0" collapsed="false">
      <c r="E1064" s="194"/>
    </row>
    <row r="1065" customFormat="false" ht="12.75" hidden="false" customHeight="false" outlineLevel="0" collapsed="false">
      <c r="E1065" s="194"/>
    </row>
    <row r="1066" customFormat="false" ht="12.75" hidden="false" customHeight="false" outlineLevel="0" collapsed="false">
      <c r="E1066" s="194"/>
    </row>
    <row r="1067" customFormat="false" ht="12.75" hidden="false" customHeight="false" outlineLevel="0" collapsed="false">
      <c r="E1067" s="194"/>
    </row>
    <row r="1068" customFormat="false" ht="12.75" hidden="false" customHeight="false" outlineLevel="0" collapsed="false">
      <c r="E1068" s="194"/>
    </row>
    <row r="1069" customFormat="false" ht="12.75" hidden="false" customHeight="false" outlineLevel="0" collapsed="false">
      <c r="E1069" s="194"/>
    </row>
    <row r="1070" customFormat="false" ht="12.75" hidden="false" customHeight="false" outlineLevel="0" collapsed="false">
      <c r="E1070" s="194"/>
    </row>
    <row r="1071" customFormat="false" ht="12.75" hidden="false" customHeight="false" outlineLevel="0" collapsed="false">
      <c r="E1071" s="194"/>
    </row>
    <row r="1072" customFormat="false" ht="12.75" hidden="false" customHeight="false" outlineLevel="0" collapsed="false">
      <c r="E1072" s="194"/>
    </row>
    <row r="1073" customFormat="false" ht="12.75" hidden="false" customHeight="false" outlineLevel="0" collapsed="false">
      <c r="E1073" s="194"/>
    </row>
    <row r="1074" customFormat="false" ht="12.75" hidden="false" customHeight="false" outlineLevel="0" collapsed="false">
      <c r="E1074" s="194"/>
    </row>
    <row r="1075" customFormat="false" ht="12.75" hidden="false" customHeight="false" outlineLevel="0" collapsed="false">
      <c r="E1075" s="194"/>
    </row>
    <row r="1076" customFormat="false" ht="12.75" hidden="false" customHeight="false" outlineLevel="0" collapsed="false">
      <c r="E1076" s="194"/>
    </row>
    <row r="1077" customFormat="false" ht="12.75" hidden="false" customHeight="false" outlineLevel="0" collapsed="false">
      <c r="E1077" s="194"/>
    </row>
    <row r="1078" customFormat="false" ht="12.75" hidden="false" customHeight="false" outlineLevel="0" collapsed="false">
      <c r="E1078" s="194"/>
    </row>
    <row r="1079" customFormat="false" ht="12.75" hidden="false" customHeight="false" outlineLevel="0" collapsed="false">
      <c r="E1079" s="194"/>
    </row>
    <row r="1080" customFormat="false" ht="12.75" hidden="false" customHeight="false" outlineLevel="0" collapsed="false">
      <c r="E1080" s="194"/>
    </row>
    <row r="1081" customFormat="false" ht="12.75" hidden="false" customHeight="false" outlineLevel="0" collapsed="false">
      <c r="E1081" s="194"/>
    </row>
    <row r="1082" customFormat="false" ht="12.75" hidden="false" customHeight="false" outlineLevel="0" collapsed="false">
      <c r="E1082" s="194"/>
    </row>
    <row r="1083" customFormat="false" ht="12.75" hidden="false" customHeight="false" outlineLevel="0" collapsed="false">
      <c r="E1083" s="194"/>
    </row>
    <row r="1084" customFormat="false" ht="12.75" hidden="false" customHeight="false" outlineLevel="0" collapsed="false">
      <c r="E1084" s="194"/>
    </row>
    <row r="1085" customFormat="false" ht="12.75" hidden="false" customHeight="false" outlineLevel="0" collapsed="false">
      <c r="E1085" s="194"/>
    </row>
    <row r="1086" customFormat="false" ht="12.75" hidden="false" customHeight="false" outlineLevel="0" collapsed="false">
      <c r="E1086" s="194"/>
    </row>
    <row r="1087" customFormat="false" ht="12.75" hidden="false" customHeight="false" outlineLevel="0" collapsed="false">
      <c r="E1087" s="194"/>
    </row>
    <row r="1088" customFormat="false" ht="12.75" hidden="false" customHeight="false" outlineLevel="0" collapsed="false">
      <c r="E1088" s="194"/>
    </row>
    <row r="1089" customFormat="false" ht="12.75" hidden="false" customHeight="false" outlineLevel="0" collapsed="false">
      <c r="E1089" s="194"/>
    </row>
    <row r="1090" customFormat="false" ht="12.75" hidden="false" customHeight="false" outlineLevel="0" collapsed="false">
      <c r="E1090" s="194"/>
    </row>
    <row r="1091" customFormat="false" ht="12.75" hidden="false" customHeight="false" outlineLevel="0" collapsed="false">
      <c r="E1091" s="194"/>
    </row>
    <row r="1092" customFormat="false" ht="12.75" hidden="false" customHeight="false" outlineLevel="0" collapsed="false">
      <c r="E1092" s="194"/>
    </row>
    <row r="1093" customFormat="false" ht="12.75" hidden="false" customHeight="false" outlineLevel="0" collapsed="false">
      <c r="E1093" s="194"/>
    </row>
    <row r="1094" customFormat="false" ht="12.75" hidden="false" customHeight="false" outlineLevel="0" collapsed="false">
      <c r="E1094" s="194"/>
    </row>
    <row r="1095" customFormat="false" ht="12.75" hidden="false" customHeight="false" outlineLevel="0" collapsed="false">
      <c r="E1095" s="194"/>
    </row>
    <row r="1096" customFormat="false" ht="12.75" hidden="false" customHeight="false" outlineLevel="0" collapsed="false">
      <c r="E1096" s="194"/>
    </row>
    <row r="1097" customFormat="false" ht="12.75" hidden="false" customHeight="false" outlineLevel="0" collapsed="false">
      <c r="E1097" s="194"/>
    </row>
    <row r="1098" customFormat="false" ht="12.75" hidden="false" customHeight="false" outlineLevel="0" collapsed="false">
      <c r="E1098" s="194"/>
    </row>
    <row r="1099" customFormat="false" ht="12.75" hidden="false" customHeight="false" outlineLevel="0" collapsed="false">
      <c r="E1099" s="194"/>
    </row>
    <row r="1100" customFormat="false" ht="12.75" hidden="false" customHeight="false" outlineLevel="0" collapsed="false">
      <c r="E1100" s="194"/>
    </row>
    <row r="1101" customFormat="false" ht="12.75" hidden="false" customHeight="false" outlineLevel="0" collapsed="false">
      <c r="E1101" s="194"/>
    </row>
    <row r="1102" customFormat="false" ht="12.75" hidden="false" customHeight="false" outlineLevel="0" collapsed="false">
      <c r="E1102" s="194"/>
    </row>
    <row r="1103" customFormat="false" ht="12.75" hidden="false" customHeight="false" outlineLevel="0" collapsed="false">
      <c r="E1103" s="194"/>
    </row>
    <row r="1104" customFormat="false" ht="12.75" hidden="false" customHeight="false" outlineLevel="0" collapsed="false">
      <c r="E1104" s="194"/>
    </row>
    <row r="1105" customFormat="false" ht="12.75" hidden="false" customHeight="false" outlineLevel="0" collapsed="false">
      <c r="E1105" s="194"/>
    </row>
    <row r="1106" customFormat="false" ht="12.75" hidden="false" customHeight="false" outlineLevel="0" collapsed="false">
      <c r="E1106" s="194"/>
    </row>
    <row r="1107" customFormat="false" ht="12.75" hidden="false" customHeight="false" outlineLevel="0" collapsed="false">
      <c r="E1107" s="194"/>
    </row>
    <row r="1108" customFormat="false" ht="12.75" hidden="false" customHeight="false" outlineLevel="0" collapsed="false">
      <c r="E1108" s="194"/>
    </row>
    <row r="1109" customFormat="false" ht="12.75" hidden="false" customHeight="false" outlineLevel="0" collapsed="false">
      <c r="E1109" s="194"/>
    </row>
    <row r="1110" customFormat="false" ht="12.75" hidden="false" customHeight="false" outlineLevel="0" collapsed="false">
      <c r="E1110" s="194"/>
    </row>
    <row r="1111" customFormat="false" ht="12.75" hidden="false" customHeight="false" outlineLevel="0" collapsed="false">
      <c r="E1111" s="194"/>
    </row>
    <row r="1112" customFormat="false" ht="12.75" hidden="false" customHeight="false" outlineLevel="0" collapsed="false">
      <c r="E1112" s="194"/>
    </row>
    <row r="1113" customFormat="false" ht="12.75" hidden="false" customHeight="false" outlineLevel="0" collapsed="false">
      <c r="E1113" s="194"/>
    </row>
    <row r="1114" customFormat="false" ht="12.75" hidden="false" customHeight="false" outlineLevel="0" collapsed="false">
      <c r="E1114" s="194"/>
    </row>
    <row r="1115" customFormat="false" ht="12.75" hidden="false" customHeight="false" outlineLevel="0" collapsed="false">
      <c r="E1115" s="194"/>
    </row>
    <row r="1116" customFormat="false" ht="12.75" hidden="false" customHeight="false" outlineLevel="0" collapsed="false">
      <c r="E1116" s="194"/>
    </row>
    <row r="1117" customFormat="false" ht="12.75" hidden="false" customHeight="false" outlineLevel="0" collapsed="false">
      <c r="E1117" s="194"/>
    </row>
    <row r="1118" customFormat="false" ht="12.75" hidden="false" customHeight="false" outlineLevel="0" collapsed="false">
      <c r="E1118" s="194"/>
    </row>
    <row r="1119" customFormat="false" ht="12.75" hidden="false" customHeight="false" outlineLevel="0" collapsed="false">
      <c r="E1119" s="194"/>
    </row>
    <row r="1120" customFormat="false" ht="12.75" hidden="false" customHeight="false" outlineLevel="0" collapsed="false">
      <c r="E1120" s="194"/>
    </row>
    <row r="1121" customFormat="false" ht="12.75" hidden="false" customHeight="false" outlineLevel="0" collapsed="false">
      <c r="E1121" s="194"/>
    </row>
    <row r="1122" customFormat="false" ht="12.75" hidden="false" customHeight="false" outlineLevel="0" collapsed="false">
      <c r="E1122" s="194"/>
    </row>
    <row r="1123" customFormat="false" ht="12.75" hidden="false" customHeight="false" outlineLevel="0" collapsed="false">
      <c r="E1123" s="194"/>
    </row>
    <row r="1124" customFormat="false" ht="12.75" hidden="false" customHeight="false" outlineLevel="0" collapsed="false">
      <c r="E1124" s="194"/>
    </row>
    <row r="1125" customFormat="false" ht="12.75" hidden="false" customHeight="false" outlineLevel="0" collapsed="false">
      <c r="E1125" s="194"/>
    </row>
    <row r="1126" customFormat="false" ht="12.75" hidden="false" customHeight="false" outlineLevel="0" collapsed="false">
      <c r="E1126" s="194"/>
    </row>
    <row r="1127" customFormat="false" ht="12.75" hidden="false" customHeight="false" outlineLevel="0" collapsed="false">
      <c r="E1127" s="194"/>
    </row>
    <row r="1128" customFormat="false" ht="12.75" hidden="false" customHeight="false" outlineLevel="0" collapsed="false">
      <c r="E1128" s="194"/>
    </row>
    <row r="1129" customFormat="false" ht="12.75" hidden="false" customHeight="false" outlineLevel="0" collapsed="false">
      <c r="E1129" s="194"/>
    </row>
    <row r="1130" customFormat="false" ht="12.75" hidden="false" customHeight="false" outlineLevel="0" collapsed="false">
      <c r="E1130" s="194"/>
    </row>
    <row r="1131" customFormat="false" ht="12.75" hidden="false" customHeight="false" outlineLevel="0" collapsed="false">
      <c r="E1131" s="194"/>
    </row>
    <row r="1132" customFormat="false" ht="12.75" hidden="false" customHeight="false" outlineLevel="0" collapsed="false">
      <c r="E1132" s="194"/>
    </row>
    <row r="1133" customFormat="false" ht="12.75" hidden="false" customHeight="false" outlineLevel="0" collapsed="false">
      <c r="E1133" s="194"/>
    </row>
    <row r="1134" customFormat="false" ht="12.75" hidden="false" customHeight="false" outlineLevel="0" collapsed="false">
      <c r="E1134" s="194"/>
    </row>
    <row r="1135" customFormat="false" ht="12.75" hidden="false" customHeight="false" outlineLevel="0" collapsed="false">
      <c r="E1135" s="194"/>
    </row>
    <row r="1136" customFormat="false" ht="12.75" hidden="false" customHeight="false" outlineLevel="0" collapsed="false">
      <c r="E1136" s="194"/>
    </row>
    <row r="1137" customFormat="false" ht="12.75" hidden="false" customHeight="false" outlineLevel="0" collapsed="false">
      <c r="E1137" s="194"/>
    </row>
    <row r="1138" customFormat="false" ht="12.75" hidden="false" customHeight="false" outlineLevel="0" collapsed="false">
      <c r="E1138" s="194"/>
    </row>
    <row r="1139" customFormat="false" ht="12.75" hidden="false" customHeight="false" outlineLevel="0" collapsed="false">
      <c r="E1139" s="194"/>
    </row>
    <row r="1140" customFormat="false" ht="12.75" hidden="false" customHeight="false" outlineLevel="0" collapsed="false">
      <c r="E1140" s="194"/>
    </row>
    <row r="1141" customFormat="false" ht="12.75" hidden="false" customHeight="false" outlineLevel="0" collapsed="false">
      <c r="E1141" s="194"/>
    </row>
    <row r="1142" customFormat="false" ht="12.75" hidden="false" customHeight="false" outlineLevel="0" collapsed="false">
      <c r="E1142" s="194"/>
    </row>
    <row r="1143" customFormat="false" ht="12.75" hidden="false" customHeight="false" outlineLevel="0" collapsed="false">
      <c r="E1143" s="194"/>
    </row>
    <row r="1144" customFormat="false" ht="12.75" hidden="false" customHeight="false" outlineLevel="0" collapsed="false">
      <c r="E1144" s="194"/>
    </row>
    <row r="1145" customFormat="false" ht="12.75" hidden="false" customHeight="false" outlineLevel="0" collapsed="false">
      <c r="E1145" s="194"/>
    </row>
    <row r="1146" customFormat="false" ht="12.75" hidden="false" customHeight="false" outlineLevel="0" collapsed="false">
      <c r="E1146" s="194"/>
    </row>
    <row r="1147" customFormat="false" ht="12.75" hidden="false" customHeight="false" outlineLevel="0" collapsed="false">
      <c r="E1147" s="194"/>
    </row>
    <row r="1148" customFormat="false" ht="12.75" hidden="false" customHeight="false" outlineLevel="0" collapsed="false">
      <c r="E1148" s="194"/>
    </row>
    <row r="1149" customFormat="false" ht="12.75" hidden="false" customHeight="false" outlineLevel="0" collapsed="false">
      <c r="E1149" s="194"/>
    </row>
    <row r="1150" customFormat="false" ht="12.75" hidden="false" customHeight="false" outlineLevel="0" collapsed="false">
      <c r="E1150" s="194"/>
    </row>
    <row r="1151" customFormat="false" ht="12.75" hidden="false" customHeight="false" outlineLevel="0" collapsed="false">
      <c r="E1151" s="194"/>
    </row>
    <row r="1152" customFormat="false" ht="12.75" hidden="false" customHeight="false" outlineLevel="0" collapsed="false">
      <c r="E1152" s="194"/>
    </row>
    <row r="1153" customFormat="false" ht="12.75" hidden="false" customHeight="false" outlineLevel="0" collapsed="false">
      <c r="E1153" s="194"/>
    </row>
    <row r="1154" customFormat="false" ht="12.75" hidden="false" customHeight="false" outlineLevel="0" collapsed="false">
      <c r="E1154" s="194"/>
    </row>
    <row r="1155" customFormat="false" ht="12.75" hidden="false" customHeight="false" outlineLevel="0" collapsed="false">
      <c r="E1155" s="194"/>
    </row>
    <row r="1156" customFormat="false" ht="12.75" hidden="false" customHeight="false" outlineLevel="0" collapsed="false">
      <c r="E1156" s="194"/>
    </row>
    <row r="1157" customFormat="false" ht="12.75" hidden="false" customHeight="false" outlineLevel="0" collapsed="false">
      <c r="E1157" s="194"/>
    </row>
    <row r="1158" customFormat="false" ht="12.75" hidden="false" customHeight="false" outlineLevel="0" collapsed="false">
      <c r="E1158" s="194"/>
    </row>
    <row r="1159" customFormat="false" ht="12.75" hidden="false" customHeight="false" outlineLevel="0" collapsed="false">
      <c r="E1159" s="194"/>
    </row>
    <row r="1160" customFormat="false" ht="12.75" hidden="false" customHeight="false" outlineLevel="0" collapsed="false">
      <c r="E1160" s="194"/>
    </row>
    <row r="1161" customFormat="false" ht="12.75" hidden="false" customHeight="false" outlineLevel="0" collapsed="false">
      <c r="E1161" s="194"/>
    </row>
    <row r="1162" customFormat="false" ht="12.75" hidden="false" customHeight="false" outlineLevel="0" collapsed="false">
      <c r="E1162" s="194"/>
    </row>
    <row r="1163" customFormat="false" ht="12.75" hidden="false" customHeight="false" outlineLevel="0" collapsed="false">
      <c r="E1163" s="194"/>
    </row>
    <row r="1164" customFormat="false" ht="12.75" hidden="false" customHeight="false" outlineLevel="0" collapsed="false">
      <c r="E1164" s="194"/>
    </row>
    <row r="1165" customFormat="false" ht="12.75" hidden="false" customHeight="false" outlineLevel="0" collapsed="false">
      <c r="E1165" s="194"/>
    </row>
    <row r="1166" customFormat="false" ht="12.75" hidden="false" customHeight="false" outlineLevel="0" collapsed="false">
      <c r="E1166" s="194"/>
    </row>
    <row r="1167" customFormat="false" ht="12.75" hidden="false" customHeight="false" outlineLevel="0" collapsed="false">
      <c r="E1167" s="194"/>
    </row>
    <row r="1168" customFormat="false" ht="12.75" hidden="false" customHeight="false" outlineLevel="0" collapsed="false">
      <c r="E1168" s="194"/>
    </row>
    <row r="1169" customFormat="false" ht="12.75" hidden="false" customHeight="false" outlineLevel="0" collapsed="false">
      <c r="E1169" s="194"/>
    </row>
    <row r="1170" customFormat="false" ht="12.75" hidden="false" customHeight="false" outlineLevel="0" collapsed="false">
      <c r="E1170" s="194"/>
    </row>
    <row r="1171" customFormat="false" ht="12.75" hidden="false" customHeight="false" outlineLevel="0" collapsed="false">
      <c r="E1171" s="194"/>
    </row>
    <row r="1172" customFormat="false" ht="12.75" hidden="false" customHeight="false" outlineLevel="0" collapsed="false">
      <c r="E1172" s="194"/>
    </row>
    <row r="1173" customFormat="false" ht="12.75" hidden="false" customHeight="false" outlineLevel="0" collapsed="false">
      <c r="E1173" s="194"/>
    </row>
    <row r="1174" customFormat="false" ht="12.75" hidden="false" customHeight="false" outlineLevel="0" collapsed="false">
      <c r="E1174" s="194"/>
    </row>
    <row r="1175" customFormat="false" ht="12.75" hidden="false" customHeight="false" outlineLevel="0" collapsed="false">
      <c r="E1175" s="194"/>
    </row>
    <row r="1176" customFormat="false" ht="12.75" hidden="false" customHeight="false" outlineLevel="0" collapsed="false">
      <c r="E1176" s="194"/>
    </row>
    <row r="1177" customFormat="false" ht="12.75" hidden="false" customHeight="false" outlineLevel="0" collapsed="false">
      <c r="E1177" s="194"/>
    </row>
    <row r="1178" customFormat="false" ht="12.75" hidden="false" customHeight="false" outlineLevel="0" collapsed="false">
      <c r="E1178" s="194"/>
    </row>
  </sheetData>
  <mergeCells count="10">
    <mergeCell ref="A2:H2"/>
    <mergeCell ref="A3:H3"/>
    <mergeCell ref="G4:H4"/>
    <mergeCell ref="G5:H5"/>
    <mergeCell ref="G6:H6"/>
    <mergeCell ref="G8:H8"/>
    <mergeCell ref="A84:H84"/>
    <mergeCell ref="A85:H85"/>
    <mergeCell ref="A132:H132"/>
    <mergeCell ref="A133:H133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62"/>
  <sheetViews>
    <sheetView showFormulas="false" showGridLines="true" showRowColHeaders="true" showZeros="true" rightToLeft="false" tabSelected="false" showOutlineSymbols="true" defaultGridColor="true" view="normal" topLeftCell="B45" colorId="64" zoomScale="100" zoomScaleNormal="100" zoomScalePageLayoutView="100" workbookViewId="0">
      <selection pane="topLeft" activeCell="E62" activeCellId="0" sqref="E62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257" min="9" style="1" width="2.13"/>
  </cols>
  <sheetData>
    <row r="1" customFormat="false" ht="12.75" hidden="false" customHeight="false" outlineLevel="0" collapsed="false">
      <c r="H1" s="2" t="s">
        <v>121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1" hidden="false" customHeight="false" outlineLevel="0" collapsed="false">
      <c r="A3" s="3" t="s">
        <v>206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5" t="s">
        <v>3</v>
      </c>
      <c r="H4" s="5"/>
    </row>
    <row r="5" customFormat="false" ht="12.75" hidden="false" customHeight="false" outlineLevel="0" collapsed="false">
      <c r="A5" s="145" t="s">
        <v>207</v>
      </c>
      <c r="B5" s="7"/>
      <c r="C5" s="8"/>
      <c r="D5" s="9"/>
      <c r="G5" s="10" t="s">
        <v>5</v>
      </c>
      <c r="H5" s="10"/>
    </row>
    <row r="6" customFormat="false" ht="12.75" hidden="false" customHeight="false" outlineLevel="0" collapsed="false">
      <c r="A6" s="11"/>
      <c r="B6" s="12"/>
      <c r="C6" s="13"/>
      <c r="E6" s="14"/>
      <c r="F6" s="14"/>
      <c r="G6" s="15" t="s">
        <v>6</v>
      </c>
      <c r="H6" s="15"/>
    </row>
    <row r="7" customFormat="false" ht="12.75" hidden="false" customHeight="false" outlineLevel="0" collapsed="false">
      <c r="A7" s="11" t="s">
        <v>208</v>
      </c>
      <c r="B7" s="12"/>
      <c r="C7" s="281" t="n">
        <f aca="false">G51-C51</f>
        <v>2.80847698591039</v>
      </c>
      <c r="E7" s="17"/>
      <c r="F7" s="17"/>
      <c r="G7" s="18"/>
      <c r="H7" s="19"/>
    </row>
    <row r="8" customFormat="false" ht="12.75" hidden="false" customHeight="false" outlineLevel="0" collapsed="false">
      <c r="A8" s="11"/>
      <c r="B8" s="12"/>
      <c r="C8" s="20"/>
      <c r="E8" s="17"/>
      <c r="F8" s="17"/>
      <c r="G8" s="21" t="n">
        <f aca="false">'Street Lighting'!G62-'Street Lighting'!C62</f>
        <v>2.75159775101589</v>
      </c>
      <c r="H8" s="21"/>
    </row>
    <row r="9" customFormat="false" ht="13.5" hidden="false" customHeight="false" outlineLevel="0" collapsed="false">
      <c r="A9" s="22" t="s">
        <v>209</v>
      </c>
      <c r="B9" s="23"/>
      <c r="C9" s="24" t="n">
        <f aca="false">E51</f>
        <v>2.65989361871766</v>
      </c>
      <c r="E9" s="17"/>
      <c r="F9" s="17"/>
      <c r="G9" s="230"/>
      <c r="H9" s="26"/>
    </row>
    <row r="10" customFormat="false" ht="13.5" hidden="false" customHeight="false" outlineLevel="0" collapsed="false">
      <c r="A10" s="154"/>
      <c r="B10" s="12"/>
      <c r="C10" s="199"/>
      <c r="D10" s="200"/>
      <c r="E10" s="200"/>
      <c r="F10" s="200"/>
      <c r="G10" s="200"/>
      <c r="H10" s="200"/>
    </row>
    <row r="11" customFormat="false" ht="64.5" hidden="false" customHeight="false" outlineLevel="0" collapsed="false">
      <c r="A11" s="45" t="s">
        <v>24</v>
      </c>
      <c r="B11" s="46" t="s">
        <v>25</v>
      </c>
      <c r="C11" s="46" t="s">
        <v>161</v>
      </c>
      <c r="D11" s="46" t="s">
        <v>27</v>
      </c>
      <c r="E11" s="46" t="s">
        <v>210</v>
      </c>
      <c r="F11" s="46" t="s">
        <v>29</v>
      </c>
      <c r="G11" s="46" t="s">
        <v>30</v>
      </c>
      <c r="H11" s="47" t="s">
        <v>31</v>
      </c>
    </row>
    <row r="12" customFormat="false" ht="12.75" hidden="false" customHeight="false" outlineLevel="0" collapsed="false">
      <c r="A12" s="52"/>
      <c r="B12" s="201"/>
      <c r="C12" s="201"/>
      <c r="D12" s="201"/>
      <c r="E12" s="201"/>
      <c r="F12" s="201"/>
      <c r="G12" s="201"/>
      <c r="H12" s="52"/>
    </row>
    <row r="13" customFormat="false" ht="12.75" hidden="false" customHeight="false" outlineLevel="0" collapsed="false">
      <c r="A13" s="108" t="s">
        <v>211</v>
      </c>
      <c r="B13" s="202"/>
      <c r="C13" s="203"/>
      <c r="D13" s="141"/>
      <c r="E13" s="142"/>
      <c r="F13" s="142"/>
      <c r="G13" s="203"/>
      <c r="H13" s="52"/>
    </row>
    <row r="14" customFormat="false" ht="12.75" hidden="false" customHeight="false" outlineLevel="0" collapsed="false">
      <c r="A14" s="204" t="s">
        <v>163</v>
      </c>
      <c r="B14" s="64"/>
      <c r="C14" s="88" t="n">
        <f aca="false">D14/B18*100</f>
        <v>14.7023436694542</v>
      </c>
      <c r="D14" s="123" t="n">
        <v>3.42789154045</v>
      </c>
      <c r="E14" s="67" t="n">
        <f aca="false">F14-D14</f>
        <v>0</v>
      </c>
      <c r="F14" s="67" t="n">
        <f aca="false">D14</f>
        <v>3.42789154045</v>
      </c>
      <c r="G14" s="88" t="n">
        <f aca="false">F14/B18*100</f>
        <v>14.7023436694542</v>
      </c>
      <c r="H14" s="53"/>
    </row>
    <row r="15" customFormat="false" ht="12.75" hidden="false" customHeight="false" outlineLevel="0" collapsed="false">
      <c r="A15" s="204"/>
      <c r="B15" s="64"/>
      <c r="C15" s="88"/>
      <c r="D15" s="123"/>
      <c r="E15" s="67"/>
      <c r="F15" s="67"/>
      <c r="G15" s="282"/>
      <c r="H15" s="53"/>
    </row>
    <row r="16" customFormat="false" ht="12.75" hidden="false" customHeight="false" outlineLevel="0" collapsed="false">
      <c r="A16" s="4" t="s">
        <v>37</v>
      </c>
      <c r="B16" s="64" t="n">
        <v>23.3152728402877</v>
      </c>
      <c r="C16" s="88" t="n">
        <v>6.5</v>
      </c>
      <c r="D16" s="123" t="n">
        <f aca="false">C16*B16/100</f>
        <v>1.5154927346187</v>
      </c>
      <c r="E16" s="67" t="n">
        <f aca="false">Residential!$N$58*B16</f>
        <v>0.654804071921694</v>
      </c>
      <c r="F16" s="67" t="n">
        <f aca="false">D16+E16</f>
        <v>2.17029680654039</v>
      </c>
      <c r="G16" s="88" t="n">
        <f aca="false">F16/B16*100</f>
        <v>9.30847698591039</v>
      </c>
      <c r="H16" s="73"/>
    </row>
    <row r="17" customFormat="false" ht="12.75" hidden="false" customHeight="false" outlineLevel="0" collapsed="false">
      <c r="A17" s="60"/>
      <c r="B17" s="64"/>
      <c r="C17" s="88"/>
      <c r="D17" s="123"/>
      <c r="E17" s="67"/>
      <c r="F17" s="67"/>
      <c r="G17" s="88"/>
      <c r="H17" s="73"/>
    </row>
    <row r="18" customFormat="false" ht="13.5" hidden="false" customHeight="false" outlineLevel="0" collapsed="false">
      <c r="A18" s="131"/>
      <c r="B18" s="207" t="n">
        <f aca="false">B16</f>
        <v>23.3152728402877</v>
      </c>
      <c r="C18" s="283" t="n">
        <f aca="false">D18/B18*100</f>
        <v>21.2023436694542</v>
      </c>
      <c r="D18" s="208" t="n">
        <f aca="false">D14+D16</f>
        <v>4.9433842750687</v>
      </c>
      <c r="E18" s="208" t="n">
        <f aca="false">E16</f>
        <v>0.654804071921694</v>
      </c>
      <c r="F18" s="208" t="n">
        <f aca="false">SUM(F14:F16)</f>
        <v>5.59818834699039</v>
      </c>
      <c r="G18" s="283" t="n">
        <f aca="false">F18/B18*100</f>
        <v>24.0108206553646</v>
      </c>
      <c r="H18" s="98" t="n">
        <f aca="false">(G18-C18)/C18</f>
        <v>0.132460685936174</v>
      </c>
    </row>
    <row r="19" customFormat="false" ht="13.5" hidden="false" customHeight="false" outlineLevel="0" collapsed="false">
      <c r="A19" s="60"/>
      <c r="B19" s="239"/>
      <c r="C19" s="227"/>
      <c r="D19" s="130"/>
      <c r="E19" s="130"/>
      <c r="F19" s="130"/>
      <c r="G19" s="227"/>
      <c r="H19" s="104"/>
    </row>
    <row r="20" customFormat="false" ht="12.75" hidden="false" customHeight="false" outlineLevel="0" collapsed="false">
      <c r="A20" s="108" t="s">
        <v>212</v>
      </c>
      <c r="B20" s="214"/>
      <c r="C20" s="227"/>
      <c r="D20" s="130"/>
      <c r="E20" s="130"/>
      <c r="F20" s="130"/>
      <c r="G20" s="227"/>
      <c r="H20" s="130"/>
    </row>
    <row r="21" customFormat="false" ht="12.75" hidden="false" customHeight="false" outlineLevel="0" collapsed="false">
      <c r="A21" s="204" t="s">
        <v>163</v>
      </c>
      <c r="B21" s="214"/>
      <c r="C21" s="69" t="n">
        <f aca="false">D21/B25*100</f>
        <v>2.93999552683689</v>
      </c>
      <c r="D21" s="67" t="n">
        <v>1.54362198185</v>
      </c>
      <c r="E21" s="67" t="n">
        <f aca="false">F21-D21</f>
        <v>0</v>
      </c>
      <c r="F21" s="67" t="n">
        <f aca="false">D21</f>
        <v>1.54362198185</v>
      </c>
      <c r="G21" s="88" t="n">
        <f aca="false">F21/B25*100</f>
        <v>2.93999552683689</v>
      </c>
      <c r="H21" s="53"/>
    </row>
    <row r="22" customFormat="false" ht="12.75" hidden="false" customHeight="false" outlineLevel="0" collapsed="false">
      <c r="A22" s="204"/>
      <c r="B22" s="214"/>
      <c r="C22" s="227"/>
      <c r="D22" s="130"/>
      <c r="E22" s="67"/>
      <c r="F22" s="67"/>
      <c r="G22" s="282"/>
      <c r="H22" s="53"/>
    </row>
    <row r="23" customFormat="false" ht="12.75" hidden="false" customHeight="false" outlineLevel="0" collapsed="false">
      <c r="A23" s="4" t="s">
        <v>37</v>
      </c>
      <c r="B23" s="114" t="n">
        <v>52.5042289268639</v>
      </c>
      <c r="C23" s="69" t="n">
        <v>6.5</v>
      </c>
      <c r="D23" s="67" t="n">
        <f aca="false">C23*B23/100</f>
        <v>3.41277488024615</v>
      </c>
      <c r="E23" s="67" t="n">
        <f aca="false">Residential!$N$58*B23</f>
        <v>1.47456918604068</v>
      </c>
      <c r="F23" s="67" t="n">
        <f aca="false">D23+E23</f>
        <v>4.88734406628683</v>
      </c>
      <c r="G23" s="88" t="n">
        <f aca="false">F23/B23*100</f>
        <v>9.30847698591039</v>
      </c>
      <c r="H23" s="73"/>
    </row>
    <row r="24" customFormat="false" ht="12.75" hidden="false" customHeight="false" outlineLevel="0" collapsed="false">
      <c r="A24" s="60"/>
      <c r="B24" s="114"/>
      <c r="C24" s="284"/>
      <c r="D24" s="218"/>
      <c r="E24" s="67"/>
      <c r="F24" s="67"/>
      <c r="G24" s="88"/>
      <c r="H24" s="73"/>
    </row>
    <row r="25" customFormat="false" ht="13.5" hidden="false" customHeight="false" outlineLevel="0" collapsed="false">
      <c r="A25" s="131" t="s">
        <v>213</v>
      </c>
      <c r="B25" s="207" t="n">
        <f aca="false">B23</f>
        <v>52.5042289268639</v>
      </c>
      <c r="C25" s="283" t="n">
        <f aca="false">D25/B25*100</f>
        <v>9.43999552683689</v>
      </c>
      <c r="D25" s="208" t="n">
        <f aca="false">D21+D23</f>
        <v>4.95639686209615</v>
      </c>
      <c r="E25" s="208" t="n">
        <f aca="false">E23</f>
        <v>1.47456918604068</v>
      </c>
      <c r="F25" s="208" t="n">
        <f aca="false">SUM(F21:F23)</f>
        <v>6.43096604813683</v>
      </c>
      <c r="G25" s="283" t="n">
        <f aca="false">F25/B25*100</f>
        <v>12.2484725127473</v>
      </c>
      <c r="H25" s="98" t="n">
        <f aca="false">(G25-C25)/C25</f>
        <v>0.297508296262026</v>
      </c>
    </row>
    <row r="26" customFormat="false" ht="13.5" hidden="false" customHeight="false" outlineLevel="0" collapsed="false">
      <c r="A26" s="253"/>
      <c r="B26" s="114"/>
      <c r="C26" s="284"/>
      <c r="D26" s="218"/>
      <c r="E26" s="218"/>
      <c r="F26" s="218"/>
      <c r="G26" s="284"/>
      <c r="H26" s="109"/>
    </row>
    <row r="27" customFormat="false" ht="12.75" hidden="false" customHeight="false" outlineLevel="0" collapsed="false">
      <c r="A27" s="253"/>
      <c r="B27" s="114"/>
      <c r="C27" s="284"/>
      <c r="D27" s="218"/>
      <c r="E27" s="218"/>
      <c r="F27" s="218"/>
      <c r="G27" s="284"/>
      <c r="H27" s="109"/>
    </row>
    <row r="28" customFormat="false" ht="12.75" hidden="false" customHeight="false" outlineLevel="0" collapsed="false">
      <c r="A28" s="108" t="s">
        <v>214</v>
      </c>
      <c r="B28" s="114"/>
      <c r="C28" s="284"/>
      <c r="D28" s="218"/>
      <c r="E28" s="218"/>
      <c r="F28" s="218"/>
      <c r="G28" s="284"/>
      <c r="H28" s="109"/>
    </row>
    <row r="29" customFormat="false" ht="12.75" hidden="false" customHeight="false" outlineLevel="0" collapsed="false">
      <c r="A29" s="204" t="s">
        <v>163</v>
      </c>
      <c r="B29" s="114"/>
      <c r="C29" s="236" t="n">
        <f aca="false">D29/B33*100</f>
        <v>0.000159411424220683</v>
      </c>
      <c r="D29" s="67" t="n">
        <v>6.33732147802964E-006</v>
      </c>
      <c r="E29" s="67" t="n">
        <f aca="false">F29-D29</f>
        <v>0</v>
      </c>
      <c r="F29" s="67" t="n">
        <f aca="false">D29</f>
        <v>6.33732147802964E-006</v>
      </c>
      <c r="G29" s="88" t="n">
        <f aca="false">F29/B33*100</f>
        <v>0.000159411424220683</v>
      </c>
      <c r="H29" s="53"/>
    </row>
    <row r="30" customFormat="false" ht="12.75" hidden="false" customHeight="false" outlineLevel="0" collapsed="false">
      <c r="A30" s="204"/>
      <c r="B30" s="114"/>
      <c r="C30" s="284"/>
      <c r="D30" s="218"/>
      <c r="E30" s="67"/>
      <c r="F30" s="67"/>
      <c r="G30" s="282"/>
      <c r="H30" s="53"/>
    </row>
    <row r="31" customFormat="false" ht="12.75" hidden="false" customHeight="false" outlineLevel="0" collapsed="false">
      <c r="A31" s="4" t="s">
        <v>37</v>
      </c>
      <c r="B31" s="114" t="n">
        <v>3.97545000868726</v>
      </c>
      <c r="C31" s="69" t="n">
        <f aca="false">1.67129075+6.5</f>
        <v>8.17129075</v>
      </c>
      <c r="D31" s="67" t="n">
        <f aca="false">C31*B31/100</f>
        <v>0.324845578830736</v>
      </c>
      <c r="E31" s="67" t="n">
        <f aca="false">Residential!$N$58*B31</f>
        <v>0.111649598580354</v>
      </c>
      <c r="F31" s="67" t="n">
        <f aca="false">D31+E31</f>
        <v>0.43649517741109</v>
      </c>
      <c r="G31" s="88" t="n">
        <f aca="false">F31/B31*100</f>
        <v>10.9797677359104</v>
      </c>
      <c r="H31" s="73"/>
    </row>
    <row r="32" customFormat="false" ht="12.75" hidden="false" customHeight="false" outlineLevel="0" collapsed="false">
      <c r="A32" s="60"/>
      <c r="B32" s="114"/>
      <c r="C32" s="284"/>
      <c r="D32" s="123"/>
      <c r="E32" s="67"/>
      <c r="F32" s="67"/>
      <c r="G32" s="88"/>
      <c r="H32" s="73"/>
    </row>
    <row r="33" customFormat="false" ht="13.5" hidden="false" customHeight="false" outlineLevel="0" collapsed="false">
      <c r="A33" s="131" t="s">
        <v>215</v>
      </c>
      <c r="B33" s="207" t="n">
        <f aca="false">B31</f>
        <v>3.97545000868726</v>
      </c>
      <c r="C33" s="283" t="n">
        <f aca="false">D33/B33*100</f>
        <v>8.17145016142422</v>
      </c>
      <c r="D33" s="237" t="n">
        <f aca="false">D29+D31</f>
        <v>0.324851916152214</v>
      </c>
      <c r="E33" s="208" t="n">
        <f aca="false">E31</f>
        <v>0.111649598580354</v>
      </c>
      <c r="F33" s="208" t="n">
        <f aca="false">SUM(F29:F31)</f>
        <v>0.436501514732568</v>
      </c>
      <c r="G33" s="283" t="n">
        <f aca="false">F33/B33*100</f>
        <v>10.9799271473346</v>
      </c>
      <c r="H33" s="98" t="n">
        <f aca="false">(G33-C33)/C33</f>
        <v>0.343693827953408</v>
      </c>
    </row>
    <row r="34" customFormat="false" ht="13.5" hidden="false" customHeight="false" outlineLevel="0" collapsed="false">
      <c r="A34" s="253"/>
      <c r="B34" s="114"/>
      <c r="C34" s="88"/>
      <c r="D34" s="79"/>
      <c r="E34" s="79"/>
      <c r="F34" s="79"/>
      <c r="G34" s="88"/>
    </row>
    <row r="35" customFormat="false" ht="12.75" hidden="false" customHeight="false" outlineLevel="0" collapsed="false">
      <c r="A35" s="108" t="s">
        <v>216</v>
      </c>
      <c r="B35" s="114"/>
      <c r="C35" s="284"/>
      <c r="D35" s="123"/>
      <c r="E35" s="218"/>
      <c r="F35" s="67"/>
      <c r="G35" s="284"/>
      <c r="H35" s="109"/>
    </row>
    <row r="36" customFormat="false" ht="12.75" hidden="false" customHeight="false" outlineLevel="0" collapsed="false">
      <c r="A36" s="204" t="s">
        <v>163</v>
      </c>
      <c r="B36" s="114"/>
      <c r="C36" s="236" t="n">
        <f aca="false">D36/B40*100</f>
        <v>11.9031829792226</v>
      </c>
      <c r="D36" s="123" t="n">
        <v>0.9856163304</v>
      </c>
      <c r="E36" s="67" t="n">
        <f aca="false">F36-D36</f>
        <v>0</v>
      </c>
      <c r="F36" s="67" t="n">
        <f aca="false">D36</f>
        <v>0.9856163304</v>
      </c>
      <c r="G36" s="88" t="n">
        <f aca="false">F36/B40*100</f>
        <v>11.9031829792226</v>
      </c>
      <c r="H36" s="53"/>
    </row>
    <row r="37" customFormat="false" ht="12.75" hidden="false" customHeight="false" outlineLevel="0" collapsed="false">
      <c r="A37" s="204"/>
      <c r="B37" s="114"/>
      <c r="C37" s="284"/>
      <c r="D37" s="123"/>
      <c r="E37" s="67"/>
      <c r="F37" s="67"/>
      <c r="G37" s="282"/>
      <c r="H37" s="53"/>
    </row>
    <row r="38" customFormat="false" ht="12.75" hidden="false" customHeight="false" outlineLevel="0" collapsed="false">
      <c r="A38" s="4" t="s">
        <v>37</v>
      </c>
      <c r="B38" s="114" t="n">
        <v>8.28027538617552</v>
      </c>
      <c r="C38" s="69" t="n">
        <v>6.5</v>
      </c>
      <c r="D38" s="123" t="n">
        <f aca="false">C38*B38/100</f>
        <v>0.538217900101409</v>
      </c>
      <c r="E38" s="67" t="n">
        <f aca="false">Residential!$N$58*B38</f>
        <v>0.232549628590742</v>
      </c>
      <c r="F38" s="67" t="n">
        <f aca="false">D38+E38</f>
        <v>0.770767528692151</v>
      </c>
      <c r="G38" s="88" t="n">
        <f aca="false">F38/B38*100</f>
        <v>9.30847698591039</v>
      </c>
      <c r="H38" s="73"/>
    </row>
    <row r="39" customFormat="false" ht="12.75" hidden="false" customHeight="false" outlineLevel="0" collapsed="false">
      <c r="A39" s="60"/>
      <c r="B39" s="114"/>
      <c r="C39" s="284"/>
      <c r="D39" s="123"/>
      <c r="E39" s="67"/>
      <c r="F39" s="67"/>
      <c r="G39" s="88"/>
      <c r="H39" s="73"/>
    </row>
    <row r="40" customFormat="false" ht="13.5" hidden="false" customHeight="false" outlineLevel="0" collapsed="false">
      <c r="A40" s="131" t="s">
        <v>217</v>
      </c>
      <c r="B40" s="207" t="n">
        <f aca="false">B38</f>
        <v>8.28027538617552</v>
      </c>
      <c r="C40" s="283" t="n">
        <f aca="false">D40/B40*100</f>
        <v>18.4031829792226</v>
      </c>
      <c r="D40" s="237" t="n">
        <f aca="false">D36+D38</f>
        <v>1.52383423050141</v>
      </c>
      <c r="E40" s="208" t="n">
        <f aca="false">E38</f>
        <v>0.232549628590742</v>
      </c>
      <c r="F40" s="208" t="n">
        <f aca="false">SUM(F36:F38)</f>
        <v>1.75638385909215</v>
      </c>
      <c r="G40" s="283" t="n">
        <f aca="false">F40/B40*100</f>
        <v>21.211659965133</v>
      </c>
      <c r="H40" s="98" t="n">
        <f aca="false">(G40-C40)/C40</f>
        <v>0.152608219408632</v>
      </c>
    </row>
    <row r="41" customFormat="false" ht="13.5" hidden="false" customHeight="false" outlineLevel="0" collapsed="false">
      <c r="A41" s="60"/>
      <c r="B41" s="114"/>
      <c r="C41" s="284"/>
      <c r="D41" s="123"/>
      <c r="E41" s="218"/>
      <c r="F41" s="67"/>
      <c r="G41" s="284"/>
      <c r="H41" s="109"/>
    </row>
    <row r="42" customFormat="false" ht="12.75" hidden="false" customHeight="false" outlineLevel="0" collapsed="false">
      <c r="A42" s="60"/>
      <c r="B42" s="114"/>
      <c r="C42" s="284"/>
      <c r="D42" s="123"/>
      <c r="E42" s="218"/>
      <c r="F42" s="67"/>
      <c r="G42" s="284"/>
      <c r="H42" s="109"/>
    </row>
    <row r="43" customFormat="false" ht="12.75" hidden="false" customHeight="false" outlineLevel="0" collapsed="false">
      <c r="A43" s="108" t="s">
        <v>218</v>
      </c>
      <c r="B43" s="114"/>
      <c r="C43" s="284"/>
      <c r="D43" s="123"/>
      <c r="E43" s="218"/>
      <c r="F43" s="67"/>
      <c r="G43" s="284"/>
      <c r="H43" s="109"/>
    </row>
    <row r="44" customFormat="false" ht="12.75" hidden="false" customHeight="false" outlineLevel="0" collapsed="false">
      <c r="A44" s="204" t="s">
        <v>163</v>
      </c>
      <c r="B44" s="114"/>
      <c r="C44" s="236" t="n">
        <f aca="false">D44/B48*100</f>
        <v>4.25103831011395</v>
      </c>
      <c r="D44" s="123" t="n">
        <v>0.282024129385384</v>
      </c>
      <c r="E44" s="67" t="n">
        <f aca="false">F44-D44</f>
        <v>0</v>
      </c>
      <c r="F44" s="67" t="n">
        <f aca="false">D44</f>
        <v>0.282024129385384</v>
      </c>
      <c r="G44" s="88" t="n">
        <f aca="false">F44/B48*100</f>
        <v>4.25103831011395</v>
      </c>
      <c r="H44" s="53"/>
    </row>
    <row r="45" customFormat="false" ht="12.75" hidden="false" customHeight="false" outlineLevel="0" collapsed="false">
      <c r="A45" s="204"/>
      <c r="B45" s="114"/>
      <c r="C45" s="284"/>
      <c r="D45" s="123"/>
      <c r="E45" s="67"/>
      <c r="F45" s="67"/>
      <c r="G45" s="282"/>
      <c r="H45" s="53"/>
    </row>
    <row r="46" customFormat="false" ht="12.75" hidden="false" customHeight="false" outlineLevel="0" collapsed="false">
      <c r="A46" s="4" t="s">
        <v>37</v>
      </c>
      <c r="B46" s="114" t="n">
        <v>6.63424106798569</v>
      </c>
      <c r="C46" s="69" t="n">
        <v>6.5</v>
      </c>
      <c r="D46" s="123" t="n">
        <f aca="false">C46*B46/100</f>
        <v>0.43122566941907</v>
      </c>
      <c r="E46" s="67" t="n">
        <f aca="false">Residential!$N$58*B46</f>
        <v>0.186321133584194</v>
      </c>
      <c r="F46" s="67" t="n">
        <f aca="false">D46+E46</f>
        <v>0.617546803003264</v>
      </c>
      <c r="G46" s="88" t="n">
        <f aca="false">F46/B46*100</f>
        <v>9.30847698591039</v>
      </c>
      <c r="H46" s="73"/>
    </row>
    <row r="47" customFormat="false" ht="12.75" hidden="false" customHeight="false" outlineLevel="0" collapsed="false">
      <c r="A47" s="215"/>
      <c r="B47" s="216"/>
      <c r="C47" s="284"/>
      <c r="D47" s="123"/>
      <c r="E47" s="67"/>
      <c r="F47" s="67"/>
      <c r="G47" s="88"/>
      <c r="H47" s="73"/>
    </row>
    <row r="48" customFormat="false" ht="13.5" hidden="false" customHeight="false" outlineLevel="0" collapsed="false">
      <c r="A48" s="131" t="s">
        <v>219</v>
      </c>
      <c r="B48" s="207" t="n">
        <f aca="false">B46</f>
        <v>6.63424106798569</v>
      </c>
      <c r="C48" s="283" t="n">
        <f aca="false">D48/B48*100</f>
        <v>10.7510383101139</v>
      </c>
      <c r="D48" s="237" t="n">
        <f aca="false">D44+D46</f>
        <v>0.713249798804454</v>
      </c>
      <c r="E48" s="208" t="n">
        <f aca="false">E46</f>
        <v>0.186321133584194</v>
      </c>
      <c r="F48" s="208" t="n">
        <f aca="false">SUM(F44:F46)</f>
        <v>0.899570932388648</v>
      </c>
      <c r="G48" s="283" t="n">
        <f aca="false">F48/B48*100</f>
        <v>13.5595152960243</v>
      </c>
      <c r="H48" s="98" t="n">
        <f aca="false">(G48-C48)/C48</f>
        <v>0.261228441839737</v>
      </c>
    </row>
    <row r="49" customFormat="false" ht="13.5" hidden="false" customHeight="false" outlineLevel="0" collapsed="false">
      <c r="A49" s="60"/>
      <c r="B49" s="216"/>
      <c r="C49" s="284"/>
      <c r="D49" s="123"/>
      <c r="E49" s="218"/>
      <c r="F49" s="67"/>
      <c r="G49" s="284"/>
      <c r="H49" s="109"/>
    </row>
    <row r="50" customFormat="false" ht="13.5" hidden="false" customHeight="false" outlineLevel="0" collapsed="false">
      <c r="A50" s="172"/>
      <c r="B50" s="220"/>
      <c r="C50" s="285"/>
      <c r="D50" s="175"/>
      <c r="E50" s="222"/>
      <c r="F50" s="176"/>
      <c r="G50" s="285"/>
      <c r="H50" s="223"/>
    </row>
    <row r="51" customFormat="false" ht="13.5" hidden="false" customHeight="false" outlineLevel="0" collapsed="false">
      <c r="A51" s="286" t="s">
        <v>220</v>
      </c>
      <c r="B51" s="287" t="n">
        <f aca="false">B18+B25+B33+B40+B48</f>
        <v>94.70946823</v>
      </c>
      <c r="C51" s="288" t="n">
        <f aca="false">D51/B51*100</f>
        <v>13.1578366086481</v>
      </c>
      <c r="D51" s="289" t="n">
        <f aca="false">D18+D25+D33+D40+D48</f>
        <v>12.4617170826229</v>
      </c>
      <c r="E51" s="289" t="n">
        <f aca="false">E18+E25+E33+E40+E48</f>
        <v>2.65989361871766</v>
      </c>
      <c r="F51" s="289" t="n">
        <f aca="false">F18+F25+F33+F40+F48</f>
        <v>15.1216107013406</v>
      </c>
      <c r="G51" s="288" t="n">
        <f aca="false">F51/B51*100</f>
        <v>15.9663135945585</v>
      </c>
      <c r="H51" s="290" t="n">
        <f aca="false">(G51-C51)/C51</f>
        <v>0.213445193875146</v>
      </c>
    </row>
    <row r="52" customFormat="false" ht="12.75" hidden="false" customHeight="false" outlineLevel="0" collapsed="false">
      <c r="A52" s="215"/>
      <c r="B52" s="64"/>
      <c r="C52" s="88"/>
      <c r="D52" s="123"/>
      <c r="E52" s="67"/>
      <c r="F52" s="67"/>
      <c r="G52" s="282"/>
      <c r="H52" s="60"/>
    </row>
    <row r="53" customFormat="false" ht="12.75" hidden="false" customHeight="false" outlineLevel="0" collapsed="false">
      <c r="A53" s="215"/>
      <c r="B53" s="64"/>
      <c r="C53" s="88"/>
      <c r="D53" s="123"/>
      <c r="E53" s="67"/>
      <c r="F53" s="67"/>
      <c r="G53" s="282"/>
      <c r="H53" s="60"/>
    </row>
    <row r="54" customFormat="false" ht="12.75" hidden="false" customHeight="false" outlineLevel="0" collapsed="false">
      <c r="A54" s="60"/>
      <c r="B54" s="239"/>
      <c r="C54" s="227"/>
      <c r="D54" s="130"/>
      <c r="E54" s="130"/>
      <c r="F54" s="130"/>
      <c r="G54" s="227"/>
      <c r="H54" s="104"/>
    </row>
    <row r="55" customFormat="false" ht="12.75" hidden="false" customHeight="false" outlineLevel="0" collapsed="false">
      <c r="A55" s="291" t="s">
        <v>111</v>
      </c>
      <c r="B55" s="239"/>
      <c r="C55" s="227"/>
      <c r="D55" s="130"/>
      <c r="E55" s="130"/>
      <c r="F55" s="130"/>
      <c r="G55" s="227"/>
      <c r="H55" s="104"/>
    </row>
    <row r="56" customFormat="false" ht="12.75" hidden="false" customHeight="false" outlineLevel="0" collapsed="false">
      <c r="A56" s="12" t="s">
        <v>112</v>
      </c>
      <c r="C56" s="88"/>
      <c r="D56" s="292"/>
      <c r="E56" s="271"/>
      <c r="F56" s="292"/>
      <c r="G56" s="88"/>
      <c r="H56" s="12"/>
    </row>
    <row r="57" customFormat="false" ht="12.75" hidden="false" customHeight="false" outlineLevel="0" collapsed="false">
      <c r="A57" s="12" t="s">
        <v>148</v>
      </c>
      <c r="C57" s="227"/>
      <c r="D57" s="293"/>
      <c r="E57" s="293"/>
      <c r="F57" s="293"/>
      <c r="G57" s="227"/>
      <c r="H57" s="104"/>
    </row>
    <row r="58" customFormat="false" ht="12.75" hidden="false" customHeight="false" outlineLevel="0" collapsed="false">
      <c r="A58" s="12"/>
      <c r="B58" s="12"/>
      <c r="C58" s="227"/>
      <c r="D58" s="293"/>
      <c r="E58" s="293"/>
      <c r="F58" s="293"/>
      <c r="G58" s="227"/>
      <c r="H58" s="104"/>
    </row>
    <row r="59" customFormat="false" ht="12.75" hidden="false" customHeight="false" outlineLevel="0" collapsed="false">
      <c r="A59" s="12"/>
      <c r="B59" s="12"/>
      <c r="C59" s="227"/>
      <c r="D59" s="293"/>
      <c r="E59" s="293"/>
      <c r="F59" s="293"/>
      <c r="G59" s="227"/>
      <c r="H59" s="104"/>
    </row>
    <row r="60" customFormat="false" ht="12.75" hidden="false" customHeight="false" outlineLevel="0" collapsed="false">
      <c r="A60" s="12"/>
      <c r="B60" s="294"/>
      <c r="C60" s="88"/>
      <c r="D60" s="292"/>
      <c r="E60" s="271"/>
      <c r="F60" s="292"/>
      <c r="G60" s="88"/>
      <c r="H60" s="12"/>
    </row>
    <row r="61" customFormat="false" ht="13.5" hidden="false" customHeight="false" outlineLevel="0" collapsed="false">
      <c r="A61" s="12"/>
      <c r="B61" s="12"/>
      <c r="C61" s="88"/>
      <c r="D61" s="292"/>
      <c r="E61" s="271"/>
      <c r="F61" s="292"/>
      <c r="G61" s="88"/>
      <c r="H61" s="12"/>
    </row>
    <row r="62" customFormat="false" ht="13.5" hidden="false" customHeight="false" outlineLevel="0" collapsed="false">
      <c r="A62" s="286" t="s">
        <v>221</v>
      </c>
      <c r="B62" s="287" t="n">
        <f aca="false">Residential!B163+'Small Commercial'!B39+'Medium-Large Commercial (AB265)'!B170+B51</f>
        <v>11332.503859598</v>
      </c>
      <c r="C62" s="288" t="n">
        <f aca="false">D62/B62*100</f>
        <v>13.0906671306873</v>
      </c>
      <c r="D62" s="289" t="n">
        <f aca="false">Residential!D163+'Small Commercial'!D39+'Medium-Large Commercial (AB265)'!D170+D51</f>
        <v>1483.50035783227</v>
      </c>
      <c r="E62" s="289" t="n">
        <f aca="false">Residential!E163+'Small Commercial'!E39+'Medium-Large Commercial (AB265)'!E170+E51</f>
        <v>311.824921334487</v>
      </c>
      <c r="F62" s="289" t="n">
        <f aca="false">Residential!F163+'Small Commercial'!F39+'Medium-Large Commercial (AB265)'!F170+F51</f>
        <v>1795.32527916675</v>
      </c>
      <c r="G62" s="288" t="n">
        <f aca="false">F62/B62*100</f>
        <v>15.8422648817032</v>
      </c>
      <c r="H62" s="290" t="n">
        <f aca="false">(G62-C62)/C62</f>
        <v>0.210195379925715</v>
      </c>
    </row>
    <row r="63" customFormat="false" ht="12.75" hidden="false" customHeight="false" outlineLevel="0" collapsed="false">
      <c r="E63" s="194"/>
    </row>
    <row r="64" customFormat="false" ht="12.75" hidden="false" customHeight="false" outlineLevel="0" collapsed="false">
      <c r="B64" s="61"/>
      <c r="E64" s="194"/>
      <c r="G64" s="166"/>
    </row>
    <row r="65" customFormat="false" ht="12.75" hidden="false" customHeight="false" outlineLevel="0" collapsed="false">
      <c r="E65" s="194"/>
    </row>
    <row r="66" customFormat="false" ht="12.75" hidden="false" customHeight="false" outlineLevel="0" collapsed="false">
      <c r="E66" s="194"/>
    </row>
    <row r="67" customFormat="false" ht="12.75" hidden="false" customHeight="false" outlineLevel="0" collapsed="false">
      <c r="E67" s="194"/>
    </row>
    <row r="68" customFormat="false" ht="12.75" hidden="false" customHeight="false" outlineLevel="0" collapsed="false">
      <c r="E68" s="194"/>
    </row>
    <row r="69" customFormat="false" ht="12.75" hidden="false" customHeight="false" outlineLevel="0" collapsed="false">
      <c r="E69" s="194"/>
    </row>
    <row r="70" customFormat="false" ht="12.75" hidden="false" customHeight="false" outlineLevel="0" collapsed="false">
      <c r="E70" s="194"/>
    </row>
    <row r="71" customFormat="false" ht="12.75" hidden="false" customHeight="false" outlineLevel="0" collapsed="false">
      <c r="E71" s="194"/>
    </row>
    <row r="72" customFormat="false" ht="12.75" hidden="false" customHeight="false" outlineLevel="0" collapsed="false">
      <c r="E72" s="194"/>
    </row>
    <row r="73" customFormat="false" ht="12.75" hidden="false" customHeight="false" outlineLevel="0" collapsed="false">
      <c r="E73" s="194"/>
    </row>
    <row r="74" customFormat="false" ht="12.75" hidden="false" customHeight="false" outlineLevel="0" collapsed="false">
      <c r="E74" s="194"/>
    </row>
    <row r="75" customFormat="false" ht="12.75" hidden="false" customHeight="false" outlineLevel="0" collapsed="false">
      <c r="E75" s="194"/>
    </row>
    <row r="76" customFormat="false" ht="12.75" hidden="false" customHeight="false" outlineLevel="0" collapsed="false">
      <c r="E76" s="194"/>
    </row>
    <row r="77" customFormat="false" ht="12.75" hidden="false" customHeight="false" outlineLevel="0" collapsed="false">
      <c r="E77" s="194"/>
    </row>
    <row r="78" customFormat="false" ht="12.75" hidden="false" customHeight="false" outlineLevel="0" collapsed="false">
      <c r="E78" s="194"/>
    </row>
    <row r="79" customFormat="false" ht="12.75" hidden="false" customHeight="false" outlineLevel="0" collapsed="false">
      <c r="E79" s="194"/>
    </row>
    <row r="80" customFormat="false" ht="12.75" hidden="false" customHeight="false" outlineLevel="0" collapsed="false">
      <c r="E80" s="194"/>
    </row>
    <row r="81" customFormat="false" ht="12.75" hidden="false" customHeight="false" outlineLevel="0" collapsed="false">
      <c r="E81" s="194"/>
    </row>
    <row r="82" customFormat="false" ht="12.75" hidden="false" customHeight="false" outlineLevel="0" collapsed="false">
      <c r="E82" s="194"/>
    </row>
    <row r="83" customFormat="false" ht="12.75" hidden="false" customHeight="false" outlineLevel="0" collapsed="false">
      <c r="E83" s="194"/>
    </row>
    <row r="84" customFormat="false" ht="12.75" hidden="false" customHeight="false" outlineLevel="0" collapsed="false">
      <c r="E84" s="194"/>
    </row>
    <row r="85" customFormat="false" ht="12.75" hidden="false" customHeight="false" outlineLevel="0" collapsed="false">
      <c r="E85" s="194"/>
    </row>
    <row r="86" customFormat="false" ht="12.75" hidden="false" customHeight="false" outlineLevel="0" collapsed="false">
      <c r="E86" s="194"/>
    </row>
    <row r="87" customFormat="false" ht="12.75" hidden="false" customHeight="false" outlineLevel="0" collapsed="false">
      <c r="E87" s="194"/>
    </row>
    <row r="88" customFormat="false" ht="12.75" hidden="false" customHeight="false" outlineLevel="0" collapsed="false">
      <c r="E88" s="194"/>
    </row>
    <row r="89" customFormat="false" ht="12.75" hidden="false" customHeight="false" outlineLevel="0" collapsed="false">
      <c r="E89" s="194"/>
    </row>
    <row r="90" customFormat="false" ht="12.75" hidden="false" customHeight="false" outlineLevel="0" collapsed="false">
      <c r="E90" s="194"/>
    </row>
    <row r="91" customFormat="false" ht="12.75" hidden="false" customHeight="false" outlineLevel="0" collapsed="false">
      <c r="E91" s="194"/>
    </row>
    <row r="92" customFormat="false" ht="12.75" hidden="false" customHeight="false" outlineLevel="0" collapsed="false">
      <c r="E92" s="194"/>
    </row>
    <row r="93" customFormat="false" ht="12.75" hidden="false" customHeight="false" outlineLevel="0" collapsed="false">
      <c r="E93" s="194"/>
    </row>
    <row r="94" customFormat="false" ht="12.75" hidden="false" customHeight="false" outlineLevel="0" collapsed="false">
      <c r="E94" s="194"/>
    </row>
    <row r="95" customFormat="false" ht="12.75" hidden="false" customHeight="false" outlineLevel="0" collapsed="false">
      <c r="E95" s="194"/>
    </row>
    <row r="96" customFormat="false" ht="12.75" hidden="false" customHeight="false" outlineLevel="0" collapsed="false">
      <c r="E96" s="194"/>
    </row>
    <row r="97" customFormat="false" ht="12.75" hidden="false" customHeight="false" outlineLevel="0" collapsed="false">
      <c r="E97" s="194"/>
    </row>
    <row r="98" customFormat="false" ht="12.75" hidden="false" customHeight="false" outlineLevel="0" collapsed="false">
      <c r="E98" s="194"/>
    </row>
    <row r="99" customFormat="false" ht="12.75" hidden="false" customHeight="false" outlineLevel="0" collapsed="false">
      <c r="E99" s="194"/>
    </row>
    <row r="100" customFormat="false" ht="12.75" hidden="false" customHeight="false" outlineLevel="0" collapsed="false">
      <c r="E100" s="194"/>
    </row>
    <row r="101" customFormat="false" ht="12.75" hidden="false" customHeight="false" outlineLevel="0" collapsed="false">
      <c r="E101" s="194"/>
    </row>
    <row r="102" customFormat="false" ht="12.75" hidden="false" customHeight="false" outlineLevel="0" collapsed="false">
      <c r="E102" s="194"/>
    </row>
    <row r="103" customFormat="false" ht="12.75" hidden="false" customHeight="false" outlineLevel="0" collapsed="false">
      <c r="E103" s="194"/>
    </row>
    <row r="104" customFormat="false" ht="12.75" hidden="false" customHeight="false" outlineLevel="0" collapsed="false">
      <c r="E104" s="194"/>
    </row>
    <row r="105" customFormat="false" ht="12.75" hidden="false" customHeight="false" outlineLevel="0" collapsed="false">
      <c r="E105" s="194"/>
    </row>
    <row r="106" customFormat="false" ht="12.75" hidden="false" customHeight="false" outlineLevel="0" collapsed="false">
      <c r="E106" s="194"/>
    </row>
    <row r="107" customFormat="false" ht="12.75" hidden="false" customHeight="false" outlineLevel="0" collapsed="false">
      <c r="E107" s="194"/>
    </row>
    <row r="108" customFormat="false" ht="12.75" hidden="false" customHeight="false" outlineLevel="0" collapsed="false">
      <c r="E108" s="194"/>
    </row>
    <row r="109" customFormat="false" ht="12.75" hidden="false" customHeight="false" outlineLevel="0" collapsed="false">
      <c r="E109" s="194"/>
    </row>
    <row r="110" customFormat="false" ht="12.75" hidden="false" customHeight="false" outlineLevel="0" collapsed="false">
      <c r="E110" s="194"/>
    </row>
    <row r="111" customFormat="false" ht="12.75" hidden="false" customHeight="false" outlineLevel="0" collapsed="false">
      <c r="E111" s="194"/>
    </row>
    <row r="112" customFormat="false" ht="12.75" hidden="false" customHeight="false" outlineLevel="0" collapsed="false">
      <c r="E112" s="194"/>
    </row>
    <row r="113" customFormat="false" ht="12.75" hidden="false" customHeight="false" outlineLevel="0" collapsed="false">
      <c r="E113" s="194"/>
    </row>
    <row r="114" customFormat="false" ht="12.75" hidden="false" customHeight="false" outlineLevel="0" collapsed="false">
      <c r="E114" s="194"/>
    </row>
    <row r="115" customFormat="false" ht="12.75" hidden="false" customHeight="false" outlineLevel="0" collapsed="false">
      <c r="E115" s="194"/>
    </row>
    <row r="116" customFormat="false" ht="12.75" hidden="false" customHeight="false" outlineLevel="0" collapsed="false">
      <c r="E116" s="194"/>
    </row>
    <row r="117" customFormat="false" ht="12.75" hidden="false" customHeight="false" outlineLevel="0" collapsed="false">
      <c r="E117" s="194"/>
    </row>
    <row r="118" customFormat="false" ht="12.75" hidden="false" customHeight="false" outlineLevel="0" collapsed="false">
      <c r="E118" s="194"/>
    </row>
    <row r="119" customFormat="false" ht="12.75" hidden="false" customHeight="false" outlineLevel="0" collapsed="false">
      <c r="E119" s="194"/>
    </row>
    <row r="120" customFormat="false" ht="12.75" hidden="false" customHeight="false" outlineLevel="0" collapsed="false">
      <c r="E120" s="194"/>
    </row>
    <row r="121" customFormat="false" ht="12.75" hidden="false" customHeight="false" outlineLevel="0" collapsed="false">
      <c r="E121" s="194"/>
    </row>
    <row r="122" customFormat="false" ht="12.75" hidden="false" customHeight="false" outlineLevel="0" collapsed="false">
      <c r="E122" s="194"/>
    </row>
    <row r="123" customFormat="false" ht="12.75" hidden="false" customHeight="false" outlineLevel="0" collapsed="false">
      <c r="E123" s="194"/>
    </row>
    <row r="124" customFormat="false" ht="12.75" hidden="false" customHeight="false" outlineLevel="0" collapsed="false">
      <c r="E124" s="194"/>
    </row>
    <row r="125" customFormat="false" ht="12.75" hidden="false" customHeight="false" outlineLevel="0" collapsed="false">
      <c r="E125" s="194"/>
    </row>
    <row r="126" customFormat="false" ht="12.75" hidden="false" customHeight="false" outlineLevel="0" collapsed="false">
      <c r="E126" s="194"/>
    </row>
    <row r="127" customFormat="false" ht="12.75" hidden="false" customHeight="false" outlineLevel="0" collapsed="false">
      <c r="E127" s="194"/>
    </row>
    <row r="128" customFormat="false" ht="12.75" hidden="false" customHeight="false" outlineLevel="0" collapsed="false">
      <c r="E128" s="194"/>
    </row>
    <row r="129" customFormat="false" ht="12.75" hidden="false" customHeight="false" outlineLevel="0" collapsed="false">
      <c r="E129" s="194"/>
    </row>
    <row r="130" customFormat="false" ht="12.75" hidden="false" customHeight="false" outlineLevel="0" collapsed="false">
      <c r="E130" s="194"/>
    </row>
    <row r="131" customFormat="false" ht="12.75" hidden="false" customHeight="false" outlineLevel="0" collapsed="false">
      <c r="E131" s="194"/>
    </row>
    <row r="132" customFormat="false" ht="12.75" hidden="false" customHeight="false" outlineLevel="0" collapsed="false">
      <c r="E132" s="194"/>
    </row>
    <row r="133" customFormat="false" ht="12.75" hidden="false" customHeight="false" outlineLevel="0" collapsed="false">
      <c r="E133" s="194"/>
    </row>
    <row r="134" customFormat="false" ht="12.75" hidden="false" customHeight="false" outlineLevel="0" collapsed="false">
      <c r="E134" s="194"/>
    </row>
    <row r="135" customFormat="false" ht="12.75" hidden="false" customHeight="false" outlineLevel="0" collapsed="false">
      <c r="E135" s="194"/>
    </row>
    <row r="136" customFormat="false" ht="12.75" hidden="false" customHeight="false" outlineLevel="0" collapsed="false">
      <c r="E136" s="194"/>
    </row>
    <row r="137" customFormat="false" ht="12.75" hidden="false" customHeight="false" outlineLevel="0" collapsed="false">
      <c r="E137" s="194"/>
    </row>
    <row r="138" customFormat="false" ht="12.75" hidden="false" customHeight="false" outlineLevel="0" collapsed="false">
      <c r="E138" s="194"/>
    </row>
    <row r="139" customFormat="false" ht="12.75" hidden="false" customHeight="false" outlineLevel="0" collapsed="false">
      <c r="E139" s="194"/>
    </row>
    <row r="140" customFormat="false" ht="12.75" hidden="false" customHeight="false" outlineLevel="0" collapsed="false">
      <c r="E140" s="194"/>
    </row>
    <row r="141" customFormat="false" ht="12.75" hidden="false" customHeight="false" outlineLevel="0" collapsed="false">
      <c r="E141" s="194"/>
    </row>
    <row r="142" customFormat="false" ht="12.75" hidden="false" customHeight="false" outlineLevel="0" collapsed="false">
      <c r="E142" s="194"/>
    </row>
    <row r="143" customFormat="false" ht="12.75" hidden="false" customHeight="false" outlineLevel="0" collapsed="false">
      <c r="E143" s="194"/>
    </row>
    <row r="144" customFormat="false" ht="12.75" hidden="false" customHeight="false" outlineLevel="0" collapsed="false">
      <c r="E144" s="194"/>
    </row>
    <row r="145" customFormat="false" ht="12.75" hidden="false" customHeight="false" outlineLevel="0" collapsed="false">
      <c r="E145" s="194"/>
    </row>
    <row r="146" customFormat="false" ht="12.75" hidden="false" customHeight="false" outlineLevel="0" collapsed="false">
      <c r="E146" s="194"/>
    </row>
    <row r="147" customFormat="false" ht="12.75" hidden="false" customHeight="false" outlineLevel="0" collapsed="false">
      <c r="E147" s="194"/>
    </row>
    <row r="148" customFormat="false" ht="12.75" hidden="false" customHeight="false" outlineLevel="0" collapsed="false">
      <c r="E148" s="194"/>
    </row>
    <row r="149" customFormat="false" ht="12.75" hidden="false" customHeight="false" outlineLevel="0" collapsed="false">
      <c r="E149" s="194"/>
    </row>
    <row r="150" customFormat="false" ht="12.75" hidden="false" customHeight="false" outlineLevel="0" collapsed="false">
      <c r="E150" s="194"/>
    </row>
    <row r="151" customFormat="false" ht="12.75" hidden="false" customHeight="false" outlineLevel="0" collapsed="false">
      <c r="E151" s="194"/>
    </row>
    <row r="152" customFormat="false" ht="12.75" hidden="false" customHeight="false" outlineLevel="0" collapsed="false">
      <c r="E152" s="194"/>
    </row>
    <row r="153" customFormat="false" ht="12.75" hidden="false" customHeight="false" outlineLevel="0" collapsed="false">
      <c r="E153" s="194"/>
    </row>
    <row r="154" customFormat="false" ht="12.75" hidden="false" customHeight="false" outlineLevel="0" collapsed="false">
      <c r="E154" s="194"/>
    </row>
    <row r="155" customFormat="false" ht="12.75" hidden="false" customHeight="false" outlineLevel="0" collapsed="false">
      <c r="E155" s="194"/>
    </row>
    <row r="156" customFormat="false" ht="12.75" hidden="false" customHeight="false" outlineLevel="0" collapsed="false">
      <c r="E156" s="194"/>
    </row>
    <row r="157" customFormat="false" ht="12.75" hidden="false" customHeight="false" outlineLevel="0" collapsed="false">
      <c r="E157" s="194"/>
    </row>
    <row r="158" customFormat="false" ht="12.75" hidden="false" customHeight="false" outlineLevel="0" collapsed="false">
      <c r="E158" s="194"/>
    </row>
    <row r="159" customFormat="false" ht="12.75" hidden="false" customHeight="false" outlineLevel="0" collapsed="false">
      <c r="E159" s="194"/>
    </row>
    <row r="160" customFormat="false" ht="12.75" hidden="false" customHeight="false" outlineLevel="0" collapsed="false">
      <c r="E160" s="194"/>
    </row>
    <row r="161" customFormat="false" ht="12.75" hidden="false" customHeight="false" outlineLevel="0" collapsed="false">
      <c r="E161" s="194"/>
    </row>
    <row r="162" customFormat="false" ht="12.75" hidden="false" customHeight="false" outlineLevel="0" collapsed="false">
      <c r="E162" s="194"/>
    </row>
    <row r="163" customFormat="false" ht="12.75" hidden="false" customHeight="false" outlineLevel="0" collapsed="false">
      <c r="E163" s="194"/>
    </row>
    <row r="164" customFormat="false" ht="12.75" hidden="false" customHeight="false" outlineLevel="0" collapsed="false">
      <c r="E164" s="194"/>
    </row>
    <row r="165" customFormat="false" ht="12.75" hidden="false" customHeight="false" outlineLevel="0" collapsed="false">
      <c r="E165" s="194"/>
    </row>
    <row r="166" customFormat="false" ht="12.75" hidden="false" customHeight="false" outlineLevel="0" collapsed="false">
      <c r="E166" s="194"/>
    </row>
    <row r="167" customFormat="false" ht="12.75" hidden="false" customHeight="false" outlineLevel="0" collapsed="false">
      <c r="E167" s="194"/>
    </row>
    <row r="168" customFormat="false" ht="12.75" hidden="false" customHeight="false" outlineLevel="0" collapsed="false">
      <c r="E168" s="194"/>
    </row>
    <row r="169" customFormat="false" ht="12.75" hidden="false" customHeight="false" outlineLevel="0" collapsed="false">
      <c r="E169" s="194"/>
    </row>
    <row r="170" customFormat="false" ht="12.75" hidden="false" customHeight="false" outlineLevel="0" collapsed="false">
      <c r="E170" s="194"/>
    </row>
    <row r="171" customFormat="false" ht="12.75" hidden="false" customHeight="false" outlineLevel="0" collapsed="false">
      <c r="E171" s="194"/>
    </row>
    <row r="172" customFormat="false" ht="12.75" hidden="false" customHeight="false" outlineLevel="0" collapsed="false">
      <c r="E172" s="194"/>
    </row>
    <row r="173" customFormat="false" ht="12.75" hidden="false" customHeight="false" outlineLevel="0" collapsed="false">
      <c r="E173" s="194"/>
    </row>
    <row r="174" customFormat="false" ht="12.75" hidden="false" customHeight="false" outlineLevel="0" collapsed="false">
      <c r="E174" s="194"/>
    </row>
    <row r="175" customFormat="false" ht="12.75" hidden="false" customHeight="false" outlineLevel="0" collapsed="false">
      <c r="E175" s="194"/>
    </row>
    <row r="176" customFormat="false" ht="12.75" hidden="false" customHeight="false" outlineLevel="0" collapsed="false">
      <c r="E176" s="194"/>
    </row>
    <row r="177" customFormat="false" ht="12.75" hidden="false" customHeight="false" outlineLevel="0" collapsed="false">
      <c r="E177" s="194"/>
    </row>
    <row r="178" customFormat="false" ht="12.75" hidden="false" customHeight="false" outlineLevel="0" collapsed="false">
      <c r="E178" s="194"/>
    </row>
    <row r="179" customFormat="false" ht="12.75" hidden="false" customHeight="false" outlineLevel="0" collapsed="false">
      <c r="E179" s="194"/>
    </row>
    <row r="180" customFormat="false" ht="12.75" hidden="false" customHeight="false" outlineLevel="0" collapsed="false">
      <c r="E180" s="194"/>
    </row>
    <row r="181" customFormat="false" ht="12.75" hidden="false" customHeight="false" outlineLevel="0" collapsed="false">
      <c r="E181" s="194"/>
    </row>
    <row r="182" customFormat="false" ht="12.75" hidden="false" customHeight="false" outlineLevel="0" collapsed="false">
      <c r="E182" s="194"/>
    </row>
    <row r="183" customFormat="false" ht="12.75" hidden="false" customHeight="false" outlineLevel="0" collapsed="false">
      <c r="E183" s="194"/>
    </row>
    <row r="184" customFormat="false" ht="12.75" hidden="false" customHeight="false" outlineLevel="0" collapsed="false">
      <c r="E184" s="194"/>
    </row>
    <row r="185" customFormat="false" ht="12.75" hidden="false" customHeight="false" outlineLevel="0" collapsed="false">
      <c r="E185" s="194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  <row r="1048" customFormat="false" ht="12.75" hidden="false" customHeight="false" outlineLevel="0" collapsed="false">
      <c r="E1048" s="194"/>
    </row>
    <row r="1049" customFormat="false" ht="12.75" hidden="false" customHeight="false" outlineLevel="0" collapsed="false">
      <c r="E1049" s="194"/>
    </row>
    <row r="1050" customFormat="false" ht="12.75" hidden="false" customHeight="false" outlineLevel="0" collapsed="false">
      <c r="E1050" s="194"/>
    </row>
    <row r="1051" customFormat="false" ht="12.75" hidden="false" customHeight="false" outlineLevel="0" collapsed="false">
      <c r="E1051" s="194"/>
    </row>
    <row r="1052" customFormat="false" ht="12.75" hidden="false" customHeight="false" outlineLevel="0" collapsed="false">
      <c r="E1052" s="194"/>
    </row>
    <row r="1053" customFormat="false" ht="12.75" hidden="false" customHeight="false" outlineLevel="0" collapsed="false">
      <c r="E1053" s="194"/>
    </row>
    <row r="1054" customFormat="false" ht="12.75" hidden="false" customHeight="false" outlineLevel="0" collapsed="false">
      <c r="E1054" s="194"/>
    </row>
    <row r="1055" customFormat="false" ht="12.75" hidden="false" customHeight="false" outlineLevel="0" collapsed="false">
      <c r="E1055" s="194"/>
    </row>
    <row r="1056" customFormat="false" ht="12.75" hidden="false" customHeight="false" outlineLevel="0" collapsed="false">
      <c r="E1056" s="194"/>
    </row>
    <row r="1057" customFormat="false" ht="12.75" hidden="false" customHeight="false" outlineLevel="0" collapsed="false">
      <c r="E1057" s="194"/>
    </row>
    <row r="1058" customFormat="false" ht="12.75" hidden="false" customHeight="false" outlineLevel="0" collapsed="false">
      <c r="E1058" s="194"/>
    </row>
    <row r="1059" customFormat="false" ht="12.75" hidden="false" customHeight="false" outlineLevel="0" collapsed="false">
      <c r="E1059" s="194"/>
    </row>
    <row r="1060" customFormat="false" ht="12.75" hidden="false" customHeight="false" outlineLevel="0" collapsed="false">
      <c r="E1060" s="194"/>
    </row>
    <row r="1061" customFormat="false" ht="12.75" hidden="false" customHeight="false" outlineLevel="0" collapsed="false">
      <c r="E1061" s="194"/>
    </row>
    <row r="1062" customFormat="false" ht="12.75" hidden="false" customHeight="false" outlineLevel="0" collapsed="false">
      <c r="E1062" s="194"/>
    </row>
  </sheetData>
  <mergeCells count="6">
    <mergeCell ref="A2:H2"/>
    <mergeCell ref="A3:H3"/>
    <mergeCell ref="G4:H4"/>
    <mergeCell ref="G5:H5"/>
    <mergeCell ref="G6:H6"/>
    <mergeCell ref="G8:H8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2001-03-26T05:24:06Z</dcterms:created>
  <dc:creator>Manuel Ramirez</dc:creator>
  <dc:description/>
  <dc:language>en-US</dc:language>
  <cp:lastModifiedBy>Mohamed A. Derbas</cp:lastModifiedBy>
  <cp:lastPrinted>2001-05-18T19:41:20Z</cp:lastPrinted>
  <dcterms:modified xsi:type="dcterms:W3CDTF">2001-04-02T16:26:11Z</dcterms:modified>
  <cp:revision>0</cp:revision>
  <dc:subject/>
  <dc:title/>
</cp:coreProperties>
</file>