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arge C&amp;I (ABX1 43)" sheetId="1" state="visible" r:id="rId3"/>
    <sheet name="Agricultural" sheetId="2" state="visible" r:id="rId4"/>
  </sheets>
  <externalReferences>
    <externalReference r:id="rId5"/>
  </externalReferences>
  <definedNames>
    <definedName function="false" hidden="false" localSheetId="1" name="_xlnm.Print_Area" vbProcedure="false">Agricultural!$A$1:$H$49</definedName>
    <definedName function="false" hidden="false" localSheetId="0" name="_xlnm.Print_Area" vbProcedure="false">'Large C&amp;I (ABX1 43)'!$A$1:$H$66,'Large C&amp;I (ABX1 43)'!$A$70:$H$133,'Large C&amp;I (ABX1 43)'!$A$137:$H$189,'Large C&amp;I (ABX1 43)'!$A$193:$H$240,'Large C&amp;I (ABX1 43)'!$A$244:$H$309,'Large C&amp;I (ABX1 43)'!$A$313:$H$364,'Large C&amp;I (ABX1 43)'!$A$368:$H$410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<sst xmlns="http://schemas.openxmlformats.org/spreadsheetml/2006/main" count="432" uniqueCount="126">
  <si>
    <t xml:space="preserve">(Sheet 1 of 7)</t>
  </si>
  <si>
    <t xml:space="preserve">San Diego Gas and Electric</t>
  </si>
  <si>
    <t xml:space="preserve">Large Commercial/Industrial Rates (ABX1 43 CUSTOMERS)</t>
  </si>
  <si>
    <t xml:space="preserve">1/3 - 2/3 Allocation of CARE and 130% of Baseline Shortfalls</t>
  </si>
  <si>
    <t xml:space="preserve">LARGE COMMERCIAL/INDUSTRIAL (ABX1 43) INPUTS</t>
  </si>
  <si>
    <t xml:space="preserve">Average Large</t>
  </si>
  <si>
    <t xml:space="preserve">Customer Rate Increase</t>
  </si>
  <si>
    <t xml:space="preserve">Average Large Commercial/Industrial (ABX1 43) Rate Increase (cents/kWh)</t>
  </si>
  <si>
    <t xml:space="preserve">(cents/kWh)</t>
  </si>
  <si>
    <t xml:space="preserve">Additional Large Commercial/Industrial (ABX1 43) Revenues that Result ($ MM)</t>
  </si>
  <si>
    <t xml:space="preserve">Commercial/Industrial (ABX1 43) TOU Commodity Price</t>
  </si>
  <si>
    <t xml:space="preserve">-  On-Peak Commodity Price (cents/kWh)</t>
  </si>
  <si>
    <t xml:space="preserve">-  Semi-Peak Commodity Price (cents/kWh)</t>
  </si>
  <si>
    <t xml:space="preserve">-  Off-Peak Commodity Price (cents/kWh)</t>
  </si>
  <si>
    <t xml:space="preserve">Commercial/Industrial (ABX1 43) TOU Commodity Price Differentials</t>
  </si>
  <si>
    <t xml:space="preserve">-  On-Peak to Off-Peak Commodity Differential</t>
  </si>
  <si>
    <t xml:space="preserve">-  Semi-Peak to Off-Peak Commodity Differential</t>
  </si>
  <si>
    <t xml:space="preserve">Customer Group</t>
  </si>
  <si>
    <t xml:space="preserve">2001 Annual Sales Forecast (GWh)</t>
  </si>
  <si>
    <t xml:space="preserve">3/01/01 Total Rate (cents/kWh)</t>
  </si>
  <si>
    <t xml:space="preserve">Total Revenue             ($ MM)</t>
  </si>
  <si>
    <t xml:space="preserve">Revenue Increase   ($ MM)</t>
  </si>
  <si>
    <t xml:space="preserve">New Total Revenue          ($ MM)</t>
  </si>
  <si>
    <t xml:space="preserve">New Total Rate     (cents/kWh)</t>
  </si>
  <si>
    <t xml:space="preserve">Increase in Class Average           (%)</t>
  </si>
  <si>
    <t xml:space="preserve">Estimated </t>
  </si>
  <si>
    <t xml:space="preserve">Schedule AD</t>
  </si>
  <si>
    <t xml:space="preserve">Fixed Charges</t>
  </si>
  <si>
    <t xml:space="preserve">Basic Service Fees</t>
  </si>
  <si>
    <t xml:space="preserve">Demand Charges-Secondary</t>
  </si>
  <si>
    <t xml:space="preserve">Demand Charges-Primary</t>
  </si>
  <si>
    <t xml:space="preserve">Usage Charges</t>
  </si>
  <si>
    <t xml:space="preserve">Secondary</t>
  </si>
  <si>
    <t xml:space="preserve">Primary</t>
  </si>
  <si>
    <t xml:space="preserve">Total for Schedule AD</t>
  </si>
  <si>
    <t xml:space="preserve">Schedules AL-TOU/AO-TOU/NJ</t>
  </si>
  <si>
    <t xml:space="preserve">Capped Sales</t>
  </si>
  <si>
    <t xml:space="preserve">Rate</t>
  </si>
  <si>
    <t xml:space="preserve">Revenues</t>
  </si>
  <si>
    <t xml:space="preserve">(GWh)</t>
  </si>
  <si>
    <t xml:space="preserve">($/kWh)</t>
  </si>
  <si>
    <t xml:space="preserve">($ MM)</t>
  </si>
  <si>
    <t xml:space="preserve">     On-Peak</t>
  </si>
  <si>
    <t xml:space="preserve">     Semi-Peak</t>
  </si>
  <si>
    <t xml:space="preserve">     Off-Peak</t>
  </si>
  <si>
    <t xml:space="preserve">Secondary Substation</t>
  </si>
  <si>
    <t xml:space="preserve">Primary Substation</t>
  </si>
  <si>
    <t xml:space="preserve">Total Usage</t>
  </si>
  <si>
    <t xml:space="preserve">Transmission</t>
  </si>
  <si>
    <t xml:space="preserve">ALLOCATED REVENUE REQUIREMENT</t>
  </si>
  <si>
    <t xml:space="preserve">Demand Charges</t>
  </si>
  <si>
    <t xml:space="preserve">REVENUE DIFFERENCE</t>
  </si>
  <si>
    <t xml:space="preserve">ENERGY CHARGE ADJUSTMENT FACTOR</t>
  </si>
  <si>
    <t xml:space="preserve">USE "GOAL SEEK" TO ELIMINATE DIFFERENCE</t>
  </si>
  <si>
    <t xml:space="preserve">ABX1 43  Rate Increase w/ CARE Adder</t>
  </si>
  <si>
    <t xml:space="preserve">     On-Peak Summer</t>
  </si>
  <si>
    <t xml:space="preserve">    Semi-Peak Summer</t>
  </si>
  <si>
    <t xml:space="preserve">(Sheet 2 of 7)</t>
  </si>
  <si>
    <t xml:space="preserve">Schedules AL-TOU/AO-TOU/NJ (Conti.)</t>
  </si>
  <si>
    <t xml:space="preserve">     Off-Peak Summer</t>
  </si>
  <si>
    <t xml:space="preserve">     On-Peak Winter</t>
  </si>
  <si>
    <t xml:space="preserve">    Semi-Peak Winter</t>
  </si>
  <si>
    <t xml:space="preserve">     Off-Peak Winter</t>
  </si>
  <si>
    <t xml:space="preserve">Total Schedule AL-TOU/AO-TOU/NJ</t>
  </si>
  <si>
    <t xml:space="preserve">Schedule AY-TOU</t>
  </si>
  <si>
    <t xml:space="preserve">    Secondary</t>
  </si>
  <si>
    <t xml:space="preserve">    Primary</t>
  </si>
  <si>
    <t xml:space="preserve">    Transmission</t>
  </si>
  <si>
    <t xml:space="preserve">  On-Peak Energy</t>
  </si>
  <si>
    <t xml:space="preserve">  Semi-Peak Energy</t>
  </si>
  <si>
    <t xml:space="preserve">(Sheet 3 of 7)</t>
  </si>
  <si>
    <t xml:space="preserve">Schedule AY-TOU (Conti)</t>
  </si>
  <si>
    <t xml:space="preserve">  Off-Peak Energy</t>
  </si>
  <si>
    <t xml:space="preserve">Total AY-TOU</t>
  </si>
  <si>
    <t xml:space="preserve">Schedule AV-1</t>
  </si>
  <si>
    <t xml:space="preserve">Signal Period 1G</t>
  </si>
  <si>
    <t xml:space="preserve">Total Schedule AV-1</t>
  </si>
  <si>
    <t xml:space="preserve">(Sheet 4 of 7)</t>
  </si>
  <si>
    <t xml:space="preserve">Schedule AV-2</t>
  </si>
  <si>
    <t xml:space="preserve">Signal Period 2G</t>
  </si>
  <si>
    <t xml:space="preserve">Total Schedule AV-2</t>
  </si>
  <si>
    <t xml:space="preserve">(Sheet 5 of 7)</t>
  </si>
  <si>
    <t xml:space="preserve">Schedule RTP-2</t>
  </si>
  <si>
    <t xml:space="preserve">RTP Period</t>
  </si>
  <si>
    <t xml:space="preserve">Total Schedule RTP-2</t>
  </si>
  <si>
    <t xml:space="preserve">(Sheet 6 of 7)</t>
  </si>
  <si>
    <t xml:space="preserve">Schedule A6-TOU</t>
  </si>
  <si>
    <t xml:space="preserve">Total Schedule A6-TOU</t>
  </si>
  <si>
    <t xml:space="preserve">(Sheet 7 of 7)</t>
  </si>
  <si>
    <t xml:space="preserve">Schedule PA-T-1</t>
  </si>
  <si>
    <t xml:space="preserve">Transmission </t>
  </si>
  <si>
    <t xml:space="preserve">     On-Peak </t>
  </si>
  <si>
    <t xml:space="preserve">    Semi-Peak </t>
  </si>
  <si>
    <t xml:space="preserve">     Off-Peak </t>
  </si>
  <si>
    <t xml:space="preserve">Total for Schedule PA-T-1</t>
  </si>
  <si>
    <t xml:space="preserve">TOU COMMERCIAL/INDUSTRIAL (ABX1 43) TOTAL</t>
  </si>
  <si>
    <t xml:space="preserve">Weighted Average</t>
  </si>
  <si>
    <t xml:space="preserve">DA Report</t>
  </si>
  <si>
    <t xml:space="preserve">Notes:</t>
  </si>
  <si>
    <t xml:space="preserve">Total</t>
  </si>
  <si>
    <t xml:space="preserve">(1) - The total rate columns and total revenue columns include T&amp;D and commodity charges.</t>
  </si>
  <si>
    <t xml:space="preserve">AB265</t>
  </si>
  <si>
    <t xml:space="preserve">(2) - 2001 Annual Sales Forecast reflects the exclusion of Direct Access (DA) sales equal to 19.2% of total large commercial/industrial sales, which is</t>
  </si>
  <si>
    <t xml:space="preserve">ABX1 43</t>
  </si>
  <si>
    <t xml:space="preserve">       based on the projected 12-month DA load found in the April 2001 SDG&amp;E Direct Access Update Report.</t>
  </si>
  <si>
    <t xml:space="preserve">(Sheet 1 of 1)</t>
  </si>
  <si>
    <t xml:space="preserve">Agricultural Rates</t>
  </si>
  <si>
    <t xml:space="preserve">AGRICULTURAL INPUTS</t>
  </si>
  <si>
    <t xml:space="preserve">Average Rate Increase for Agricultural Customers (cents/kWh)</t>
  </si>
  <si>
    <t xml:space="preserve">Additional Agricultural Revenues that Result ($ MM)</t>
  </si>
  <si>
    <t xml:space="preserve">PA-TOU</t>
  </si>
  <si>
    <t xml:space="preserve">On-Peak to Off-Peak Commodity Price Differential</t>
  </si>
  <si>
    <t xml:space="preserve">Revenue Increase      ($ MM)</t>
  </si>
  <si>
    <t xml:space="preserve">Schedule PA</t>
  </si>
  <si>
    <t xml:space="preserve">Fixed Charges Basic Service Fees</t>
  </si>
  <si>
    <t xml:space="preserve">Total for Schedule PA</t>
  </si>
  <si>
    <t xml:space="preserve">Sales</t>
  </si>
  <si>
    <t xml:space="preserve">Schedule PA-TOU</t>
  </si>
  <si>
    <t xml:space="preserve">Fixed Charges-Basic Service Fees</t>
  </si>
  <si>
    <t xml:space="preserve">On-Peak</t>
  </si>
  <si>
    <t xml:space="preserve">Off-Peak</t>
  </si>
  <si>
    <t xml:space="preserve">Total for Schedule PA-TOU</t>
  </si>
  <si>
    <t xml:space="preserve">AGRICULTURAL TOTAL</t>
  </si>
  <si>
    <t xml:space="preserve">(2) - 2001 Annual Sales Forecast reflects the exclusion of Direct Access (DA) sales equal to 0.5% of total agricultural sales, which is based on the</t>
  </si>
  <si>
    <t xml:space="preserve">       projected 12-month DA load found in the April 2001 SDG&amp;E Direct Access Update Report.</t>
  </si>
  <si>
    <t xml:space="preserve">LARGE CUSTOMER TOTAL</t>
  </si>
</sst>
</file>

<file path=xl/styles.xml><?xml version="1.0" encoding="utf-8"?>
<styleSheet xmlns="http://schemas.openxmlformats.org/spreadsheetml/2006/main">
  <numFmts count="27">
    <numFmt numFmtId="164" formatCode="General"/>
    <numFmt numFmtId="165" formatCode="General_)"/>
    <numFmt numFmtId="166" formatCode="0.0"/>
    <numFmt numFmtId="167" formatCode="\$#,##0.00_);[RED]&quot;($&quot;#,##0.00\)"/>
    <numFmt numFmtId="168" formatCode="_(* #,##0.00_);_(* \(#,##0.00\);_(* \-??_);_(@_)"/>
    <numFmt numFmtId="169" formatCode="\$#,##0.0"/>
    <numFmt numFmtId="170" formatCode="\$#,##0.0_);[RED]&quot;($&quot;#,##0.0\)"/>
    <numFmt numFmtId="171" formatCode="[$-409]#,##0.00_);[RED]\(#,##0.00\)"/>
    <numFmt numFmtId="172" formatCode="0%"/>
    <numFmt numFmtId="173" formatCode="[$-409]#,##0.00_);\(#,##0.00\)"/>
    <numFmt numFmtId="174" formatCode="#,##0.0"/>
    <numFmt numFmtId="175" formatCode="_(\$* #,##0.00_);_(\$* \(#,##0.00\);_(\$* \-??_);_(@_)"/>
    <numFmt numFmtId="176" formatCode="_(* #,##0.0_);_(* \(#,##0.0\);_(* \-??_);_(@_)"/>
    <numFmt numFmtId="177" formatCode="#,##0"/>
    <numFmt numFmtId="178" formatCode="[$-409]#,##0_);[RED]\(#,##0\)"/>
    <numFmt numFmtId="179" formatCode="0.00000"/>
    <numFmt numFmtId="180" formatCode="_(* #,##0.00000_);_(* \(#,##0.00000\);_(* \-??_);_(@_)"/>
    <numFmt numFmtId="181" formatCode="_(* #,##0.000_);_(* \(#,##0.000\);_(* \-??_);_(@_)"/>
    <numFmt numFmtId="182" formatCode="0"/>
    <numFmt numFmtId="183" formatCode="0.00"/>
    <numFmt numFmtId="184" formatCode="_(\$* #,##0_);_(\$* \(#,##0\);_(\$* \-??_);_(@_)"/>
    <numFmt numFmtId="185" formatCode="\$#,##0.00"/>
    <numFmt numFmtId="186" formatCode="_(* #,##0_);_(* \(#,##0\);_(* \-??_);_(@_)"/>
    <numFmt numFmtId="187" formatCode="#,##0.00"/>
    <numFmt numFmtId="188" formatCode="0.0%"/>
    <numFmt numFmtId="189" formatCode="0.000000"/>
    <numFmt numFmtId="190" formatCode="0.000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0"/>
    </font>
    <font>
      <sz val="10"/>
      <name val="Times New Roman"/>
      <family val="0"/>
    </font>
    <font>
      <sz val="9"/>
      <name val="Arial"/>
      <family val="0"/>
    </font>
    <font>
      <sz val="10"/>
      <name val="Arial"/>
      <family val="2"/>
    </font>
    <font>
      <b val="true"/>
      <sz val="16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sz val="12"/>
      <name val="Arial"/>
      <family val="2"/>
    </font>
    <font>
      <b val="true"/>
      <sz val="12"/>
      <name val="Arial"/>
      <family val="2"/>
    </font>
    <font>
      <b val="true"/>
      <sz val="10"/>
      <color rgb="FF0000FF"/>
      <name val="Arial"/>
      <family val="2"/>
    </font>
    <font>
      <sz val="10"/>
      <color rgb="FF0000FF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22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medium"/>
      <bottom style="medium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false">
      <alignment horizontal="general" vertical="bottom" textRotation="0" wrapText="false" indent="0" shrinkToFit="false"/>
    </xf>
    <xf numFmtId="164" fontId="6" fillId="0" borderId="0" applyFont="true" applyBorder="true" applyAlignment="true" applyProtection="false">
      <alignment horizontal="general" vertical="bottom" textRotation="0" wrapText="false" indent="0" shrinkToFit="false"/>
    </xf>
  </cellStyleXfs>
  <cellXfs count="2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2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0" xfId="2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6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6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8" xfId="2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1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9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2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9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9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2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1" xfId="22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0" borderId="4" xfId="22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11" xfId="22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9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9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7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9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2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9" fillId="0" borderId="1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9" fillId="0" borderId="1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9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9" fillId="0" borderId="12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0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7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3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9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2" fontId="7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9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9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5" fontId="7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9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22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0" borderId="0" xfId="22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7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0" xfId="22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9" fillId="0" borderId="0" xfId="22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9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9" fillId="0" borderId="1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9" fillId="0" borderId="1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6" fontId="9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9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85" fontId="9" fillId="0" borderId="0" xfId="22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9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9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9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12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9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9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9" fillId="0" borderId="9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8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" xfId="2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3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2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9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9" fillId="0" borderId="12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7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9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9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9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2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9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21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9" fillId="0" borderId="9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4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21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3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Edison Tiered Ratesmud" xfId="20"/>
    <cellStyle name="Normal_RDSL-(Combined 1-01-01 filling)" xfId="21"/>
    <cellStyle name="Normal_SDGE Tiered ratesmud" xfId="22"/>
    <cellStyle name="Normal_Tiered UDC Rate Model_equal_cents" xfId="23"/>
    <cellStyle name="Normal_Total RRQ including ICIP" xfId="24"/>
    <cellStyle name="Normal_TRAlloc 98 sales, 96 MC's" xfId="2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WIN95/TEMP/SDGE.RD.Template5-18(SMALL)DecisionTemp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sidential"/>
      <sheetName val="Small Commercial"/>
      <sheetName val="Medium-Large Commercial (AB265)"/>
      <sheetName val="Street Lighting"/>
    </sheetNames>
    <sheetDataSet>
      <sheetData sheetId="0">
        <row r="54">
          <cell r="R54">
            <v>0.00712225915953593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14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2.5625" defaultRowHeight="12.75" customHeight="true" zeroHeight="false" outlineLevelRow="0" outlineLevelCol="0"/>
  <cols>
    <col collapsed="false" customWidth="true" hidden="false" outlineLevel="0" max="1" min="1" style="1" width="56.85"/>
    <col collapsed="false" customWidth="true" hidden="false" outlineLevel="0" max="2" min="2" style="1" width="11.85"/>
    <col collapsed="false" customWidth="true" hidden="false" outlineLevel="0" max="3" min="3" style="1" width="11.7"/>
    <col collapsed="false" customWidth="true" hidden="false" outlineLevel="0" max="6" min="4" style="1" width="10.71"/>
    <col collapsed="false" customWidth="true" hidden="false" outlineLevel="0" max="8" min="7" style="1" width="11.7"/>
    <col collapsed="false" customWidth="false" hidden="false" outlineLevel="0" max="10" min="9" style="1" width="2.56"/>
    <col collapsed="false" customWidth="true" hidden="false" outlineLevel="0" max="11" min="11" style="1" width="34.28"/>
    <col collapsed="false" customWidth="true" hidden="false" outlineLevel="0" max="12" min="12" style="1" width="15.41"/>
    <col collapsed="false" customWidth="false" hidden="false" outlineLevel="0" max="13" min="13" style="1" width="2.56"/>
    <col collapsed="false" customWidth="true" hidden="false" outlineLevel="0" max="14" min="14" style="1" width="15.41"/>
    <col collapsed="false" customWidth="false" hidden="false" outlineLevel="0" max="15" min="15" style="1" width="2.56"/>
    <col collapsed="false" customWidth="true" hidden="false" outlineLevel="0" max="16" min="16" style="1" width="8.99"/>
    <col collapsed="false" customWidth="true" hidden="false" outlineLevel="0" max="17" min="17" style="1" width="15.41"/>
    <col collapsed="false" customWidth="false" hidden="false" outlineLevel="0" max="257" min="18" style="1" width="2.56"/>
  </cols>
  <sheetData>
    <row r="1" customFormat="false" ht="12.75" hidden="false" customHeight="false" outlineLevel="0" collapsed="false">
      <c r="H1" s="2" t="s">
        <v>0</v>
      </c>
    </row>
    <row r="2" customFormat="false" ht="20.2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</row>
    <row r="3" customFormat="false" ht="20.2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</row>
    <row r="4" customFormat="false" ht="20.25" hidden="false" customHeight="false" outlineLevel="0" collapsed="false">
      <c r="A4" s="3" t="s">
        <v>3</v>
      </c>
      <c r="B4" s="3"/>
      <c r="C4" s="3"/>
      <c r="D4" s="3"/>
      <c r="E4" s="3"/>
      <c r="F4" s="3"/>
      <c r="G4" s="3"/>
      <c r="H4" s="3"/>
    </row>
    <row r="5" customFormat="false" ht="13.5" hidden="false" customHeight="false" outlineLevel="0" collapsed="false">
      <c r="A5" s="4"/>
      <c r="B5" s="4"/>
      <c r="C5" s="4"/>
      <c r="D5" s="4"/>
      <c r="E5" s="4"/>
      <c r="F5" s="4"/>
      <c r="G5" s="4"/>
      <c r="H5" s="4"/>
    </row>
    <row r="6" customFormat="false" ht="12.75" hidden="false" customHeight="false" outlineLevel="0" collapsed="false">
      <c r="A6" s="5" t="s">
        <v>4</v>
      </c>
      <c r="B6" s="6"/>
      <c r="C6" s="7"/>
      <c r="D6" s="8"/>
      <c r="G6" s="9" t="s">
        <v>5</v>
      </c>
      <c r="H6" s="9"/>
    </row>
    <row r="7" customFormat="false" ht="12.75" hidden="false" customHeight="false" outlineLevel="0" collapsed="false">
      <c r="A7" s="10"/>
      <c r="B7" s="11"/>
      <c r="C7" s="12"/>
      <c r="E7" s="13"/>
      <c r="F7" s="13"/>
      <c r="G7" s="14" t="s">
        <v>6</v>
      </c>
      <c r="H7" s="14"/>
    </row>
    <row r="8" customFormat="false" ht="12.75" hidden="false" customHeight="false" outlineLevel="0" collapsed="false">
      <c r="A8" s="10" t="s">
        <v>7</v>
      </c>
      <c r="B8" s="11"/>
      <c r="C8" s="15" t="n">
        <f aca="false">G403-C403</f>
        <v>3.59025357495295</v>
      </c>
      <c r="E8" s="16"/>
      <c r="F8" s="16"/>
      <c r="G8" s="17" t="s">
        <v>8</v>
      </c>
      <c r="H8" s="17"/>
    </row>
    <row r="9" customFormat="false" ht="12.75" hidden="false" customHeight="false" outlineLevel="0" collapsed="false">
      <c r="A9" s="10"/>
      <c r="B9" s="11"/>
      <c r="C9" s="18"/>
      <c r="E9" s="16"/>
      <c r="F9" s="16"/>
      <c r="G9" s="19"/>
      <c r="H9" s="20"/>
    </row>
    <row r="10" customFormat="false" ht="13.5" hidden="false" customHeight="false" outlineLevel="0" collapsed="false">
      <c r="A10" s="21" t="s">
        <v>9</v>
      </c>
      <c r="B10" s="22"/>
      <c r="C10" s="23" t="n">
        <f aca="false">E403</f>
        <v>193.91906296538</v>
      </c>
      <c r="E10" s="16"/>
      <c r="F10" s="16"/>
      <c r="G10" s="24" t="n">
        <f aca="false">Agricultural!G49-Agricultural!C49</f>
        <v>3.57666192935511</v>
      </c>
      <c r="H10" s="24"/>
    </row>
    <row r="11" customFormat="false" ht="13.5" hidden="false" customHeight="false" outlineLevel="0" collapsed="false">
      <c r="A11" s="10"/>
      <c r="B11" s="11"/>
      <c r="C11" s="18"/>
      <c r="E11" s="16"/>
      <c r="F11" s="16"/>
      <c r="G11" s="25"/>
      <c r="H11" s="26"/>
    </row>
    <row r="12" customFormat="false" ht="12.75" hidden="false" customHeight="false" outlineLevel="0" collapsed="false">
      <c r="A12" s="10" t="s">
        <v>10</v>
      </c>
      <c r="B12" s="11"/>
      <c r="C12" s="18"/>
      <c r="E12" s="16"/>
      <c r="F12" s="16"/>
      <c r="G12" s="11"/>
      <c r="H12" s="27"/>
    </row>
    <row r="13" customFormat="false" ht="12.75" hidden="false" customHeight="false" outlineLevel="0" collapsed="false">
      <c r="A13" s="10" t="s">
        <v>11</v>
      </c>
      <c r="B13" s="11"/>
      <c r="C13" s="28" t="n">
        <f aca="false">N38*100</f>
        <v>16.350200929989</v>
      </c>
      <c r="E13" s="16"/>
      <c r="F13" s="16"/>
      <c r="G13" s="11"/>
      <c r="H13" s="27"/>
    </row>
    <row r="14" customFormat="false" ht="12.75" hidden="false" customHeight="false" outlineLevel="0" collapsed="false">
      <c r="A14" s="10" t="s">
        <v>12</v>
      </c>
      <c r="B14" s="11"/>
      <c r="C14" s="28" t="n">
        <f aca="false">N39*100</f>
        <v>11.4451406509923</v>
      </c>
      <c r="E14" s="16"/>
      <c r="F14" s="16"/>
      <c r="G14" s="11"/>
      <c r="H14" s="27"/>
    </row>
    <row r="15" customFormat="false" ht="12.75" hidden="false" customHeight="false" outlineLevel="0" collapsed="false">
      <c r="A15" s="10" t="s">
        <v>13</v>
      </c>
      <c r="B15" s="11"/>
      <c r="C15" s="28" t="n">
        <f aca="false">N40*100</f>
        <v>8.17510046499452</v>
      </c>
      <c r="E15" s="16"/>
      <c r="F15" s="16"/>
      <c r="G15" s="11"/>
      <c r="H15" s="27"/>
    </row>
    <row r="16" customFormat="false" ht="12.75" hidden="false" customHeight="false" outlineLevel="0" collapsed="false">
      <c r="A16" s="10"/>
      <c r="B16" s="11"/>
      <c r="C16" s="18"/>
      <c r="E16" s="16"/>
      <c r="F16" s="16"/>
      <c r="G16" s="11"/>
      <c r="H16" s="27"/>
    </row>
    <row r="17" customFormat="false" ht="15.75" hidden="false" customHeight="false" outlineLevel="0" collapsed="false">
      <c r="A17" s="10" t="s">
        <v>14</v>
      </c>
      <c r="B17" s="29"/>
      <c r="C17" s="30"/>
      <c r="E17" s="16"/>
      <c r="F17" s="16"/>
      <c r="G17" s="11"/>
      <c r="H17" s="27"/>
    </row>
    <row r="18" customFormat="false" ht="15" hidden="false" customHeight="false" outlineLevel="0" collapsed="false">
      <c r="A18" s="10" t="s">
        <v>15</v>
      </c>
      <c r="B18" s="29"/>
      <c r="C18" s="31" t="n">
        <v>2</v>
      </c>
      <c r="E18" s="16"/>
      <c r="F18" s="16"/>
      <c r="G18" s="11"/>
      <c r="H18" s="27"/>
    </row>
    <row r="19" customFormat="false" ht="15.75" hidden="false" customHeight="false" outlineLevel="0" collapsed="false">
      <c r="A19" s="21" t="s">
        <v>16</v>
      </c>
      <c r="B19" s="32"/>
      <c r="C19" s="33" t="n">
        <v>1.4</v>
      </c>
      <c r="E19" s="34"/>
      <c r="F19" s="34"/>
      <c r="G19" s="34"/>
      <c r="H19" s="34"/>
    </row>
    <row r="20" customFormat="false" ht="13.5" hidden="false" customHeight="false" outlineLevel="0" collapsed="false">
      <c r="A20" s="35"/>
      <c r="B20" s="36"/>
      <c r="C20" s="36"/>
      <c r="D20" s="36"/>
      <c r="E20" s="36"/>
      <c r="F20" s="36"/>
      <c r="G20" s="36"/>
      <c r="H20" s="36"/>
    </row>
    <row r="21" customFormat="false" ht="64.5" hidden="false" customHeight="false" outlineLevel="0" collapsed="false">
      <c r="A21" s="37" t="s">
        <v>17</v>
      </c>
      <c r="B21" s="38" t="s">
        <v>18</v>
      </c>
      <c r="C21" s="38" t="s">
        <v>19</v>
      </c>
      <c r="D21" s="38" t="s">
        <v>20</v>
      </c>
      <c r="E21" s="38" t="s">
        <v>21</v>
      </c>
      <c r="F21" s="38" t="s">
        <v>22</v>
      </c>
      <c r="G21" s="38" t="s">
        <v>23</v>
      </c>
      <c r="H21" s="39" t="s">
        <v>24</v>
      </c>
    </row>
    <row r="22" customFormat="false" ht="12.75" hidden="false" customHeight="false" outlineLevel="0" collapsed="false">
      <c r="A22" s="40"/>
      <c r="B22" s="41"/>
      <c r="C22" s="41"/>
      <c r="D22" s="41"/>
      <c r="E22" s="41"/>
      <c r="F22" s="41"/>
      <c r="G22" s="41"/>
      <c r="H22" s="40"/>
      <c r="K22" s="42"/>
      <c r="L22" s="43" t="s">
        <v>25</v>
      </c>
    </row>
    <row r="23" customFormat="false" ht="12.75" hidden="false" customHeight="false" outlineLevel="0" collapsed="false">
      <c r="A23" s="44" t="s">
        <v>26</v>
      </c>
      <c r="B23" s="45"/>
      <c r="C23" s="46"/>
      <c r="D23" s="47"/>
      <c r="E23" s="48"/>
      <c r="F23" s="49"/>
      <c r="G23" s="46"/>
      <c r="H23" s="42"/>
      <c r="K23" s="42"/>
      <c r="L23" s="43"/>
    </row>
    <row r="24" customFormat="false" ht="12.75" hidden="false" customHeight="false" outlineLevel="0" collapsed="false">
      <c r="A24" s="44"/>
      <c r="B24" s="45"/>
      <c r="C24" s="46"/>
      <c r="D24" s="47"/>
      <c r="E24" s="48"/>
      <c r="F24" s="49"/>
      <c r="G24" s="46"/>
      <c r="H24" s="42"/>
      <c r="K24" s="42"/>
      <c r="L24" s="43"/>
    </row>
    <row r="25" customFormat="false" ht="12.75" hidden="false" customHeight="false" outlineLevel="0" collapsed="false">
      <c r="A25" s="50" t="s">
        <v>27</v>
      </c>
      <c r="B25" s="45"/>
      <c r="C25" s="46"/>
      <c r="D25" s="51"/>
      <c r="E25" s="48"/>
      <c r="F25" s="49"/>
      <c r="G25" s="46"/>
      <c r="H25" s="42"/>
      <c r="K25" s="42"/>
      <c r="L25" s="43"/>
    </row>
    <row r="26" customFormat="false" ht="12.75" hidden="false" customHeight="false" outlineLevel="0" collapsed="false">
      <c r="A26" s="52" t="s">
        <v>28</v>
      </c>
      <c r="B26" s="45"/>
      <c r="C26" s="53" t="n">
        <f aca="false">D26/B34*100</f>
        <v>0.105627038875637</v>
      </c>
      <c r="D26" s="47" t="n">
        <v>0.0428915038752</v>
      </c>
      <c r="E26" s="49" t="n">
        <f aca="false">F26-D26</f>
        <v>0</v>
      </c>
      <c r="F26" s="49" t="n">
        <v>0.0428915038752</v>
      </c>
      <c r="G26" s="53" t="n">
        <f aca="false">F26/B34*100</f>
        <v>0.105627038875637</v>
      </c>
      <c r="H26" s="42"/>
      <c r="K26" s="42"/>
      <c r="L26" s="43"/>
    </row>
    <row r="27" customFormat="false" ht="12.75" hidden="false" customHeight="false" outlineLevel="0" collapsed="false">
      <c r="A27" s="52" t="s">
        <v>29</v>
      </c>
      <c r="B27" s="45"/>
      <c r="C27" s="53" t="n">
        <f aca="false">D27/B31*100</f>
        <v>4.499</v>
      </c>
      <c r="D27" s="47" t="n">
        <v>1.78706282452353</v>
      </c>
      <c r="E27" s="49" t="n">
        <f aca="false">F27-D27</f>
        <v>-0.128343602852145</v>
      </c>
      <c r="F27" s="54" t="n">
        <v>1.65871922167139</v>
      </c>
      <c r="G27" s="53" t="n">
        <f aca="false">F27/B31*100</f>
        <v>4.17589</v>
      </c>
      <c r="H27" s="42"/>
      <c r="K27" s="42"/>
      <c r="L27" s="43"/>
    </row>
    <row r="28" customFormat="false" ht="12.75" hidden="false" customHeight="false" outlineLevel="0" collapsed="false">
      <c r="A28" s="52" t="s">
        <v>30</v>
      </c>
      <c r="B28" s="45"/>
      <c r="C28" s="53" t="n">
        <f aca="false">D28/B32*100</f>
        <v>2.00168</v>
      </c>
      <c r="D28" s="47" t="n">
        <v>0.0177193306497996</v>
      </c>
      <c r="E28" s="49" t="n">
        <f aca="false">F28-D28</f>
        <v>-0.00128498962727555</v>
      </c>
      <c r="F28" s="55" t="n">
        <v>0.0164343410225241</v>
      </c>
      <c r="G28" s="53" t="n">
        <f aca="false">F28/B32*100</f>
        <v>1.85652</v>
      </c>
      <c r="H28" s="42"/>
      <c r="K28" s="42"/>
      <c r="L28" s="43"/>
    </row>
    <row r="29" customFormat="false" ht="12.75" hidden="false" customHeight="false" outlineLevel="0" collapsed="false">
      <c r="A29" s="50"/>
      <c r="B29" s="45"/>
      <c r="C29" s="46"/>
      <c r="D29" s="47"/>
      <c r="E29" s="48"/>
      <c r="F29" s="51"/>
      <c r="G29" s="46"/>
      <c r="H29" s="42"/>
      <c r="K29" s="42"/>
      <c r="L29" s="43"/>
    </row>
    <row r="30" customFormat="false" ht="12.75" hidden="false" customHeight="false" outlineLevel="0" collapsed="false">
      <c r="A30" s="4" t="s">
        <v>31</v>
      </c>
      <c r="B30" s="45"/>
      <c r="C30" s="46"/>
      <c r="D30" s="47"/>
      <c r="E30" s="48"/>
      <c r="F30" s="49"/>
      <c r="G30" s="46"/>
      <c r="H30" s="42"/>
      <c r="K30" s="42"/>
      <c r="L30" s="43"/>
    </row>
    <row r="31" customFormat="false" ht="12.75" hidden="false" customHeight="false" outlineLevel="0" collapsed="false">
      <c r="A31" s="2" t="s">
        <v>32</v>
      </c>
      <c r="B31" s="56" t="n">
        <f aca="false">122.90016762*0.4*0.808</f>
        <v>39.721334174784</v>
      </c>
      <c r="C31" s="53" t="n">
        <f aca="false">1.387+6.5</f>
        <v>7.887</v>
      </c>
      <c r="D31" s="47" t="n">
        <f aca="false">C31*B31/100</f>
        <v>3.13282162636522</v>
      </c>
      <c r="E31" s="49" t="n">
        <f aca="false">(0.0352+[1]Residential!$R$54-0.00706)*B31</f>
        <v>1.40066397983376</v>
      </c>
      <c r="F31" s="49" t="n">
        <f aca="false">D31+E31</f>
        <v>4.53348560619898</v>
      </c>
      <c r="G31" s="53" t="n">
        <f aca="false">F31/B31*100</f>
        <v>11.4132259159536</v>
      </c>
      <c r="H31" s="42"/>
      <c r="K31" s="42"/>
      <c r="L31" s="43"/>
    </row>
    <row r="32" customFormat="false" ht="12.75" hidden="false" customHeight="false" outlineLevel="0" collapsed="false">
      <c r="A32" s="2" t="s">
        <v>33</v>
      </c>
      <c r="B32" s="56" t="n">
        <f aca="false">2.73893238*0.4*0.808</f>
        <v>0.885222945216</v>
      </c>
      <c r="C32" s="53" t="n">
        <f aca="false">1.353+6.5</f>
        <v>7.853</v>
      </c>
      <c r="D32" s="47" t="n">
        <f aca="false">C32*B32/100</f>
        <v>0.0695165578878125</v>
      </c>
      <c r="E32" s="49" t="n">
        <f aca="false">(0.0352+[1]Residential!$R$54-0.00687)*B32</f>
        <v>0.0313831532677653</v>
      </c>
      <c r="F32" s="49" t="n">
        <f aca="false">D32+E32</f>
        <v>0.100899711155578</v>
      </c>
      <c r="G32" s="53" t="n">
        <f aca="false">F32/B32*100</f>
        <v>11.3982259159536</v>
      </c>
      <c r="H32" s="42"/>
      <c r="K32" s="42"/>
      <c r="L32" s="43"/>
    </row>
    <row r="33" customFormat="false" ht="12.75" hidden="false" customHeight="false" outlineLevel="0" collapsed="false">
      <c r="A33" s="57"/>
      <c r="B33" s="58"/>
      <c r="C33" s="59"/>
      <c r="D33" s="47"/>
      <c r="E33" s="48"/>
      <c r="F33" s="49"/>
      <c r="G33" s="59"/>
      <c r="H33" s="42"/>
      <c r="K33" s="42"/>
      <c r="L33" s="43"/>
      <c r="Q33" s="60"/>
    </row>
    <row r="34" customFormat="false" ht="13.5" hidden="false" customHeight="false" outlineLevel="0" collapsed="false">
      <c r="A34" s="61" t="s">
        <v>34</v>
      </c>
      <c r="B34" s="62" t="n">
        <f aca="false">B31+B32</f>
        <v>40.60655712</v>
      </c>
      <c r="C34" s="63" t="n">
        <f aca="false">D34/B34*100</f>
        <v>12.4364442628756</v>
      </c>
      <c r="D34" s="64" t="n">
        <f aca="false">SUM(D26:D32)</f>
        <v>5.05001184330156</v>
      </c>
      <c r="E34" s="64" t="n">
        <f aca="false">SUM(E26:E32)</f>
        <v>1.30241854062211</v>
      </c>
      <c r="F34" s="64" t="n">
        <f aca="false">SUM(F26:F32)</f>
        <v>6.35243038392367</v>
      </c>
      <c r="G34" s="63" t="n">
        <f aca="false">F34/B34*100</f>
        <v>15.6438536888292</v>
      </c>
      <c r="H34" s="65" t="n">
        <f aca="false">(G34-C34)/C34</f>
        <v>0.257904056670612</v>
      </c>
      <c r="K34" s="42"/>
      <c r="L34" s="43"/>
    </row>
    <row r="35" customFormat="false" ht="13.5" hidden="false" customHeight="false" outlineLevel="0" collapsed="false">
      <c r="A35" s="40"/>
      <c r="B35" s="40"/>
      <c r="C35" s="66"/>
      <c r="D35" s="67"/>
      <c r="E35" s="67"/>
      <c r="F35" s="67"/>
      <c r="G35" s="66"/>
      <c r="H35" s="40"/>
      <c r="K35" s="42"/>
      <c r="L35" s="43"/>
    </row>
    <row r="36" customFormat="false" ht="12.75" hidden="false" customHeight="false" outlineLevel="0" collapsed="false">
      <c r="A36" s="44" t="s">
        <v>35</v>
      </c>
      <c r="B36" s="68"/>
      <c r="C36" s="69"/>
      <c r="D36" s="47"/>
      <c r="E36" s="49"/>
      <c r="F36" s="70"/>
      <c r="G36" s="69"/>
      <c r="H36" s="40"/>
      <c r="K36" s="42"/>
      <c r="L36" s="43" t="s">
        <v>36</v>
      </c>
      <c r="M36" s="71"/>
      <c r="N36" s="43" t="s">
        <v>37</v>
      </c>
      <c r="P36" s="1" t="s">
        <v>38</v>
      </c>
    </row>
    <row r="37" customFormat="false" ht="12.75" hidden="false" customHeight="false" outlineLevel="0" collapsed="false">
      <c r="A37" s="44"/>
      <c r="B37" s="68"/>
      <c r="C37" s="69"/>
      <c r="D37" s="47"/>
      <c r="E37" s="49"/>
      <c r="F37" s="49"/>
      <c r="G37" s="69"/>
      <c r="H37" s="40"/>
      <c r="K37" s="72"/>
      <c r="L37" s="73" t="s">
        <v>39</v>
      </c>
      <c r="M37" s="74"/>
      <c r="N37" s="73" t="s">
        <v>40</v>
      </c>
      <c r="P37" s="73" t="s">
        <v>41</v>
      </c>
    </row>
    <row r="38" customFormat="false" ht="12.75" hidden="false" customHeight="false" outlineLevel="0" collapsed="false">
      <c r="A38" s="75" t="s">
        <v>27</v>
      </c>
      <c r="B38" s="68"/>
      <c r="C38" s="69"/>
      <c r="D38" s="47"/>
      <c r="E38" s="49"/>
      <c r="F38" s="49"/>
      <c r="G38" s="76"/>
      <c r="H38" s="77"/>
      <c r="K38" s="78" t="s">
        <v>42</v>
      </c>
      <c r="L38" s="79" t="n">
        <f aca="false">SUM(B55:B59)+SUM(B88:B92)+SUM(B126:B128)+SUM(B268:B271)+SUM(B274:B277)+SUM(B292:B295)+SUM(B335:B337)+SUM(B350:B352)+SUM(B386:B388)</f>
        <v>870.173901170578</v>
      </c>
      <c r="N38" s="80" t="n">
        <f aca="false">N40*2</f>
        <v>0.16350200929989</v>
      </c>
      <c r="P38" s="81" t="n">
        <f aca="false">N38*L38</f>
        <v>142.275181281714</v>
      </c>
      <c r="Q38" s="82" t="n">
        <f aca="false">L38/(L38+L39)*N38+L39/(L38+L39)*N39</f>
        <v>0.129566400651046</v>
      </c>
    </row>
    <row r="39" customFormat="false" ht="12.75" hidden="false" customHeight="false" outlineLevel="0" collapsed="false">
      <c r="A39" s="83" t="s">
        <v>28</v>
      </c>
      <c r="B39" s="68"/>
      <c r="C39" s="69"/>
      <c r="D39" s="47"/>
      <c r="E39" s="49"/>
      <c r="F39" s="49"/>
      <c r="G39" s="76"/>
      <c r="H39" s="77"/>
      <c r="K39" s="78" t="s">
        <v>43</v>
      </c>
      <c r="L39" s="84" t="n">
        <f aca="false">SUM(B62:B66)+SUM(B95:B99)+SUM(B131:B133)+SUM(B280:B283)+SUM(B298:B301)+SUM(B340:B342)+SUM(B355:B357)+SUM(B391:B393)</f>
        <v>1953.68127111749</v>
      </c>
      <c r="N39" s="80" t="n">
        <f aca="false">N40*1.4</f>
        <v>0.114451406509923</v>
      </c>
      <c r="P39" s="81" t="n">
        <f aca="false">N39*L39</f>
        <v>223.601569351492</v>
      </c>
    </row>
    <row r="40" customFormat="false" ht="12.75" hidden="false" customHeight="false" outlineLevel="0" collapsed="false">
      <c r="A40" s="85" t="s">
        <v>32</v>
      </c>
      <c r="B40" s="56"/>
      <c r="C40" s="86" t="n">
        <f aca="false">D40/($B$55+$B$62+$B$81+$B$88+$B$95+$B$102)*100</f>
        <v>0.126150074023536</v>
      </c>
      <c r="D40" s="87" t="n">
        <v>3.83280601774231</v>
      </c>
      <c r="E40" s="49" t="n">
        <f aca="false">F40-D40</f>
        <v>0</v>
      </c>
      <c r="F40" s="54" t="n">
        <v>3.83280601774231</v>
      </c>
      <c r="G40" s="86" t="n">
        <f aca="false">F40/($B$55+$B$62+$B$81+$B$88+$B$95+$B$102)*100</f>
        <v>0.126150074023536</v>
      </c>
      <c r="H40" s="88"/>
      <c r="K40" s="78" t="s">
        <v>44</v>
      </c>
      <c r="L40" s="89" t="n">
        <f aca="false">SUM(B81:B85)+SUM(B102:B106)+SUM(B148:B150)+SUM(B286:B289)+SUM(B304:B307)+SUM(B345:B347)+SUM(B360:B362)+SUM(B396:B398)</f>
        <v>2445.32816431753</v>
      </c>
      <c r="N40" s="80" t="n">
        <f aca="false">0.095*P47</f>
        <v>0.0817510046499452</v>
      </c>
      <c r="P40" s="89" t="n">
        <f aca="false">N40*L40</f>
        <v>199.908034131764</v>
      </c>
    </row>
    <row r="41" customFormat="false" ht="12.75" hidden="false" customHeight="false" outlineLevel="0" collapsed="false">
      <c r="A41" s="85" t="s">
        <v>33</v>
      </c>
      <c r="B41" s="56"/>
      <c r="C41" s="86" t="n">
        <f aca="false">D41/(B56+B63+B82+B89+B96+B103)*100</f>
        <v>0.0296889340065724</v>
      </c>
      <c r="D41" s="87" t="n">
        <v>0.13977649592312</v>
      </c>
      <c r="E41" s="49" t="n">
        <f aca="false">F41-D41</f>
        <v>0</v>
      </c>
      <c r="F41" s="54" t="n">
        <v>0.13977649592312</v>
      </c>
      <c r="G41" s="86" t="n">
        <f aca="false">F41/($B$55+$B$62+$B$81+$B$88+$B$95+$B$102)*100</f>
        <v>0.00460049770998809</v>
      </c>
      <c r="H41" s="90"/>
      <c r="K41" s="78"/>
      <c r="L41" s="79" t="n">
        <f aca="false">SUM(L38:L40)</f>
        <v>5269.1833366056</v>
      </c>
      <c r="P41" s="81" t="n">
        <f aca="false">SUM(P38:P40)</f>
        <v>565.784784764969</v>
      </c>
    </row>
    <row r="42" customFormat="false" ht="12.75" hidden="false" customHeight="false" outlineLevel="0" collapsed="false">
      <c r="A42" s="85" t="s">
        <v>45</v>
      </c>
      <c r="B42" s="56"/>
      <c r="C42" s="86" t="n">
        <f aca="false">D42/(B57+B64+B83+B90+B97+B104)*100</f>
        <v>1.76712859335038</v>
      </c>
      <c r="D42" s="87" t="n">
        <v>2.57704541673984</v>
      </c>
      <c r="E42" s="49" t="n">
        <f aca="false">F42-D42</f>
        <v>0</v>
      </c>
      <c r="F42" s="54" t="n">
        <v>2.57704541673984</v>
      </c>
      <c r="G42" s="86" t="n">
        <f aca="false">F42/($B$55+$B$62+$B$81+$B$88+$B$95+$B$102)*100</f>
        <v>0.0848189208060262</v>
      </c>
      <c r="H42" s="90"/>
      <c r="K42" s="78"/>
    </row>
    <row r="43" customFormat="false" ht="12.75" hidden="false" customHeight="false" outlineLevel="0" collapsed="false">
      <c r="A43" s="85" t="s">
        <v>46</v>
      </c>
      <c r="B43" s="56"/>
      <c r="C43" s="86" t="n">
        <f aca="false">D43/(B58+B65+B84+B91+B98+B105)*100</f>
        <v>0.872724442018895</v>
      </c>
      <c r="D43" s="87" t="n">
        <v>5.21824050513433</v>
      </c>
      <c r="E43" s="49" t="n">
        <f aca="false">F43-D43</f>
        <v>0</v>
      </c>
      <c r="F43" s="54" t="n">
        <v>5.21824050513433</v>
      </c>
      <c r="G43" s="86" t="n">
        <f aca="false">F43/($B$55+$B$62+$B$81+$B$88+$B$95+$B$102)*100</f>
        <v>0.171749215313293</v>
      </c>
      <c r="H43" s="90"/>
      <c r="K43" s="91" t="s">
        <v>47</v>
      </c>
      <c r="L43" s="90" t="n">
        <f aca="false">L41</f>
        <v>5269.1833366056</v>
      </c>
      <c r="M43" s="92"/>
      <c r="N43" s="93" t="n">
        <f aca="false">0.065+0.0352+[1]Residential!$R$54</f>
        <v>0.107322259159536</v>
      </c>
      <c r="O43" s="94"/>
      <c r="P43" s="95" t="n">
        <f aca="false">L43*N43</f>
        <v>565.500659610294</v>
      </c>
      <c r="Q43" s="81"/>
    </row>
    <row r="44" customFormat="false" ht="12.75" hidden="false" customHeight="false" outlineLevel="0" collapsed="false">
      <c r="A44" s="85" t="s">
        <v>48</v>
      </c>
      <c r="B44" s="56"/>
      <c r="C44" s="86" t="n">
        <f aca="false">D44/(B59+B66+B85+B92+B99+B106)*100</f>
        <v>0.0118696755753583</v>
      </c>
      <c r="D44" s="87" t="n">
        <v>0.0189601053016413</v>
      </c>
      <c r="E44" s="49" t="n">
        <f aca="false">F44-D44</f>
        <v>0</v>
      </c>
      <c r="F44" s="54" t="n">
        <v>0.0189601053016413</v>
      </c>
      <c r="G44" s="86" t="n">
        <f aca="false">F44/($B$55+$B$62+$B$81+$B$88+$B$95+$B$102)*100</f>
        <v>0.000624038544143432</v>
      </c>
      <c r="H44" s="90"/>
      <c r="K44" s="91"/>
      <c r="L44" s="92"/>
      <c r="M44" s="92"/>
      <c r="N44" s="96"/>
      <c r="O44" s="94"/>
      <c r="Q44" s="81"/>
    </row>
    <row r="45" customFormat="false" ht="12.75" hidden="false" customHeight="false" outlineLevel="0" collapsed="false">
      <c r="B45" s="56"/>
      <c r="C45" s="86"/>
      <c r="D45" s="97"/>
      <c r="E45" s="49"/>
      <c r="F45" s="49"/>
      <c r="G45" s="98"/>
      <c r="H45" s="90"/>
      <c r="K45" s="99" t="s">
        <v>49</v>
      </c>
      <c r="L45" s="100"/>
      <c r="M45" s="100"/>
      <c r="N45" s="100"/>
      <c r="O45" s="100"/>
      <c r="P45" s="101" t="n">
        <f aca="false">P43</f>
        <v>565.500659610294</v>
      </c>
    </row>
    <row r="46" customFormat="false" ht="12.75" hidden="false" customHeight="false" outlineLevel="0" collapsed="false">
      <c r="A46" s="83" t="s">
        <v>50</v>
      </c>
      <c r="B46" s="56"/>
      <c r="C46" s="86"/>
      <c r="D46" s="97"/>
      <c r="E46" s="49"/>
      <c r="F46" s="49"/>
      <c r="G46" s="98"/>
      <c r="H46" s="90"/>
      <c r="K46" s="102" t="s">
        <v>51</v>
      </c>
      <c r="L46" s="11"/>
      <c r="M46" s="11"/>
      <c r="N46" s="11"/>
      <c r="O46" s="11"/>
      <c r="P46" s="103" t="n">
        <f aca="false">P41-P45</f>
        <v>0.28412515467528</v>
      </c>
    </row>
    <row r="47" customFormat="false" ht="12.75" hidden="false" customHeight="false" outlineLevel="0" collapsed="false">
      <c r="A47" s="85" t="s">
        <v>32</v>
      </c>
      <c r="B47" s="56"/>
      <c r="C47" s="86" t="n">
        <f aca="false">D47/(B55+B62+B81+B88+B95+B102)*100</f>
        <v>2.85553124</v>
      </c>
      <c r="D47" s="87" t="n">
        <v>86.7593412468485</v>
      </c>
      <c r="E47" s="49" t="n">
        <f aca="false">F47-D47</f>
        <v>-9.71145883700477</v>
      </c>
      <c r="F47" s="49" t="n">
        <v>77.0478824098437</v>
      </c>
      <c r="G47" s="86" t="n">
        <f aca="false">F47/($B$55+$B$62+$B$81+$B$88+$B$95+$B$102)</f>
        <v>0.0253589564</v>
      </c>
      <c r="H47" s="90"/>
      <c r="K47" s="102" t="s">
        <v>52</v>
      </c>
      <c r="L47" s="11"/>
      <c r="M47" s="11"/>
      <c r="N47" s="11"/>
      <c r="O47" s="11"/>
      <c r="P47" s="104" t="n">
        <v>0.860536891052054</v>
      </c>
    </row>
    <row r="48" customFormat="false" ht="12.75" hidden="false" customHeight="false" outlineLevel="0" collapsed="false">
      <c r="A48" s="85" t="s">
        <v>33</v>
      </c>
      <c r="B48" s="56"/>
      <c r="C48" s="86" t="n">
        <f aca="false">D48/(B56+B63+B82+B89+B96+B103)</f>
        <v>0.0238675896</v>
      </c>
      <c r="D48" s="87" t="n">
        <v>11.2369411433922</v>
      </c>
      <c r="E48" s="49" t="n">
        <f aca="false">F48-D48</f>
        <v>-1.2477550531628</v>
      </c>
      <c r="F48" s="49" t="n">
        <v>9.98918609022944</v>
      </c>
      <c r="G48" s="86" t="n">
        <f aca="false">F48/($B$55+$B$62+$B$81+$B$88+$B$95+$B$102)</f>
        <v>0.00328776504441933</v>
      </c>
      <c r="H48" s="90"/>
      <c r="K48" s="105" t="s">
        <v>53</v>
      </c>
      <c r="L48" s="106"/>
      <c r="M48" s="106"/>
      <c r="N48" s="106"/>
      <c r="O48" s="106"/>
      <c r="P48" s="107"/>
    </row>
    <row r="49" customFormat="false" ht="12.75" hidden="false" customHeight="false" outlineLevel="0" collapsed="false">
      <c r="A49" s="85" t="s">
        <v>45</v>
      </c>
      <c r="B49" s="56"/>
      <c r="C49" s="86" t="n">
        <f aca="false">D49/(B57+B64+B83+B90+B97+B104)</f>
        <v>0.0092892044</v>
      </c>
      <c r="D49" s="87" t="n">
        <v>1.35466664476257</v>
      </c>
      <c r="E49" s="49" t="n">
        <f aca="false">F49-D49</f>
        <v>-0.466132154222669</v>
      </c>
      <c r="F49" s="49" t="n">
        <v>0.888534490539896</v>
      </c>
      <c r="G49" s="86" t="n">
        <f aca="false">F49/($B$55+$B$62+$B$81+$B$88+$B$95+$B$102)</f>
        <v>0.000292445511813557</v>
      </c>
      <c r="H49" s="90"/>
    </row>
    <row r="50" customFormat="false" ht="12.75" hidden="false" customHeight="false" outlineLevel="0" collapsed="false">
      <c r="A50" s="85" t="s">
        <v>46</v>
      </c>
      <c r="B50" s="56"/>
      <c r="C50" s="86" t="n">
        <f aca="false">D50/(B58+B65+B84+B91+B98+B105)</f>
        <v>0.00623871704027778</v>
      </c>
      <c r="D50" s="87" t="n">
        <v>3.73028694880353</v>
      </c>
      <c r="E50" s="49" t="n">
        <f aca="false">F50-D50</f>
        <v>-0.825890056713682</v>
      </c>
      <c r="F50" s="49" t="n">
        <v>2.90439689208985</v>
      </c>
      <c r="G50" s="86" t="n">
        <f aca="false">F50/($B$55+$B$62+$B$81+$B$88+$B$95+$B$102)</f>
        <v>0.000955931193060177</v>
      </c>
      <c r="H50" s="90"/>
    </row>
    <row r="51" customFormat="false" ht="12.75" hidden="false" customHeight="false" outlineLevel="0" collapsed="false">
      <c r="A51" s="85" t="s">
        <v>48</v>
      </c>
      <c r="B51" s="56"/>
      <c r="C51" s="86" t="n">
        <f aca="false">D51/(B59+B66+B85+B92+B99+B106)</f>
        <v>0.005914068</v>
      </c>
      <c r="D51" s="87" t="n">
        <v>0.944687589219831</v>
      </c>
      <c r="E51" s="49" t="n">
        <f aca="false">F51-D51</f>
        <v>-0.210056873048564</v>
      </c>
      <c r="F51" s="49" t="n">
        <v>0.734630716171267</v>
      </c>
      <c r="G51" s="86" t="n">
        <f aca="false">F51/($B$55+$B$62+$B$81+$B$88+$B$95+$B$102)</f>
        <v>0.000241790789296343</v>
      </c>
      <c r="H51" s="90"/>
    </row>
    <row r="52" customFormat="false" ht="12.75" hidden="false" customHeight="false" outlineLevel="0" collapsed="false">
      <c r="A52" s="108"/>
      <c r="B52" s="56"/>
      <c r="C52" s="86"/>
      <c r="D52" s="47"/>
      <c r="E52" s="49"/>
      <c r="F52" s="49"/>
      <c r="G52" s="98"/>
      <c r="H52" s="90"/>
    </row>
    <row r="53" customFormat="false" ht="12.75" hidden="false" customHeight="false" outlineLevel="0" collapsed="false">
      <c r="A53" s="4" t="s">
        <v>31</v>
      </c>
      <c r="B53" s="56"/>
      <c r="C53" s="86"/>
      <c r="D53" s="47"/>
      <c r="E53" s="49"/>
      <c r="F53" s="49"/>
      <c r="G53" s="98"/>
      <c r="H53" s="90"/>
      <c r="K53" s="1" t="s">
        <v>54</v>
      </c>
      <c r="L53" s="80" t="n">
        <f aca="false">0.0352+[1]Residential!$N$52</f>
        <v>0.0352</v>
      </c>
    </row>
    <row r="54" customFormat="false" ht="12.75" hidden="false" customHeight="false" outlineLevel="0" collapsed="false">
      <c r="A54" s="78" t="s">
        <v>55</v>
      </c>
      <c r="B54" s="56"/>
      <c r="C54" s="86"/>
      <c r="D54" s="47"/>
      <c r="E54" s="49"/>
      <c r="F54" s="49"/>
      <c r="G54" s="86"/>
      <c r="H54" s="90"/>
    </row>
    <row r="55" customFormat="false" ht="12.75" hidden="false" customHeight="false" outlineLevel="0" collapsed="false">
      <c r="A55" s="85" t="s">
        <v>32</v>
      </c>
      <c r="B55" s="56" t="n">
        <f aca="false">642.584335264508*0.68*0.808</f>
        <v>353.061537167731</v>
      </c>
      <c r="C55" s="86" t="n">
        <f aca="false">1.542+6.5</f>
        <v>8.042</v>
      </c>
      <c r="D55" s="47" t="n">
        <f aca="false">C55*B55/100</f>
        <v>28.393208819029</v>
      </c>
      <c r="E55" s="49" t="n">
        <f aca="false">(($N$38-0.065)-0.0066)*B55</f>
        <v>32.4470646722224</v>
      </c>
      <c r="F55" s="49" t="n">
        <f aca="false">D55+E55</f>
        <v>60.8402734912514</v>
      </c>
      <c r="G55" s="86" t="n">
        <f aca="false">F55/B55*100</f>
        <v>17.232200929989</v>
      </c>
      <c r="H55" s="90"/>
    </row>
    <row r="56" customFormat="false" ht="12.75" hidden="false" customHeight="false" outlineLevel="0" collapsed="false">
      <c r="A56" s="85" t="s">
        <v>33</v>
      </c>
      <c r="B56" s="56" t="n">
        <f aca="false">90.8256987135955*0.68*0.808</f>
        <v>49.9032719011979</v>
      </c>
      <c r="C56" s="86" t="n">
        <f aca="false">1.503+6.5</f>
        <v>8.003</v>
      </c>
      <c r="D56" s="47" t="n">
        <f aca="false">C56*B56/100</f>
        <v>3.99375885025287</v>
      </c>
      <c r="E56" s="49" t="n">
        <f aca="false">(($N$38-0.065)-0.00643)*B56</f>
        <v>4.59469451458205</v>
      </c>
      <c r="F56" s="49" t="n">
        <f aca="false">D56+E56</f>
        <v>8.58845336483492</v>
      </c>
      <c r="G56" s="86" t="n">
        <f aca="false">F56/B56*100</f>
        <v>17.210200929989</v>
      </c>
      <c r="H56" s="90"/>
      <c r="L56" s="80"/>
    </row>
    <row r="57" customFormat="false" ht="12.75" hidden="false" customHeight="false" outlineLevel="0" collapsed="false">
      <c r="A57" s="85" t="s">
        <v>45</v>
      </c>
      <c r="B57" s="56" t="n">
        <f aca="false">30.84286568*0.68*0.808</f>
        <v>16.9463041192192</v>
      </c>
      <c r="C57" s="86" t="n">
        <f aca="false">1.069+6.5</f>
        <v>7.569</v>
      </c>
      <c r="D57" s="47" t="n">
        <f aca="false">C57*B57/100</f>
        <v>1.2826657587837</v>
      </c>
      <c r="E57" s="49" t="n">
        <f aca="false">(($N$38-0.065)-0.0066)*B57</f>
        <v>1.55739939876325</v>
      </c>
      <c r="F57" s="49" t="n">
        <f aca="false">D57+E57</f>
        <v>2.84006515754695</v>
      </c>
      <c r="G57" s="86" t="n">
        <f aca="false">F57/B57*100</f>
        <v>16.759200929989</v>
      </c>
      <c r="H57" s="90"/>
    </row>
    <row r="58" customFormat="false" ht="12.75" hidden="false" customHeight="false" outlineLevel="0" collapsed="false">
      <c r="A58" s="85" t="s">
        <v>46</v>
      </c>
      <c r="B58" s="56" t="n">
        <f aca="false">114.38365314383*0.68*0.808</f>
        <v>62.846954383346</v>
      </c>
      <c r="C58" s="86" t="n">
        <f aca="false">1.025+6.5</f>
        <v>7.525</v>
      </c>
      <c r="D58" s="47" t="n">
        <f aca="false">C58*B58/100</f>
        <v>4.72923331734678</v>
      </c>
      <c r="E58" s="49" t="n">
        <f aca="false">(($N$38-0.065)-0.00621)*B58</f>
        <v>5.80027169841755</v>
      </c>
      <c r="F58" s="49" t="n">
        <f aca="false">D58+E58</f>
        <v>10.5295050157643</v>
      </c>
      <c r="G58" s="86" t="n">
        <f aca="false">F58/B58*100</f>
        <v>16.754200929989</v>
      </c>
      <c r="H58" s="90"/>
    </row>
    <row r="59" customFormat="false" ht="12.75" hidden="false" customHeight="false" outlineLevel="0" collapsed="false">
      <c r="A59" s="85" t="s">
        <v>48</v>
      </c>
      <c r="B59" s="56" t="n">
        <f aca="false">28.5130954303513*0.68*0.808</f>
        <v>15.6662351532522</v>
      </c>
      <c r="C59" s="86" t="n">
        <f aca="false">1.021+6.5</f>
        <v>7.521</v>
      </c>
      <c r="D59" s="47" t="n">
        <f aca="false">C59*B59/100</f>
        <v>1.1782575458761</v>
      </c>
      <c r="E59" s="49" t="n">
        <f aca="false">(($N$38-0.065)-0.00617)*B59</f>
        <v>1.44649496986435</v>
      </c>
      <c r="F59" s="49" t="n">
        <f aca="false">D59+E59</f>
        <v>2.62475251574045</v>
      </c>
      <c r="G59" s="86" t="n">
        <f aca="false">F59/B59*100</f>
        <v>16.754200929989</v>
      </c>
      <c r="H59" s="90"/>
    </row>
    <row r="60" customFormat="false" ht="12.75" hidden="false" customHeight="false" outlineLevel="0" collapsed="false">
      <c r="A60" s="85"/>
      <c r="B60" s="56"/>
      <c r="C60" s="86"/>
      <c r="D60" s="47"/>
      <c r="E60" s="49"/>
      <c r="F60" s="49"/>
      <c r="G60" s="86"/>
      <c r="H60" s="90"/>
    </row>
    <row r="61" customFormat="false" ht="12.75" hidden="false" customHeight="false" outlineLevel="0" collapsed="false">
      <c r="A61" s="109" t="s">
        <v>56</v>
      </c>
      <c r="B61" s="56"/>
      <c r="C61" s="86"/>
      <c r="D61" s="47"/>
      <c r="E61" s="49"/>
      <c r="F61" s="49"/>
      <c r="G61" s="86"/>
      <c r="H61" s="90"/>
    </row>
    <row r="62" customFormat="false" ht="12.75" hidden="false" customHeight="false" outlineLevel="0" collapsed="false">
      <c r="A62" s="85" t="s">
        <v>32</v>
      </c>
      <c r="B62" s="56" t="n">
        <f aca="false">700.97897383455*0.68*0.808</f>
        <v>385.145887383655</v>
      </c>
      <c r="C62" s="86" t="n">
        <f aca="false">1.266+6.5</f>
        <v>7.766</v>
      </c>
      <c r="D62" s="47" t="n">
        <f aca="false">C62*B62/100</f>
        <v>29.9104296142147</v>
      </c>
      <c r="E62" s="49" t="n">
        <f aca="false">(($N$39-0.065)-0.00385)*B62</f>
        <v>17.5631941762072</v>
      </c>
      <c r="F62" s="49" t="n">
        <f aca="false">D62+E62</f>
        <v>47.4736237904218</v>
      </c>
      <c r="G62" s="86" t="n">
        <f aca="false">F62/B62*100</f>
        <v>12.3261406509923</v>
      </c>
      <c r="H62" s="90"/>
    </row>
    <row r="63" customFormat="false" ht="12.75" hidden="false" customHeight="false" outlineLevel="0" collapsed="false">
      <c r="A63" s="85" t="s">
        <v>33</v>
      </c>
      <c r="B63" s="56" t="n">
        <f aca="false">109.865540079459*0.68*0.808</f>
        <v>60.364522341258</v>
      </c>
      <c r="C63" s="53" t="n">
        <f aca="false">1.237+6.5</f>
        <v>7.737</v>
      </c>
      <c r="D63" s="47" t="n">
        <f aca="false">C63*B63/100</f>
        <v>4.67040309354313</v>
      </c>
      <c r="E63" s="49" t="n">
        <f aca="false">(($N$39-0.065)-0.00377)*B63</f>
        <v>2.75753628384835</v>
      </c>
      <c r="F63" s="49" t="n">
        <f aca="false">D63+E63</f>
        <v>7.42793937739148</v>
      </c>
      <c r="G63" s="86" t="n">
        <f aca="false">F63/B63*100</f>
        <v>12.3051406509923</v>
      </c>
      <c r="H63" s="110"/>
    </row>
    <row r="64" customFormat="false" ht="12.75" hidden="false" customHeight="false" outlineLevel="0" collapsed="false">
      <c r="A64" s="85" t="s">
        <v>45</v>
      </c>
      <c r="B64" s="90" t="n">
        <f aca="false">33.64570088*0.68*0.808</f>
        <v>18.4862938915072</v>
      </c>
      <c r="C64" s="53" t="n">
        <f aca="false">0.793+6.5</f>
        <v>7.293</v>
      </c>
      <c r="D64" s="47" t="n">
        <f aca="false">C64*B64/100</f>
        <v>1.34820541350762</v>
      </c>
      <c r="E64" s="49" t="n">
        <f aca="false">(($N$39-0.065)-0.00385)*B64</f>
        <v>0.843001002608531</v>
      </c>
      <c r="F64" s="49" t="n">
        <f aca="false">D64+E64</f>
        <v>2.19120641611615</v>
      </c>
      <c r="G64" s="86" t="n">
        <f aca="false">F64/B64*100</f>
        <v>11.8531406509923</v>
      </c>
      <c r="H64" s="110"/>
    </row>
    <row r="65" customFormat="false" ht="12.75" hidden="false" customHeight="false" outlineLevel="0" collapsed="false">
      <c r="A65" s="85" t="s">
        <v>46</v>
      </c>
      <c r="B65" s="90" t="n">
        <f aca="false">138.659159253819*0.68*0.808</f>
        <v>76.1848884604183</v>
      </c>
      <c r="C65" s="53" t="n">
        <f aca="false">0.77+6.5</f>
        <v>7.27</v>
      </c>
      <c r="D65" s="47" t="n">
        <f aca="false">C65*B65/100</f>
        <v>5.53864139107241</v>
      </c>
      <c r="E65" s="49" t="n">
        <f aca="false">(($N$39-0.065)-0.00366)*B65</f>
        <v>3.48861319740418</v>
      </c>
      <c r="F65" s="49" t="n">
        <f aca="false">D65+E65</f>
        <v>9.02725458847659</v>
      </c>
      <c r="G65" s="86" t="n">
        <f aca="false">F65/B65*100</f>
        <v>11.8491406509923</v>
      </c>
      <c r="H65" s="110"/>
    </row>
    <row r="66" customFormat="false" ht="12.75" hidden="false" customHeight="false" outlineLevel="0" collapsed="false">
      <c r="A66" s="85" t="s">
        <v>48</v>
      </c>
      <c r="B66" s="90" t="n">
        <f aca="false">35.2288312315781*0.68*0.808</f>
        <v>19.3561290318783</v>
      </c>
      <c r="C66" s="53" t="n">
        <f aca="false">0.767+6.5</f>
        <v>7.267</v>
      </c>
      <c r="D66" s="47" t="n">
        <f aca="false">C66*B66/100</f>
        <v>1.40660989674659</v>
      </c>
      <c r="E66" s="49" t="n">
        <f aca="false">(($N$39-0.065)-0.00363)*B66</f>
        <v>0.886925056828221</v>
      </c>
      <c r="F66" s="49" t="n">
        <f aca="false">D66+E66</f>
        <v>2.29353495357482</v>
      </c>
      <c r="G66" s="86" t="n">
        <f aca="false">F66/B66*100</f>
        <v>11.8491406509923</v>
      </c>
      <c r="H66" s="110"/>
    </row>
    <row r="67" customFormat="false" ht="12.75" hidden="false" customHeight="false" outlineLevel="0" collapsed="false">
      <c r="A67" s="85"/>
      <c r="B67" s="90"/>
      <c r="C67" s="110"/>
      <c r="D67" s="111"/>
      <c r="E67" s="112"/>
      <c r="F67" s="113"/>
      <c r="G67" s="56"/>
      <c r="H67" s="110"/>
    </row>
    <row r="68" customFormat="false" ht="12.75" hidden="false" customHeight="false" outlineLevel="0" collapsed="false">
      <c r="D68" s="114"/>
      <c r="E68" s="114"/>
      <c r="F68" s="114"/>
      <c r="H68" s="110"/>
    </row>
    <row r="69" customFormat="false" ht="12.75" hidden="false" customHeight="false" outlineLevel="0" collapsed="false">
      <c r="A69" s="83"/>
      <c r="B69" s="42"/>
      <c r="C69" s="46"/>
      <c r="D69" s="111"/>
      <c r="E69" s="115"/>
      <c r="F69" s="113"/>
      <c r="G69" s="46"/>
      <c r="H69" s="42"/>
    </row>
    <row r="70" customFormat="false" ht="12.75" hidden="false" customHeight="false" outlineLevel="0" collapsed="false">
      <c r="H70" s="2" t="s">
        <v>57</v>
      </c>
    </row>
    <row r="71" customFormat="false" ht="20.25" hidden="false" customHeight="false" outlineLevel="0" collapsed="false">
      <c r="A71" s="3" t="s">
        <v>1</v>
      </c>
      <c r="B71" s="3"/>
      <c r="C71" s="3"/>
      <c r="D71" s="3"/>
      <c r="E71" s="3"/>
      <c r="F71" s="3"/>
      <c r="G71" s="3"/>
      <c r="H71" s="3"/>
    </row>
    <row r="72" customFormat="false" ht="20.25" hidden="false" customHeight="false" outlineLevel="0" collapsed="false">
      <c r="A72" s="3" t="s">
        <v>2</v>
      </c>
      <c r="B72" s="3"/>
      <c r="C72" s="3"/>
      <c r="D72" s="3"/>
      <c r="E72" s="3"/>
      <c r="F72" s="3"/>
      <c r="G72" s="3"/>
      <c r="H72" s="3"/>
    </row>
    <row r="73" customFormat="false" ht="20.25" hidden="false" customHeight="false" outlineLevel="0" collapsed="false">
      <c r="A73" s="3" t="s">
        <v>3</v>
      </c>
      <c r="B73" s="3"/>
      <c r="C73" s="3"/>
      <c r="D73" s="3"/>
      <c r="E73" s="3"/>
      <c r="F73" s="3"/>
      <c r="G73" s="3"/>
      <c r="H73" s="3"/>
    </row>
    <row r="74" customFormat="false" ht="13.5" hidden="false" customHeight="false" outlineLevel="0" collapsed="false">
      <c r="A74" s="4"/>
      <c r="B74" s="4"/>
      <c r="C74" s="4"/>
      <c r="D74" s="4"/>
      <c r="E74" s="4"/>
      <c r="F74" s="4"/>
      <c r="G74" s="4"/>
      <c r="H74" s="4"/>
    </row>
    <row r="75" customFormat="false" ht="64.5" hidden="false" customHeight="false" outlineLevel="0" collapsed="false">
      <c r="A75" s="37" t="s">
        <v>17</v>
      </c>
      <c r="B75" s="39" t="s">
        <v>18</v>
      </c>
      <c r="C75" s="39" t="s">
        <v>19</v>
      </c>
      <c r="D75" s="39" t="s">
        <v>20</v>
      </c>
      <c r="E75" s="39" t="s">
        <v>21</v>
      </c>
      <c r="F75" s="39" t="s">
        <v>22</v>
      </c>
      <c r="G75" s="39" t="s">
        <v>23</v>
      </c>
      <c r="H75" s="39" t="s">
        <v>24</v>
      </c>
    </row>
    <row r="76" customFormat="false" ht="12.75" hidden="false" customHeight="false" outlineLevel="0" collapsed="false">
      <c r="A76" s="116"/>
      <c r="B76" s="117"/>
      <c r="C76" s="117"/>
      <c r="D76" s="117"/>
      <c r="E76" s="117"/>
      <c r="F76" s="117"/>
      <c r="G76" s="117"/>
      <c r="H76" s="117"/>
    </row>
    <row r="77" customFormat="false" ht="12.75" hidden="false" customHeight="false" outlineLevel="0" collapsed="false">
      <c r="A77" s="44" t="s">
        <v>58</v>
      </c>
      <c r="B77" s="117"/>
      <c r="C77" s="117"/>
      <c r="D77" s="117"/>
      <c r="E77" s="117"/>
      <c r="F77" s="117"/>
      <c r="G77" s="117"/>
      <c r="H77" s="117"/>
    </row>
    <row r="78" customFormat="false" ht="12.75" hidden="false" customHeight="false" outlineLevel="0" collapsed="false">
      <c r="A78" s="116"/>
      <c r="B78" s="117"/>
      <c r="C78" s="117"/>
      <c r="D78" s="117"/>
      <c r="E78" s="117"/>
      <c r="F78" s="117"/>
      <c r="G78" s="117"/>
      <c r="H78" s="117"/>
    </row>
    <row r="79" customFormat="false" ht="12.75" hidden="false" customHeight="false" outlineLevel="0" collapsed="false">
      <c r="A79" s="117" t="s">
        <v>31</v>
      </c>
      <c r="B79" s="117"/>
      <c r="C79" s="117"/>
      <c r="D79" s="117"/>
      <c r="E79" s="117"/>
      <c r="F79" s="117"/>
      <c r="G79" s="117"/>
      <c r="H79" s="117"/>
    </row>
    <row r="80" customFormat="false" ht="12.75" hidden="false" customHeight="false" outlineLevel="0" collapsed="false">
      <c r="A80" s="109" t="s">
        <v>59</v>
      </c>
      <c r="B80" s="56"/>
      <c r="C80" s="110"/>
      <c r="D80" s="118"/>
      <c r="E80" s="119"/>
      <c r="F80" s="120"/>
      <c r="G80" s="56"/>
      <c r="H80" s="117"/>
    </row>
    <row r="81" customFormat="false" ht="12.75" hidden="false" customHeight="false" outlineLevel="0" collapsed="false">
      <c r="A81" s="85" t="s">
        <v>32</v>
      </c>
      <c r="B81" s="90" t="n">
        <f aca="false">1089.54663131937*0.68*0.808</f>
        <v>598.640501112115</v>
      </c>
      <c r="C81" s="53" t="n">
        <f aca="false">0.988+6.5</f>
        <v>7.488</v>
      </c>
      <c r="D81" s="47" t="n">
        <f aca="false">C81*B81/100</f>
        <v>44.8262007232751</v>
      </c>
      <c r="E81" s="49" t="n">
        <f aca="false">(($N$40-0.065)-0.00303)*B81</f>
        <v>8.21394909940483</v>
      </c>
      <c r="F81" s="49" t="n">
        <f aca="false">D81+E81</f>
        <v>53.04014982268</v>
      </c>
      <c r="G81" s="86" t="n">
        <f aca="false">F81/B81*100</f>
        <v>8.86010046499452</v>
      </c>
      <c r="H81" s="117"/>
    </row>
    <row r="82" customFormat="false" ht="12.75" hidden="false" customHeight="false" outlineLevel="0" collapsed="false">
      <c r="A82" s="85" t="s">
        <v>33</v>
      </c>
      <c r="B82" s="90" t="n">
        <f aca="false">176.335322907217*0.68*0.808</f>
        <v>96.8856798181413</v>
      </c>
      <c r="C82" s="53" t="n">
        <f aca="false">0.976+6.5</f>
        <v>7.476</v>
      </c>
      <c r="D82" s="47" t="n">
        <f aca="false">C82*B82/100</f>
        <v>7.24317342320425</v>
      </c>
      <c r="E82" s="49" t="n">
        <f aca="false">(($N$40-0.065)-0.00298)*B82</f>
        <v>1.33421314728872</v>
      </c>
      <c r="F82" s="49" t="n">
        <f aca="false">D82+E82</f>
        <v>8.57738657049297</v>
      </c>
      <c r="G82" s="86" t="n">
        <f aca="false">F82/B82*100</f>
        <v>8.85310046499452</v>
      </c>
      <c r="H82" s="117"/>
    </row>
    <row r="83" customFormat="false" ht="12.75" hidden="false" customHeight="false" outlineLevel="0" collapsed="false">
      <c r="A83" s="85" t="s">
        <v>45</v>
      </c>
      <c r="B83" s="56" t="n">
        <f aca="false">52.29623344*0.68*0.808</f>
        <v>28.7336425012736</v>
      </c>
      <c r="C83" s="53" t="n">
        <f aca="false">0.711+6.5</f>
        <v>7.211</v>
      </c>
      <c r="D83" s="47" t="n">
        <f aca="false">C83*B83/100</f>
        <v>2.07198296076684</v>
      </c>
      <c r="E83" s="49" t="n">
        <f aca="false">(($N$40-0.065)-0.00303)*B83</f>
        <v>0.394254442369837</v>
      </c>
      <c r="F83" s="49" t="n">
        <f aca="false">D83+E83</f>
        <v>2.46623740313668</v>
      </c>
      <c r="G83" s="86" t="n">
        <f aca="false">F83/B83*100</f>
        <v>8.58310046499452</v>
      </c>
      <c r="H83" s="117"/>
    </row>
    <row r="84" customFormat="false" ht="12.75" hidden="false" customHeight="false" outlineLevel="0" collapsed="false">
      <c r="A84" s="85" t="s">
        <v>46</v>
      </c>
      <c r="B84" s="56" t="n">
        <f aca="false">225.784985837423*0.68*0.808</f>
        <v>124.055302618514</v>
      </c>
      <c r="C84" s="53" t="n">
        <f aca="false">0.697+6.5</f>
        <v>7.197</v>
      </c>
      <c r="D84" s="47" t="n">
        <f aca="false">C84*B84/100</f>
        <v>8.92826012945443</v>
      </c>
      <c r="E84" s="49" t="n">
        <f aca="false">(($N$40-0.065)-0.00293)*B84</f>
        <v>1.71456891434083</v>
      </c>
      <c r="F84" s="49" t="n">
        <f aca="false">D84+E84</f>
        <v>10.6428290437953</v>
      </c>
      <c r="G84" s="86" t="n">
        <f aca="false">F84/B84*100</f>
        <v>8.57910046499452</v>
      </c>
      <c r="H84" s="117"/>
    </row>
    <row r="85" customFormat="false" ht="12.75" hidden="false" customHeight="false" outlineLevel="0" collapsed="false">
      <c r="A85" s="85" t="s">
        <v>48</v>
      </c>
      <c r="B85" s="56" t="n">
        <f aca="false">64.1768505042946*0.68*0.808</f>
        <v>35.2613287410796</v>
      </c>
      <c r="C85" s="53" t="n">
        <f aca="false">0.695+6.5</f>
        <v>7.195</v>
      </c>
      <c r="D85" s="47" t="n">
        <f aca="false">C85*B85/100</f>
        <v>2.53705260292068</v>
      </c>
      <c r="E85" s="49" t="n">
        <f aca="false">(($N$40-0.065)-0.00291)*B85</f>
        <v>0.488052215068528</v>
      </c>
      <c r="F85" s="49" t="n">
        <f aca="false">D85+E85</f>
        <v>3.02510481798921</v>
      </c>
      <c r="G85" s="86" t="n">
        <f aca="false">F85/B85*100</f>
        <v>8.57910046499452</v>
      </c>
      <c r="H85" s="117"/>
    </row>
    <row r="86" customFormat="false" ht="12.75" hidden="false" customHeight="false" outlineLevel="0" collapsed="false">
      <c r="A86" s="117"/>
      <c r="B86" s="117"/>
      <c r="C86" s="121"/>
      <c r="D86" s="122"/>
      <c r="E86" s="122"/>
      <c r="F86" s="122"/>
      <c r="G86" s="121"/>
      <c r="H86" s="117"/>
    </row>
    <row r="87" customFormat="false" ht="12.75" hidden="false" customHeight="false" outlineLevel="0" collapsed="false">
      <c r="A87" s="109" t="s">
        <v>60</v>
      </c>
      <c r="B87" s="56"/>
      <c r="C87" s="123"/>
      <c r="D87" s="47"/>
      <c r="E87" s="124"/>
      <c r="F87" s="124"/>
      <c r="G87" s="123"/>
      <c r="H87" s="124"/>
    </row>
    <row r="88" customFormat="false" ht="12.75" hidden="false" customHeight="false" outlineLevel="0" collapsed="false">
      <c r="A88" s="85" t="s">
        <v>32</v>
      </c>
      <c r="B88" s="90" t="n">
        <f aca="false">315.552240090994*0.68*0.808</f>
        <v>173.377022795596</v>
      </c>
      <c r="C88" s="53" t="n">
        <f aca="false">1.344+6.5</f>
        <v>7.844</v>
      </c>
      <c r="D88" s="47" t="n">
        <f aca="false">C88*B88/100</f>
        <v>13.5996936680865</v>
      </c>
      <c r="E88" s="49" t="n">
        <f aca="false">(($N$38-0.065)-0.00552)*B88</f>
        <v>16.1209439459674</v>
      </c>
      <c r="F88" s="49" t="n">
        <f aca="false">D88+E88</f>
        <v>29.7206376140539</v>
      </c>
      <c r="G88" s="53" t="n">
        <f aca="false">F88/B88*100</f>
        <v>17.142200929989</v>
      </c>
      <c r="H88" s="42"/>
    </row>
    <row r="89" customFormat="false" ht="12.75" hidden="false" customHeight="false" outlineLevel="0" collapsed="false">
      <c r="A89" s="85" t="s">
        <v>33</v>
      </c>
      <c r="B89" s="90" t="n">
        <f aca="false">45.1540720349035*0.68*0.808</f>
        <v>24.8094533388574</v>
      </c>
      <c r="C89" s="53" t="n">
        <f aca="false">1.315+6.5</f>
        <v>7.815</v>
      </c>
      <c r="D89" s="47" t="n">
        <f aca="false">C89*B89/100</f>
        <v>1.9388587784317</v>
      </c>
      <c r="E89" s="49" t="n">
        <f aca="false">(($N$38-0.065)-0.00538)*B89</f>
        <v>2.31030614454627</v>
      </c>
      <c r="F89" s="49" t="n">
        <f aca="false">D89+E89</f>
        <v>4.24916492297798</v>
      </c>
      <c r="G89" s="53" t="n">
        <f aca="false">F89/B89*100</f>
        <v>17.127200929989</v>
      </c>
      <c r="H89" s="42"/>
    </row>
    <row r="90" customFormat="false" ht="12.75" hidden="false" customHeight="false" outlineLevel="0" collapsed="false">
      <c r="A90" s="85" t="s">
        <v>45</v>
      </c>
      <c r="B90" s="90" t="n">
        <f aca="false">15.14592688*0.68*0.808</f>
        <v>8.3217780649472</v>
      </c>
      <c r="C90" s="53" t="n">
        <f aca="false">0.961+6.5</f>
        <v>7.461</v>
      </c>
      <c r="D90" s="47" t="n">
        <f aca="false">C90*B90/100</f>
        <v>0.620887861425711</v>
      </c>
      <c r="E90" s="49" t="n">
        <f aca="false">(($N$38-0.065)-0.00552)*B90</f>
        <v>0.773775645426544</v>
      </c>
      <c r="F90" s="49" t="n">
        <f aca="false">D90+E90</f>
        <v>1.39466350685225</v>
      </c>
      <c r="G90" s="53" t="n">
        <f aca="false">F90/B90*100</f>
        <v>16.759200929989</v>
      </c>
      <c r="H90" s="42"/>
    </row>
    <row r="91" customFormat="false" ht="12.75" hidden="false" customHeight="false" outlineLevel="0" collapsed="false">
      <c r="A91" s="85" t="s">
        <v>46</v>
      </c>
      <c r="B91" s="90" t="n">
        <f aca="false">57.2979462290751*0.68*0.808</f>
        <v>31.481783576103</v>
      </c>
      <c r="C91" s="53" t="n">
        <f aca="false">0.924+6.5</f>
        <v>7.424</v>
      </c>
      <c r="D91" s="47" t="n">
        <f aca="false">C91*B91/100</f>
        <v>2.33720761268989</v>
      </c>
      <c r="E91" s="49" t="n">
        <f aca="false">(($N$38-0.065)-0.0052)*B91</f>
        <v>2.9373136639947</v>
      </c>
      <c r="F91" s="49" t="n">
        <f aca="false">D91+E91</f>
        <v>5.27452127668459</v>
      </c>
      <c r="G91" s="53" t="n">
        <f aca="false">F91/B91*100</f>
        <v>16.754200929989</v>
      </c>
      <c r="H91" s="42"/>
    </row>
    <row r="92" customFormat="false" ht="12.75" hidden="false" customHeight="false" outlineLevel="0" collapsed="false">
      <c r="A92" s="85" t="s">
        <v>48</v>
      </c>
      <c r="B92" s="90" t="n">
        <f aca="false">14.9455647649119*0.68*0.808</f>
        <v>8.2116911044332</v>
      </c>
      <c r="C92" s="53" t="n">
        <f aca="false">0.921+6.5</f>
        <v>7.421</v>
      </c>
      <c r="D92" s="47" t="n">
        <f aca="false">C92*B92/100</f>
        <v>0.609389596859987</v>
      </c>
      <c r="E92" s="49" t="n">
        <f aca="false">(($N$38-0.065)-0.00517)*B92</f>
        <v>0.766413630526786</v>
      </c>
      <c r="F92" s="49" t="n">
        <f aca="false">D92+E92</f>
        <v>1.37580322738677</v>
      </c>
      <c r="G92" s="53" t="n">
        <f aca="false">F92/B92*100</f>
        <v>16.754200929989</v>
      </c>
      <c r="H92" s="42"/>
    </row>
    <row r="93" customFormat="false" ht="12.75" hidden="false" customHeight="false" outlineLevel="0" collapsed="false">
      <c r="A93" s="85"/>
      <c r="B93" s="90"/>
      <c r="C93" s="59"/>
      <c r="D93" s="47"/>
      <c r="E93" s="48"/>
      <c r="F93" s="49"/>
      <c r="G93" s="53"/>
      <c r="H93" s="42"/>
    </row>
    <row r="94" customFormat="false" ht="12.75" hidden="false" customHeight="false" outlineLevel="0" collapsed="false">
      <c r="A94" s="109" t="s">
        <v>61</v>
      </c>
      <c r="B94" s="90"/>
      <c r="C94" s="59"/>
      <c r="D94" s="47"/>
      <c r="E94" s="48"/>
      <c r="F94" s="49"/>
      <c r="G94" s="53"/>
      <c r="H94" s="42"/>
    </row>
    <row r="95" customFormat="false" ht="12.75" hidden="false" customHeight="false" outlineLevel="0" collapsed="false">
      <c r="A95" s="85" t="s">
        <v>32</v>
      </c>
      <c r="B95" s="90" t="n">
        <f aca="false">1360.99322394496*0.68*0.808</f>
        <v>747.784116964319</v>
      </c>
      <c r="C95" s="86" t="n">
        <f aca="false">1.178+6.5</f>
        <v>7.678</v>
      </c>
      <c r="D95" s="47" t="n">
        <f aca="false">C95*B95/100</f>
        <v>57.4148645005204</v>
      </c>
      <c r="E95" s="49" t="n">
        <f aca="false">(($N$39-0.065)-0.00387)*B95</f>
        <v>34.0850518170146</v>
      </c>
      <c r="F95" s="49" t="n">
        <f aca="false">D95+E95</f>
        <v>91.499916317535</v>
      </c>
      <c r="G95" s="53" t="n">
        <f aca="false">F95/B95*100</f>
        <v>12.2361406509923</v>
      </c>
    </row>
    <row r="96" customFormat="false" ht="12.75" hidden="false" customHeight="false" outlineLevel="0" collapsed="false">
      <c r="A96" s="85" t="s">
        <v>33</v>
      </c>
      <c r="B96" s="90" t="n">
        <f aca="false">205.328665501968*0.68*0.808</f>
        <v>112.815781973401</v>
      </c>
      <c r="C96" s="53" t="n">
        <f aca="false">1.155+6.5</f>
        <v>7.655</v>
      </c>
      <c r="D96" s="47" t="n">
        <f aca="false">C96*B96/100</f>
        <v>8.63604811006387</v>
      </c>
      <c r="E96" s="49" t="n">
        <f aca="false">(($N$39-0.065)-0.00378)*B96</f>
        <v>5.15245543924208</v>
      </c>
      <c r="F96" s="49" t="n">
        <f aca="false">D96+E96</f>
        <v>13.788503549306</v>
      </c>
      <c r="G96" s="53" t="n">
        <f aca="false">F96/B96*100</f>
        <v>12.2221406509923</v>
      </c>
      <c r="H96" s="42"/>
    </row>
    <row r="97" customFormat="false" ht="12.75" hidden="false" customHeight="false" outlineLevel="0" collapsed="false">
      <c r="A97" s="85" t="s">
        <v>45</v>
      </c>
      <c r="B97" s="90" t="n">
        <f aca="false">65.3251704*0.68*0.808</f>
        <v>35.892261624576</v>
      </c>
      <c r="C97" s="53" t="n">
        <f aca="false">0.795+6.5</f>
        <v>7.295</v>
      </c>
      <c r="D97" s="47" t="n">
        <f aca="false">C97*B97/100</f>
        <v>2.61834048551282</v>
      </c>
      <c r="E97" s="49" t="n">
        <f aca="false">(($N$39-0.065)-0.00387)*B97</f>
        <v>1.63601976767032</v>
      </c>
      <c r="F97" s="49" t="n">
        <f aca="false">D97+E97</f>
        <v>4.25436025318314</v>
      </c>
      <c r="G97" s="53" t="n">
        <f aca="false">F97/B97*100</f>
        <v>11.8531406509923</v>
      </c>
      <c r="H97" s="42"/>
    </row>
    <row r="98" customFormat="false" ht="12.75" hidden="false" customHeight="false" outlineLevel="0" collapsed="false">
      <c r="A98" s="85" t="s">
        <v>46</v>
      </c>
      <c r="B98" s="90" t="n">
        <f aca="false">259.491998810725*0.68*0.808</f>
        <v>142.575283826565</v>
      </c>
      <c r="C98" s="53" t="n">
        <f aca="false">0.772+6.5</f>
        <v>7.272</v>
      </c>
      <c r="D98" s="47" t="n">
        <f aca="false">C98*B98/100</f>
        <v>10.3680746398678</v>
      </c>
      <c r="E98" s="49" t="n">
        <f aca="false">(($N$39-0.065)-0.00368)*B98</f>
        <v>6.52587127429338</v>
      </c>
      <c r="F98" s="49" t="n">
        <f aca="false">D98+E98</f>
        <v>16.8939459141612</v>
      </c>
      <c r="G98" s="53" t="n">
        <f aca="false">F98/B98*100</f>
        <v>11.8491406509923</v>
      </c>
      <c r="H98" s="42"/>
    </row>
    <row r="99" customFormat="false" ht="12.75" hidden="false" customHeight="false" outlineLevel="0" collapsed="false">
      <c r="A99" s="85" t="s">
        <v>48</v>
      </c>
      <c r="B99" s="90" t="n">
        <f aca="false">64.715272266367*0.68*0.808</f>
        <v>35.5571591940327</v>
      </c>
      <c r="C99" s="53" t="n">
        <f aca="false">0.769+6.5</f>
        <v>7.269</v>
      </c>
      <c r="D99" s="47" t="n">
        <f aca="false">C99*B99/100</f>
        <v>2.58464990181424</v>
      </c>
      <c r="E99" s="49" t="n">
        <f aca="false">(($N$39-0.065)-0.00365)*B99</f>
        <v>1.62856790258395</v>
      </c>
      <c r="F99" s="49" t="n">
        <f aca="false">D99+E99</f>
        <v>4.21321780439818</v>
      </c>
      <c r="G99" s="53" t="n">
        <f aca="false">F99/B99*100</f>
        <v>11.8491406509923</v>
      </c>
      <c r="H99" s="42"/>
    </row>
    <row r="100" customFormat="false" ht="12.75" hidden="false" customHeight="false" outlineLevel="0" collapsed="false">
      <c r="A100" s="85"/>
      <c r="B100" s="90"/>
      <c r="C100" s="59"/>
      <c r="D100" s="47"/>
      <c r="E100" s="48"/>
      <c r="F100" s="49"/>
      <c r="G100" s="53"/>
      <c r="H100" s="42"/>
    </row>
    <row r="101" customFormat="false" ht="12.75" hidden="false" customHeight="false" outlineLevel="0" collapsed="false">
      <c r="A101" s="109" t="s">
        <v>62</v>
      </c>
      <c r="B101" s="90"/>
      <c r="C101" s="59"/>
      <c r="D101" s="47"/>
      <c r="E101" s="48"/>
      <c r="F101" s="49"/>
      <c r="G101" s="53"/>
      <c r="H101" s="42"/>
    </row>
    <row r="102" customFormat="false" ht="12.75" hidden="false" customHeight="false" outlineLevel="0" collapsed="false">
      <c r="A102" s="85" t="s">
        <v>32</v>
      </c>
      <c r="B102" s="90" t="n">
        <f aca="false">1420.13991467841*0.68*0.808</f>
        <v>780.281674720906</v>
      </c>
      <c r="C102" s="53" t="n">
        <f aca="false">0.993+6.5</f>
        <v>7.493</v>
      </c>
      <c r="D102" s="47" t="n">
        <f aca="false">C102*B102/100</f>
        <v>58.4665058868375</v>
      </c>
      <c r="E102" s="49" t="n">
        <f aca="false">(($N$40-0.065)-0.00306)*B102</f>
        <v>10.6828400368709</v>
      </c>
      <c r="F102" s="49" t="n">
        <f aca="false">D102+E102</f>
        <v>69.1493459237084</v>
      </c>
      <c r="G102" s="53" t="n">
        <f aca="false">F102/B102*100</f>
        <v>8.86210046499452</v>
      </c>
      <c r="H102" s="42"/>
    </row>
    <row r="103" customFormat="false" ht="12.75" hidden="false" customHeight="false" outlineLevel="0" collapsed="false">
      <c r="A103" s="85" t="s">
        <v>33</v>
      </c>
      <c r="B103" s="90" t="n">
        <f aca="false">229.369250081656*0.68*0.808</f>
        <v>126.024640764865</v>
      </c>
      <c r="C103" s="53" t="n">
        <f aca="false">0.981+6.5</f>
        <v>7.481</v>
      </c>
      <c r="D103" s="47" t="n">
        <f aca="false">C103*B103/100</f>
        <v>9.42790337561956</v>
      </c>
      <c r="E103" s="49" t="n">
        <f aca="false">(($N$40-0.065)-0.00301)*B103</f>
        <v>1.73170517475768</v>
      </c>
      <c r="F103" s="49" t="n">
        <f aca="false">D103+E103</f>
        <v>11.1596085503772</v>
      </c>
      <c r="G103" s="53" t="n">
        <f aca="false">F103/B103*100</f>
        <v>8.85510046499452</v>
      </c>
      <c r="H103" s="42"/>
    </row>
    <row r="104" customFormat="false" ht="12.75" hidden="false" customHeight="false" outlineLevel="0" collapsed="false">
      <c r="A104" s="85" t="s">
        <v>45</v>
      </c>
      <c r="B104" s="90" t="n">
        <f aca="false">68.16410272*0.68*0.808</f>
        <v>37.4520845984768</v>
      </c>
      <c r="C104" s="53" t="n">
        <f aca="false">0.714+6.5</f>
        <v>7.214</v>
      </c>
      <c r="D104" s="47" t="n">
        <f aca="false">C104*B104/100</f>
        <v>2.70179338293412</v>
      </c>
      <c r="E104" s="49" t="n">
        <f aca="false">(($N$40-0.065)-0.00306)*B104</f>
        <v>0.512756664387886</v>
      </c>
      <c r="F104" s="49" t="n">
        <f aca="false">D104+E104</f>
        <v>3.214550047322</v>
      </c>
      <c r="G104" s="53" t="n">
        <f aca="false">F104/B104*100</f>
        <v>8.58310046499452</v>
      </c>
      <c r="H104" s="42"/>
    </row>
    <row r="105" customFormat="false" ht="12.75" hidden="false" customHeight="false" outlineLevel="0" collapsed="false">
      <c r="A105" s="85" t="s">
        <v>46</v>
      </c>
      <c r="B105" s="90" t="n">
        <f aca="false">292.627252713928*0.68*0.808</f>
        <v>160.781117731141</v>
      </c>
      <c r="C105" s="53" t="n">
        <f aca="false">0.7+6.5</f>
        <v>7.2</v>
      </c>
      <c r="D105" s="47" t="n">
        <f aca="false">C105*B105/100</f>
        <v>11.5762404766421</v>
      </c>
      <c r="E105" s="49" t="n">
        <f aca="false">(($N$40-0.065)-0.00296)*B105</f>
        <v>2.21733314225354</v>
      </c>
      <c r="F105" s="49" t="n">
        <f aca="false">D105+E105</f>
        <v>13.7935736188957</v>
      </c>
      <c r="G105" s="53" t="n">
        <f aca="false">F105/B105*100</f>
        <v>8.57910046499452</v>
      </c>
      <c r="H105" s="42"/>
    </row>
    <row r="106" customFormat="false" ht="12.75" hidden="false" customHeight="false" outlineLevel="0" collapsed="false">
      <c r="A106" s="85" t="s">
        <v>48</v>
      </c>
      <c r="B106" s="90" t="n">
        <f aca="false">83.1448793620971*0.68*0.808</f>
        <v>45.6831225167106</v>
      </c>
      <c r="C106" s="53" t="n">
        <f aca="false">0.698+6.5</f>
        <v>7.198</v>
      </c>
      <c r="D106" s="47" t="n">
        <f aca="false">C106*B106/100</f>
        <v>3.28827115875283</v>
      </c>
      <c r="E106" s="49" t="n">
        <f aca="false">(($N$40-0.065)-0.00294)*B106</f>
        <v>0.630929817502305</v>
      </c>
      <c r="F106" s="49" t="n">
        <f aca="false">D106+E106</f>
        <v>3.91920097625514</v>
      </c>
      <c r="G106" s="53" t="n">
        <f aca="false">F106/B106*100</f>
        <v>8.57910046499452</v>
      </c>
      <c r="H106" s="42"/>
    </row>
    <row r="107" customFormat="false" ht="12.75" hidden="false" customHeight="false" outlineLevel="0" collapsed="false">
      <c r="A107" s="85"/>
      <c r="B107" s="58"/>
      <c r="C107" s="59"/>
      <c r="D107" s="47"/>
      <c r="E107" s="48"/>
      <c r="F107" s="49"/>
      <c r="G107" s="59"/>
      <c r="H107" s="42"/>
    </row>
    <row r="108" customFormat="false" ht="13.5" hidden="false" customHeight="false" outlineLevel="0" collapsed="false">
      <c r="A108" s="61" t="s">
        <v>63</v>
      </c>
      <c r="B108" s="125" t="n">
        <f aca="false">SUM(B55:B106)</f>
        <v>4412.58745141952</v>
      </c>
      <c r="C108" s="126" t="n">
        <f aca="false">D108/B108*100</f>
        <v>10.1994480572875</v>
      </c>
      <c r="D108" s="64" t="n">
        <f aca="false">SUM(D40:D106)</f>
        <v>450.059565089921</v>
      </c>
      <c r="E108" s="64" t="n">
        <f aca="false">SUM(E40:E106)</f>
        <v>158.781223882105</v>
      </c>
      <c r="F108" s="64" t="n">
        <f aca="false">SUM(F40:F106)</f>
        <v>608.840788972026</v>
      </c>
      <c r="G108" s="63" t="n">
        <f aca="false">F108/B108*100</f>
        <v>13.7978180755639</v>
      </c>
      <c r="H108" s="65" t="n">
        <f aca="false">(G108-C108)/C108</f>
        <v>0.352800465090394</v>
      </c>
    </row>
    <row r="109" customFormat="false" ht="13.5" hidden="false" customHeight="false" outlineLevel="0" collapsed="false">
      <c r="A109" s="116"/>
      <c r="B109" s="127"/>
      <c r="C109" s="128"/>
      <c r="D109" s="129"/>
      <c r="E109" s="122"/>
      <c r="F109" s="122"/>
      <c r="G109" s="128"/>
      <c r="H109" s="117"/>
    </row>
    <row r="110" customFormat="false" ht="12.75" hidden="false" customHeight="false" outlineLevel="0" collapsed="false">
      <c r="A110" s="83"/>
      <c r="B110" s="58"/>
      <c r="D110" s="114"/>
      <c r="E110" s="48"/>
      <c r="F110" s="49"/>
      <c r="G110" s="59"/>
      <c r="H110" s="42"/>
    </row>
    <row r="111" customFormat="false" ht="12.75" hidden="false" customHeight="false" outlineLevel="0" collapsed="false">
      <c r="A111" s="130" t="s">
        <v>64</v>
      </c>
      <c r="B111" s="56"/>
      <c r="C111" s="86"/>
      <c r="D111" s="111"/>
      <c r="E111" s="49"/>
      <c r="F111" s="49"/>
      <c r="G111" s="98"/>
      <c r="H111" s="83"/>
    </row>
    <row r="112" customFormat="false" ht="12.75" hidden="false" customHeight="false" outlineLevel="0" collapsed="false">
      <c r="A112" s="130"/>
      <c r="B112" s="56"/>
      <c r="C112" s="86"/>
      <c r="D112" s="111"/>
      <c r="E112" s="49"/>
      <c r="F112" s="49"/>
      <c r="G112" s="98"/>
      <c r="H112" s="83"/>
    </row>
    <row r="113" customFormat="false" ht="12.75" hidden="false" customHeight="false" outlineLevel="0" collapsed="false">
      <c r="A113" s="75" t="s">
        <v>27</v>
      </c>
      <c r="B113" s="56"/>
      <c r="C113" s="86"/>
      <c r="D113" s="111"/>
      <c r="E113" s="49"/>
      <c r="F113" s="49"/>
      <c r="G113" s="98"/>
      <c r="H113" s="83"/>
    </row>
    <row r="114" customFormat="false" ht="12.75" hidden="false" customHeight="false" outlineLevel="0" collapsed="false">
      <c r="A114" s="83" t="s">
        <v>28</v>
      </c>
      <c r="B114" s="56"/>
      <c r="C114" s="86"/>
      <c r="D114" s="111"/>
      <c r="E114" s="49"/>
      <c r="F114" s="49"/>
      <c r="G114" s="98"/>
      <c r="H114" s="83"/>
    </row>
    <row r="115" customFormat="false" ht="12.75" hidden="false" customHeight="false" outlineLevel="0" collapsed="false">
      <c r="A115" s="131" t="s">
        <v>65</v>
      </c>
      <c r="B115" s="56"/>
      <c r="C115" s="86" t="n">
        <f aca="false">D115/(B126+B131+B148)*100</f>
        <v>0.165539509055655</v>
      </c>
      <c r="D115" s="49" t="n">
        <v>0.323233933018736</v>
      </c>
      <c r="E115" s="49" t="n">
        <f aca="false">F115-D115</f>
        <v>0</v>
      </c>
      <c r="F115" s="49" t="n">
        <v>0.323233933018736</v>
      </c>
      <c r="G115" s="86" t="n">
        <f aca="false">F115/(B126+B131+B148)*100</f>
        <v>0.165539509055655</v>
      </c>
      <c r="H115" s="83"/>
    </row>
    <row r="116" customFormat="false" ht="12.75" hidden="false" customHeight="false" outlineLevel="0" collapsed="false">
      <c r="A116" s="132" t="s">
        <v>66</v>
      </c>
      <c r="B116" s="56"/>
      <c r="C116" s="86" t="n">
        <f aca="false">D116/(B127+B132+B149)*100</f>
        <v>0.0619099900417236</v>
      </c>
      <c r="D116" s="49" t="n">
        <v>0.00556278357231836</v>
      </c>
      <c r="E116" s="49" t="n">
        <f aca="false">F116-D116</f>
        <v>0</v>
      </c>
      <c r="F116" s="49" t="n">
        <v>0.00556278357231836</v>
      </c>
      <c r="G116" s="86" t="n">
        <f aca="false">F116/(B127+B132+B149)*100</f>
        <v>0.0619099900417236</v>
      </c>
      <c r="H116" s="83"/>
    </row>
    <row r="117" customFormat="false" ht="12.75" hidden="false" customHeight="false" outlineLevel="0" collapsed="false">
      <c r="A117" s="132" t="s">
        <v>67</v>
      </c>
      <c r="B117" s="56"/>
      <c r="C117" s="86" t="n">
        <f aca="false">D117/(B128+B133+B150)*100</f>
        <v>0.0842387551173525</v>
      </c>
      <c r="D117" s="49" t="n">
        <v>0.000362074670387586</v>
      </c>
      <c r="E117" s="49" t="n">
        <f aca="false">F117-D117</f>
        <v>0</v>
      </c>
      <c r="F117" s="49" t="n">
        <v>0.000362074670387586</v>
      </c>
      <c r="G117" s="86" t="n">
        <f aca="false">F117/(B128+B133+B150)*100</f>
        <v>0.0842387551173525</v>
      </c>
      <c r="H117" s="83"/>
    </row>
    <row r="118" customFormat="false" ht="12.75" hidden="false" customHeight="false" outlineLevel="0" collapsed="false">
      <c r="A118" s="132"/>
      <c r="B118" s="56"/>
      <c r="C118" s="86"/>
      <c r="D118" s="111"/>
      <c r="E118" s="49"/>
      <c r="F118" s="49"/>
      <c r="G118" s="98"/>
      <c r="H118" s="83"/>
    </row>
    <row r="119" customFormat="false" ht="12.75" hidden="false" customHeight="false" outlineLevel="0" collapsed="false">
      <c r="A119" s="83" t="s">
        <v>50</v>
      </c>
      <c r="B119" s="56"/>
      <c r="E119" s="49"/>
      <c r="G119" s="98"/>
      <c r="H119" s="83"/>
    </row>
    <row r="120" customFormat="false" ht="12.75" hidden="false" customHeight="false" outlineLevel="0" collapsed="false">
      <c r="A120" s="131" t="s">
        <v>65</v>
      </c>
      <c r="B120" s="56"/>
      <c r="C120" s="86" t="n">
        <f aca="false">D120/(B126+B131+B148)*100</f>
        <v>3.798756</v>
      </c>
      <c r="D120" s="111" t="n">
        <v>7.41748510348488</v>
      </c>
      <c r="E120" s="49" t="n">
        <f aca="false">F120-D120</f>
        <v>-0.837126429951344</v>
      </c>
      <c r="F120" s="49" t="n">
        <v>6.58035867353354</v>
      </c>
      <c r="G120" s="86" t="n">
        <f aca="false">F120/(B126+B131+B148)*100</f>
        <v>3.370034</v>
      </c>
      <c r="H120" s="83"/>
    </row>
    <row r="121" customFormat="false" ht="12.75" hidden="false" customHeight="false" outlineLevel="0" collapsed="false">
      <c r="A121" s="132" t="s">
        <v>66</v>
      </c>
      <c r="B121" s="56"/>
      <c r="C121" s="86" t="n">
        <f aca="false">D121/(B127+B132+B149)*100</f>
        <v>3.1100448</v>
      </c>
      <c r="D121" s="111" t="n">
        <v>0.279446113800933</v>
      </c>
      <c r="E121" s="49" t="n">
        <f aca="false">F121-D121</f>
        <v>-0.0307123927173233</v>
      </c>
      <c r="F121" s="49" t="n">
        <v>0.24873372108361</v>
      </c>
      <c r="G121" s="86" t="n">
        <f aca="false">F121/(B127+B132+B149)*100</f>
        <v>2.7682368</v>
      </c>
      <c r="H121" s="83"/>
    </row>
    <row r="122" customFormat="false" ht="12.75" hidden="false" customHeight="false" outlineLevel="0" collapsed="false">
      <c r="A122" s="132" t="s">
        <v>67</v>
      </c>
      <c r="B122" s="56"/>
      <c r="C122" s="86" t="n">
        <f aca="false">D122/(B128+B133+B150)*100</f>
        <v>0.5824412</v>
      </c>
      <c r="D122" s="111" t="n">
        <v>0.00250344636760556</v>
      </c>
      <c r="E122" s="49" t="n">
        <f aca="false">F122-D122</f>
        <v>-0.000658418276612959</v>
      </c>
      <c r="F122" s="49" t="n">
        <v>0.0018450280909926</v>
      </c>
      <c r="G122" s="86" t="n">
        <f aca="false">F122/(B128+B133+B150)*100</f>
        <v>0.4292564</v>
      </c>
      <c r="H122" s="83"/>
    </row>
    <row r="123" customFormat="false" ht="12.75" hidden="false" customHeight="false" outlineLevel="0" collapsed="false">
      <c r="A123" s="132"/>
      <c r="B123" s="56"/>
      <c r="C123" s="86"/>
      <c r="D123" s="111"/>
      <c r="E123" s="49"/>
      <c r="F123" s="49"/>
      <c r="G123" s="98"/>
      <c r="H123" s="83"/>
    </row>
    <row r="124" customFormat="false" ht="12.75" hidden="false" customHeight="false" outlineLevel="0" collapsed="false">
      <c r="A124" s="4" t="s">
        <v>31</v>
      </c>
      <c r="B124" s="56"/>
      <c r="C124" s="86"/>
      <c r="D124" s="111"/>
      <c r="E124" s="49"/>
      <c r="F124" s="49"/>
      <c r="G124" s="98"/>
      <c r="H124" s="83"/>
    </row>
    <row r="125" customFormat="false" ht="12.75" hidden="false" customHeight="false" outlineLevel="0" collapsed="false">
      <c r="A125" s="83" t="s">
        <v>68</v>
      </c>
      <c r="B125" s="56"/>
      <c r="C125" s="133"/>
      <c r="D125" s="112"/>
      <c r="E125" s="124"/>
      <c r="F125" s="124"/>
      <c r="G125" s="133"/>
      <c r="H125" s="91"/>
    </row>
    <row r="126" customFormat="false" ht="12.75" hidden="false" customHeight="false" outlineLevel="0" collapsed="false">
      <c r="A126" s="131" t="s">
        <v>65</v>
      </c>
      <c r="B126" s="56" t="n">
        <f aca="false">112.939299431931*0.43*0.808</f>
        <v>39.2396301946301</v>
      </c>
      <c r="C126" s="53" t="n">
        <f aca="false">2.18+6.5</f>
        <v>8.68</v>
      </c>
      <c r="D126" s="113" t="n">
        <f aca="false">B126*C126/100</f>
        <v>3.40599990089389</v>
      </c>
      <c r="E126" s="49" t="n">
        <f aca="false">(($N$38-0.065)-0.00634)*B126</f>
        <v>3.61640316292176</v>
      </c>
      <c r="F126" s="49" t="n">
        <f aca="false">D126+E126</f>
        <v>7.02240306381565</v>
      </c>
      <c r="G126" s="53" t="n">
        <f aca="false">F126/B126*100</f>
        <v>17.896200929989</v>
      </c>
      <c r="H126" s="91"/>
    </row>
    <row r="127" customFormat="false" ht="12.75" hidden="false" customHeight="false" outlineLevel="0" collapsed="false">
      <c r="A127" s="132" t="s">
        <v>66</v>
      </c>
      <c r="B127" s="56" t="n">
        <f aca="false">4.68908108215586*0.43*0.808</f>
        <v>1.62917433118423</v>
      </c>
      <c r="C127" s="86" t="n">
        <f aca="false">2.129+6.5</f>
        <v>8.629</v>
      </c>
      <c r="D127" s="113" t="n">
        <f aca="false">B127*C127/100</f>
        <v>0.140581453037887</v>
      </c>
      <c r="E127" s="49" t="n">
        <f aca="false">(($N$38-0.065)-0.00617)*B127</f>
        <v>0.150424939498045</v>
      </c>
      <c r="F127" s="49" t="n">
        <f aca="false">D127+E127</f>
        <v>0.291006392535933</v>
      </c>
      <c r="G127" s="53" t="n">
        <f aca="false">F127/B127*100</f>
        <v>17.862200929989</v>
      </c>
      <c r="H127" s="11"/>
    </row>
    <row r="128" customFormat="false" ht="12.75" hidden="false" customHeight="false" outlineLevel="0" collapsed="false">
      <c r="A128" s="132" t="s">
        <v>67</v>
      </c>
      <c r="B128" s="56" t="n">
        <f aca="false">0.184125685689439*0.43*0.808</f>
        <v>0.0639726282359387</v>
      </c>
      <c r="C128" s="86" t="n">
        <f aca="false">0.996+6.5</f>
        <v>7.496</v>
      </c>
      <c r="D128" s="113" t="n">
        <f aca="false">B128*C128/100</f>
        <v>0.00479538821256596</v>
      </c>
      <c r="E128" s="49" t="n">
        <f aca="false">(($N$38-0.065)-0.00588)*B128</f>
        <v>0.00592527336740754</v>
      </c>
      <c r="F128" s="49" t="n">
        <f aca="false">D128+E128</f>
        <v>0.0107206615799735</v>
      </c>
      <c r="G128" s="53" t="n">
        <f aca="false">F128/B128*100</f>
        <v>16.758200929989</v>
      </c>
      <c r="H128" s="11"/>
    </row>
    <row r="129" customFormat="false" ht="12.75" hidden="false" customHeight="false" outlineLevel="0" collapsed="false">
      <c r="A129" s="132"/>
      <c r="B129" s="56"/>
      <c r="C129" s="86"/>
      <c r="D129" s="113"/>
      <c r="E129" s="134"/>
      <c r="F129" s="49"/>
      <c r="G129" s="53"/>
      <c r="H129" s="11"/>
    </row>
    <row r="130" customFormat="false" ht="12.75" hidden="false" customHeight="false" outlineLevel="0" collapsed="false">
      <c r="A130" s="109" t="s">
        <v>69</v>
      </c>
      <c r="B130" s="56"/>
      <c r="C130" s="86"/>
      <c r="D130" s="113"/>
      <c r="E130" s="134"/>
      <c r="F130" s="49"/>
      <c r="G130" s="53"/>
      <c r="H130" s="11"/>
    </row>
    <row r="131" customFormat="false" ht="12.75" hidden="false" customHeight="false" outlineLevel="0" collapsed="false">
      <c r="A131" s="132" t="s">
        <v>65</v>
      </c>
      <c r="B131" s="56" t="n">
        <f aca="false">249.756808230223*0.43*0.808</f>
        <v>86.7755054515087</v>
      </c>
      <c r="C131" s="86" t="n">
        <f aca="false">1.54+6.5</f>
        <v>8.04</v>
      </c>
      <c r="D131" s="113" t="n">
        <f aca="false">B131*C131/100</f>
        <v>6.9767506383013</v>
      </c>
      <c r="E131" s="49" t="n">
        <f aca="false">(($N$39-0.065)-0.00395)*B131</f>
        <v>3.94840754865316</v>
      </c>
      <c r="F131" s="49" t="n">
        <f aca="false">D131+E131</f>
        <v>10.9251581869545</v>
      </c>
      <c r="G131" s="53" t="n">
        <f aca="false">F131/B131*100</f>
        <v>12.5901406509923</v>
      </c>
      <c r="H131" s="11"/>
    </row>
    <row r="132" customFormat="false" ht="12.75" hidden="false" customHeight="false" outlineLevel="0" collapsed="false">
      <c r="A132" s="132" t="s">
        <v>66</v>
      </c>
      <c r="B132" s="56" t="n">
        <f aca="false">11.4248313873357*0.43*0.808</f>
        <v>3.96944341721592</v>
      </c>
      <c r="C132" s="86" t="n">
        <f aca="false">1.513+6.5</f>
        <v>8.013</v>
      </c>
      <c r="D132" s="113" t="n">
        <f aca="false">B132*C132/100</f>
        <v>0.318071501021511</v>
      </c>
      <c r="E132" s="49" t="n">
        <f aca="false">(($N$39-0.065)-0.00386)*B132</f>
        <v>0.18097250845243</v>
      </c>
      <c r="F132" s="49" t="n">
        <f aca="false">D132+E132</f>
        <v>0.499044009473941</v>
      </c>
      <c r="G132" s="53" t="n">
        <f aca="false">F132/B132*100</f>
        <v>12.5721406509923</v>
      </c>
      <c r="H132" s="11"/>
    </row>
    <row r="133" customFormat="false" ht="12.75" hidden="false" customHeight="false" outlineLevel="0" collapsed="false">
      <c r="A133" s="132" t="s">
        <v>67</v>
      </c>
      <c r="B133" s="56" t="n">
        <f aca="false">0.41777019039294*0.43*0.808</f>
        <v>0.145150074950123</v>
      </c>
      <c r="C133" s="86" t="n">
        <f aca="false">0.78+6.5</f>
        <v>7.28</v>
      </c>
      <c r="D133" s="113" t="n">
        <f aca="false">B133*C133/100</f>
        <v>0.010566925456369</v>
      </c>
      <c r="E133" s="49" t="n">
        <f aca="false">(($N$39-0.065)-0.00372)*B133</f>
        <v>0.0066379170824899</v>
      </c>
      <c r="F133" s="49" t="n">
        <f aca="false">D133+E133</f>
        <v>0.0172048425388589</v>
      </c>
      <c r="G133" s="53" t="n">
        <f aca="false">F133/B133*100</f>
        <v>11.8531406509923</v>
      </c>
      <c r="H133" s="11"/>
    </row>
    <row r="134" customFormat="false" ht="12.75" hidden="false" customHeight="false" outlineLevel="0" collapsed="false">
      <c r="A134" s="2"/>
      <c r="B134" s="56"/>
      <c r="C134" s="56"/>
      <c r="D134" s="113"/>
      <c r="E134" s="135"/>
      <c r="F134" s="113"/>
      <c r="G134" s="90"/>
    </row>
    <row r="137" customFormat="false" ht="12.75" hidden="false" customHeight="false" outlineLevel="0" collapsed="false">
      <c r="F137" s="51"/>
      <c r="H137" s="2" t="s">
        <v>70</v>
      </c>
    </row>
    <row r="138" customFormat="false" ht="20.25" hidden="false" customHeight="false" outlineLevel="0" collapsed="false">
      <c r="A138" s="3" t="s">
        <v>1</v>
      </c>
      <c r="B138" s="3"/>
      <c r="C138" s="3"/>
      <c r="D138" s="3"/>
      <c r="E138" s="3"/>
      <c r="F138" s="3"/>
      <c r="G138" s="3"/>
      <c r="H138" s="3"/>
    </row>
    <row r="139" customFormat="false" ht="20.25" hidden="false" customHeight="false" outlineLevel="0" collapsed="false">
      <c r="A139" s="3" t="s">
        <v>2</v>
      </c>
      <c r="B139" s="3"/>
      <c r="C139" s="3"/>
      <c r="D139" s="3"/>
      <c r="E139" s="3"/>
      <c r="F139" s="3"/>
      <c r="G139" s="3"/>
      <c r="H139" s="3"/>
    </row>
    <row r="140" customFormat="false" ht="20.25" hidden="false" customHeight="false" outlineLevel="0" collapsed="false">
      <c r="A140" s="3" t="s">
        <v>3</v>
      </c>
      <c r="B140" s="3"/>
      <c r="C140" s="3"/>
      <c r="D140" s="3"/>
      <c r="E140" s="3"/>
      <c r="F140" s="3"/>
      <c r="G140" s="3"/>
      <c r="H140" s="3"/>
    </row>
    <row r="141" customFormat="false" ht="13.5" hidden="false" customHeight="false" outlineLevel="0" collapsed="false">
      <c r="A141" s="4"/>
      <c r="B141" s="4"/>
      <c r="C141" s="4"/>
      <c r="D141" s="4"/>
      <c r="E141" s="4"/>
      <c r="F141" s="4"/>
      <c r="G141" s="4"/>
      <c r="H141" s="4"/>
    </row>
    <row r="142" customFormat="false" ht="64.5" hidden="false" customHeight="false" outlineLevel="0" collapsed="false">
      <c r="A142" s="37" t="s">
        <v>17</v>
      </c>
      <c r="B142" s="39" t="s">
        <v>18</v>
      </c>
      <c r="C142" s="39" t="s">
        <v>19</v>
      </c>
      <c r="D142" s="39" t="s">
        <v>20</v>
      </c>
      <c r="E142" s="39" t="s">
        <v>21</v>
      </c>
      <c r="F142" s="39" t="s">
        <v>22</v>
      </c>
      <c r="G142" s="39" t="s">
        <v>23</v>
      </c>
      <c r="H142" s="39" t="s">
        <v>24</v>
      </c>
    </row>
    <row r="143" customFormat="false" ht="12.75" hidden="false" customHeight="false" outlineLevel="0" collapsed="false">
      <c r="A143" s="109"/>
      <c r="B143" s="11"/>
      <c r="C143" s="11"/>
      <c r="D143" s="11"/>
      <c r="E143" s="136"/>
      <c r="F143" s="11"/>
      <c r="G143" s="11"/>
      <c r="H143" s="11"/>
    </row>
    <row r="144" customFormat="false" ht="12.75" hidden="false" customHeight="false" outlineLevel="0" collapsed="false">
      <c r="A144" s="130" t="s">
        <v>71</v>
      </c>
    </row>
    <row r="146" customFormat="false" ht="12.75" hidden="false" customHeight="false" outlineLevel="0" collapsed="false">
      <c r="A146" s="4" t="s">
        <v>31</v>
      </c>
    </row>
    <row r="147" customFormat="false" ht="12.75" hidden="false" customHeight="false" outlineLevel="0" collapsed="false">
      <c r="A147" s="137" t="s">
        <v>72</v>
      </c>
      <c r="B147" s="56"/>
      <c r="C147" s="56"/>
      <c r="D147" s="113"/>
      <c r="E147" s="135"/>
      <c r="F147" s="113"/>
      <c r="G147" s="90"/>
    </row>
    <row r="148" customFormat="false" ht="12.75" hidden="false" customHeight="false" outlineLevel="0" collapsed="false">
      <c r="A148" s="2" t="s">
        <v>65</v>
      </c>
      <c r="B148" s="56" t="n">
        <f aca="false">199.302794765846*0.43*0.808</f>
        <v>69.2457630134455</v>
      </c>
      <c r="C148" s="86" t="n">
        <f aca="false">1.303+6.5</f>
        <v>7.803</v>
      </c>
      <c r="D148" s="49" t="n">
        <f aca="false">B148*C148/100</f>
        <v>5.40324688793916</v>
      </c>
      <c r="E148" s="49" t="n">
        <f aca="false">(($N$40-0.065)-0.00311)*B148</f>
        <v>0.944581775255412</v>
      </c>
      <c r="F148" s="49" t="n">
        <f aca="false">D148+E148</f>
        <v>6.34782866319457</v>
      </c>
      <c r="G148" s="53" t="n">
        <f aca="false">F148/B148*100</f>
        <v>9.16710046499452</v>
      </c>
    </row>
    <row r="149" customFormat="false" ht="12.75" hidden="false" customHeight="false" outlineLevel="0" collapsed="false">
      <c r="A149" s="2" t="s">
        <v>66</v>
      </c>
      <c r="B149" s="56" t="n">
        <f aca="false">9.74746260030846*0.43*0.808</f>
        <v>3.38665840585117</v>
      </c>
      <c r="C149" s="86" t="n">
        <f aca="false">1.284+6.5</f>
        <v>7.784</v>
      </c>
      <c r="D149" s="49" t="n">
        <f aca="false">B149*C149/100</f>
        <v>0.263617490311455</v>
      </c>
      <c r="E149" s="49" t="n">
        <f aca="false">(($N$40-0.065)-0.00306)*B149</f>
        <v>0.0463667559822843</v>
      </c>
      <c r="F149" s="49" t="n">
        <f aca="false">D149+E149</f>
        <v>0.30998424629374</v>
      </c>
      <c r="G149" s="53" t="n">
        <f aca="false">F149/B149*100</f>
        <v>9.15310046499452</v>
      </c>
    </row>
    <row r="150" customFormat="false" ht="12.75" hidden="false" customHeight="false" outlineLevel="0" collapsed="false">
      <c r="A150" s="2" t="s">
        <v>67</v>
      </c>
      <c r="B150" s="56" t="n">
        <f aca="false">0.635208626117621*0.43*0.808</f>
        <v>0.220696885058306</v>
      </c>
      <c r="C150" s="86" t="n">
        <f aca="false">0.707+6.5</f>
        <v>7.207</v>
      </c>
      <c r="D150" s="49" t="n">
        <f aca="false">B150*C150/100</f>
        <v>0.0159056245061521</v>
      </c>
      <c r="E150" s="49" t="n">
        <f aca="false">(($N$40-0.065)-0.00299)*B150</f>
        <v>0.00303701086151577</v>
      </c>
      <c r="F150" s="49" t="n">
        <f aca="false">D150+E150</f>
        <v>0.0189426353676679</v>
      </c>
      <c r="G150" s="53" t="n">
        <f aca="false">F150/B150*100</f>
        <v>8.58310046499452</v>
      </c>
    </row>
    <row r="151" customFormat="false" ht="12.75" hidden="false" customHeight="false" outlineLevel="0" collapsed="false">
      <c r="A151" s="2"/>
      <c r="B151" s="56"/>
      <c r="C151" s="86"/>
      <c r="D151" s="114"/>
      <c r="E151" s="135"/>
      <c r="F151" s="114"/>
      <c r="G151" s="53"/>
    </row>
    <row r="152" customFormat="false" ht="13.5" hidden="false" customHeight="false" outlineLevel="0" collapsed="false">
      <c r="A152" s="138" t="s">
        <v>73</v>
      </c>
      <c r="B152" s="139" t="n">
        <f aca="false">SUM(B126:B150)</f>
        <v>204.67599440208</v>
      </c>
      <c r="C152" s="140" t="n">
        <f aca="false">D152/B152*100</f>
        <v>12.0034248942413</v>
      </c>
      <c r="D152" s="141" t="n">
        <f aca="false">SUM(D115:D150)</f>
        <v>24.5681292645952</v>
      </c>
      <c r="E152" s="141" t="n">
        <f aca="false">SUM(E115:E150)</f>
        <v>8.03425965112922</v>
      </c>
      <c r="F152" s="141" t="n">
        <f aca="false">SUM(F115:F150)</f>
        <v>32.6023889157244</v>
      </c>
      <c r="G152" s="140" t="n">
        <f aca="false">F152/B152*100</f>
        <v>15.9287800266786</v>
      </c>
      <c r="H152" s="65" t="n">
        <f aca="false">(G152-C152)/C152</f>
        <v>0.327019593742829</v>
      </c>
    </row>
    <row r="153" customFormat="false" ht="13.5" hidden="false" customHeight="false" outlineLevel="0" collapsed="false">
      <c r="C153" s="81"/>
      <c r="D153" s="51"/>
      <c r="E153" s="51"/>
      <c r="F153" s="51"/>
      <c r="G153" s="81"/>
    </row>
    <row r="154" customFormat="false" ht="12.75" hidden="false" customHeight="false" outlineLevel="0" collapsed="false">
      <c r="C154" s="81"/>
      <c r="D154" s="51"/>
      <c r="E154" s="51"/>
      <c r="F154" s="51"/>
      <c r="G154" s="81"/>
    </row>
    <row r="155" customFormat="false" ht="12.75" hidden="false" customHeight="false" outlineLevel="0" collapsed="false">
      <c r="A155" s="130" t="s">
        <v>74</v>
      </c>
      <c r="B155" s="56"/>
      <c r="C155" s="86"/>
      <c r="D155" s="51"/>
      <c r="E155" s="142"/>
      <c r="F155" s="51"/>
      <c r="G155" s="86"/>
    </row>
    <row r="156" customFormat="false" ht="12.75" hidden="false" customHeight="false" outlineLevel="0" collapsed="false">
      <c r="A156" s="130"/>
      <c r="B156" s="56"/>
      <c r="C156" s="86"/>
      <c r="D156" s="51"/>
      <c r="E156" s="142"/>
      <c r="F156" s="51"/>
      <c r="G156" s="86"/>
    </row>
    <row r="157" customFormat="false" ht="12.75" hidden="false" customHeight="false" outlineLevel="0" collapsed="false">
      <c r="A157" s="75" t="s">
        <v>27</v>
      </c>
      <c r="B157" s="56"/>
      <c r="C157" s="86"/>
      <c r="D157" s="51"/>
      <c r="E157" s="142"/>
      <c r="F157" s="51"/>
      <c r="G157" s="86"/>
    </row>
    <row r="158" customFormat="false" ht="12.75" hidden="false" customHeight="false" outlineLevel="0" collapsed="false">
      <c r="A158" s="83" t="s">
        <v>28</v>
      </c>
      <c r="B158" s="56"/>
      <c r="C158" s="86"/>
      <c r="D158" s="51"/>
      <c r="E158" s="142"/>
      <c r="F158" s="51"/>
      <c r="G158" s="86"/>
    </row>
    <row r="159" customFormat="false" ht="12.75" hidden="false" customHeight="false" outlineLevel="0" collapsed="false">
      <c r="A159" s="131" t="s">
        <v>65</v>
      </c>
      <c r="B159" s="56"/>
      <c r="C159" s="86" t="n">
        <f aca="false">D159/(B172+B178+B184)*100</f>
        <v>0.0865193306593828</v>
      </c>
      <c r="D159" s="51" t="n">
        <v>0.0298135029193418</v>
      </c>
      <c r="E159" s="142" t="n">
        <f aca="false">F159-D159</f>
        <v>0</v>
      </c>
      <c r="F159" s="51" t="n">
        <v>0.0298135029193418</v>
      </c>
      <c r="G159" s="86" t="n">
        <f aca="false">F159/(B172+B178+B184)*100</f>
        <v>0.0865193306593828</v>
      </c>
    </row>
    <row r="160" customFormat="false" ht="12.75" hidden="false" customHeight="false" outlineLevel="0" collapsed="false">
      <c r="A160" s="132" t="s">
        <v>66</v>
      </c>
      <c r="B160" s="56"/>
      <c r="C160" s="86" t="n">
        <f aca="false">D160/(B173+B179+B185)*100</f>
        <v>0.0370329505752131</v>
      </c>
      <c r="D160" s="51" t="n">
        <v>0.00664359436977619</v>
      </c>
      <c r="E160" s="142" t="n">
        <f aca="false">F160-D160</f>
        <v>0</v>
      </c>
      <c r="F160" s="51" t="n">
        <v>0.00664359436977619</v>
      </c>
      <c r="G160" s="86" t="n">
        <f aca="false">F160/(B173+B179+B185)*100</f>
        <v>0.0370329505752131</v>
      </c>
    </row>
    <row r="161" customFormat="false" ht="12.75" hidden="false" customHeight="false" outlineLevel="0" collapsed="false">
      <c r="A161" s="132" t="s">
        <v>46</v>
      </c>
      <c r="B161" s="56"/>
      <c r="C161" s="86" t="n">
        <v>0</v>
      </c>
      <c r="D161" s="51" t="n">
        <v>0</v>
      </c>
      <c r="E161" s="142" t="n">
        <f aca="false">F161-D161</f>
        <v>0</v>
      </c>
      <c r="F161" s="51" t="n">
        <v>0</v>
      </c>
      <c r="G161" s="86" t="n">
        <v>0</v>
      </c>
    </row>
    <row r="162" customFormat="false" ht="12.75" hidden="false" customHeight="false" outlineLevel="0" collapsed="false">
      <c r="A162" s="132" t="s">
        <v>67</v>
      </c>
      <c r="B162" s="56"/>
      <c r="C162" s="86" t="n">
        <f aca="false">D162/(B175+B181+B187)*100</f>
        <v>0.119213043927558</v>
      </c>
      <c r="D162" s="51" t="n">
        <v>0.0124691808298915</v>
      </c>
      <c r="E162" s="142" t="n">
        <f aca="false">F162-D162</f>
        <v>0</v>
      </c>
      <c r="F162" s="51" t="n">
        <v>0.0124691808298915</v>
      </c>
      <c r="G162" s="86" t="n">
        <f aca="false">F162/(B175+B181+B187)*100</f>
        <v>0.119213043927558</v>
      </c>
    </row>
    <row r="163" customFormat="false" ht="12.75" hidden="false" customHeight="false" outlineLevel="0" collapsed="false">
      <c r="A163" s="132"/>
      <c r="B163" s="56"/>
      <c r="C163" s="86"/>
      <c r="D163" s="51"/>
      <c r="E163" s="142"/>
      <c r="F163" s="51"/>
      <c r="G163" s="86"/>
    </row>
    <row r="164" customFormat="false" ht="12.75" hidden="false" customHeight="false" outlineLevel="0" collapsed="false">
      <c r="A164" s="83" t="s">
        <v>50</v>
      </c>
      <c r="B164" s="56"/>
      <c r="C164" s="86"/>
      <c r="D164" s="51"/>
      <c r="E164" s="142"/>
      <c r="F164" s="51"/>
      <c r="G164" s="86"/>
    </row>
    <row r="165" customFormat="false" ht="12.75" hidden="false" customHeight="false" outlineLevel="0" collapsed="false">
      <c r="A165" s="131" t="s">
        <v>65</v>
      </c>
      <c r="B165" s="56"/>
      <c r="C165" s="86" t="n">
        <f aca="false">D165/(B172+B178+B184)*100</f>
        <v>0.45779521</v>
      </c>
      <c r="D165" s="51" t="n">
        <v>0.157750628972481</v>
      </c>
      <c r="E165" s="142" t="n">
        <f aca="false">F165-D165</f>
        <v>-0.00685243442188394</v>
      </c>
      <c r="F165" s="51" t="n">
        <v>0.150898194550597</v>
      </c>
      <c r="G165" s="86" t="n">
        <f aca="false">F165/(B172+B178+B184)*100</f>
        <v>0.43790932</v>
      </c>
    </row>
    <row r="166" customFormat="false" ht="12.75" hidden="false" customHeight="false" outlineLevel="0" collapsed="false">
      <c r="A166" s="132" t="s">
        <v>66</v>
      </c>
      <c r="B166" s="56"/>
      <c r="C166" s="86" t="n">
        <f aca="false">D166/(B173+B179+B185)*100</f>
        <v>0.617205920000001</v>
      </c>
      <c r="D166" s="51" t="n">
        <v>0.110724792689056</v>
      </c>
      <c r="E166" s="142" t="n">
        <f aca="false">F166-D166</f>
        <v>-0.00493492007854951</v>
      </c>
      <c r="F166" s="51" t="n">
        <v>0.105789872610507</v>
      </c>
      <c r="G166" s="86" t="n">
        <f aca="false">F166/(B173+B179+B185)*100</f>
        <v>0.589697520000001</v>
      </c>
    </row>
    <row r="167" customFormat="false" ht="12.75" hidden="false" customHeight="false" outlineLevel="0" collapsed="false">
      <c r="A167" s="132" t="s">
        <v>46</v>
      </c>
      <c r="B167" s="56"/>
      <c r="C167" s="86" t="n">
        <v>0</v>
      </c>
      <c r="D167" s="51" t="n">
        <v>0</v>
      </c>
      <c r="E167" s="142" t="n">
        <f aca="false">F167-D167</f>
        <v>0</v>
      </c>
      <c r="F167" s="51" t="n">
        <v>0</v>
      </c>
      <c r="G167" s="86" t="n">
        <v>0</v>
      </c>
    </row>
    <row r="168" customFormat="false" ht="12.75" hidden="false" customHeight="false" outlineLevel="0" collapsed="false">
      <c r="A168" s="132" t="s">
        <v>67</v>
      </c>
      <c r="B168" s="56"/>
      <c r="C168" s="86" t="n">
        <f aca="false">D168/(B175+B181+B187)*100</f>
        <v>1.25476895</v>
      </c>
      <c r="D168" s="51" t="n">
        <v>0.131243531930874</v>
      </c>
      <c r="E168" s="142" t="n">
        <f aca="false">F168-D168</f>
        <v>-0.00602470727961549</v>
      </c>
      <c r="F168" s="51" t="n">
        <v>0.125218824651258</v>
      </c>
      <c r="G168" s="86" t="n">
        <f aca="false">F168/(B175+B181+B187)*100</f>
        <v>1.19716904</v>
      </c>
    </row>
    <row r="169" customFormat="false" ht="12.75" hidden="false" customHeight="false" outlineLevel="0" collapsed="false">
      <c r="A169" s="132"/>
      <c r="B169" s="56"/>
      <c r="C169" s="86"/>
      <c r="D169" s="51"/>
      <c r="E169" s="142"/>
      <c r="F169" s="51"/>
      <c r="G169" s="86"/>
    </row>
    <row r="170" customFormat="false" ht="12.75" hidden="false" customHeight="false" outlineLevel="0" collapsed="false">
      <c r="A170" s="4" t="s">
        <v>31</v>
      </c>
      <c r="B170" s="56"/>
      <c r="C170" s="86"/>
      <c r="D170" s="51"/>
      <c r="E170" s="142"/>
      <c r="F170" s="51"/>
      <c r="G170" s="86"/>
    </row>
    <row r="171" customFormat="false" ht="12.75" hidden="false" customHeight="false" outlineLevel="0" collapsed="false">
      <c r="A171" s="83" t="s">
        <v>75</v>
      </c>
      <c r="B171" s="56"/>
      <c r="C171" s="86"/>
      <c r="D171" s="51"/>
      <c r="E171" s="142"/>
      <c r="F171" s="51"/>
      <c r="G171" s="86"/>
    </row>
    <row r="172" customFormat="false" ht="12.75" hidden="false" customHeight="false" outlineLevel="0" collapsed="false">
      <c r="A172" s="131" t="s">
        <v>65</v>
      </c>
      <c r="B172" s="143" t="n">
        <f aca="false">0.0262705525029024*0.808</f>
        <v>0.0212266064223451</v>
      </c>
      <c r="C172" s="86" t="n">
        <f aca="false">153.827+6.5</f>
        <v>160.327</v>
      </c>
      <c r="D172" s="51" t="n">
        <f aca="false">C172*B172/100</f>
        <v>0.0340319812787533</v>
      </c>
      <c r="E172" s="142" t="n">
        <f aca="false">B172*(($Q$38-0.065)-0.3855)</f>
        <v>-0.00681233120108684</v>
      </c>
      <c r="F172" s="51" t="n">
        <f aca="false">D172+E172</f>
        <v>0.0272196500776665</v>
      </c>
      <c r="G172" s="86" t="n">
        <f aca="false">F172/B172*100</f>
        <v>128.233640065105</v>
      </c>
    </row>
    <row r="173" customFormat="false" ht="12.75" hidden="false" customHeight="false" outlineLevel="0" collapsed="false">
      <c r="A173" s="132" t="s">
        <v>66</v>
      </c>
      <c r="B173" s="143" t="n">
        <f aca="false">0.0029307404822256*0.808</f>
        <v>0.00236803830963829</v>
      </c>
      <c r="C173" s="86" t="n">
        <f aca="false">144.878+6.5</f>
        <v>151.378</v>
      </c>
      <c r="D173" s="51" t="n">
        <f aca="false">C173*B173/100</f>
        <v>0.00358468903236424</v>
      </c>
      <c r="E173" s="51" t="n">
        <f aca="false">B173*(($Q$38-0.065)-0.32704)</f>
        <v>-0.000621547538526973</v>
      </c>
      <c r="F173" s="51" t="n">
        <f aca="false">D173+E173</f>
        <v>0.00296314149383727</v>
      </c>
      <c r="G173" s="86" t="n">
        <f aca="false">F173/B173*100</f>
        <v>125.130640065105</v>
      </c>
    </row>
    <row r="174" customFormat="false" ht="12.75" hidden="false" customHeight="false" outlineLevel="0" collapsed="false">
      <c r="A174" s="132" t="s">
        <v>46</v>
      </c>
      <c r="B174" s="143" t="n">
        <v>0</v>
      </c>
      <c r="C174" s="86" t="n">
        <f aca="false">74.216+6.5</f>
        <v>80.716</v>
      </c>
      <c r="D174" s="51" t="n">
        <f aca="false">C174*B174/100</f>
        <v>0</v>
      </c>
      <c r="E174" s="51" t="n">
        <f aca="false">B174*(($Q$38-0.065)-0.26093)</f>
        <v>-0</v>
      </c>
      <c r="F174" s="51" t="n">
        <f aca="false">D174+E174</f>
        <v>0</v>
      </c>
      <c r="G174" s="86" t="n">
        <f aca="false">C174+(Q38-0.065)*100</f>
        <v>87.1726400651046</v>
      </c>
    </row>
    <row r="175" customFormat="false" ht="12.75" hidden="false" customHeight="false" outlineLevel="0" collapsed="false">
      <c r="A175" s="132" t="s">
        <v>67</v>
      </c>
      <c r="B175" s="143" t="n">
        <v>0</v>
      </c>
      <c r="C175" s="86" t="n">
        <f aca="false">73.732+6.5</f>
        <v>80.232</v>
      </c>
      <c r="D175" s="51" t="n">
        <f aca="false">C175*B175/100</f>
        <v>0</v>
      </c>
      <c r="E175" s="51" t="n">
        <f aca="false">B175*(($Q$38-0.065)-0.25922)</f>
        <v>-0</v>
      </c>
      <c r="F175" s="51" t="n">
        <f aca="false">D175+E175</f>
        <v>0</v>
      </c>
      <c r="G175" s="86" t="n">
        <f aca="false">C175+(Q38-0.065)*100</f>
        <v>86.6886400651046</v>
      </c>
    </row>
    <row r="176" customFormat="false" ht="12.75" hidden="false" customHeight="false" outlineLevel="0" collapsed="false">
      <c r="A176" s="132"/>
      <c r="B176" s="144"/>
      <c r="C176" s="86"/>
      <c r="D176" s="51"/>
      <c r="E176" s="51"/>
      <c r="F176" s="51"/>
      <c r="G176" s="86"/>
    </row>
    <row r="177" customFormat="false" ht="12.75" hidden="false" customHeight="false" outlineLevel="0" collapsed="false">
      <c r="A177" s="109" t="s">
        <v>69</v>
      </c>
      <c r="B177" s="145"/>
      <c r="C177" s="86"/>
      <c r="D177" s="51"/>
      <c r="E177" s="51"/>
      <c r="F177" s="51"/>
      <c r="G177" s="86"/>
    </row>
    <row r="178" customFormat="false" ht="12.75" hidden="false" customHeight="false" outlineLevel="0" collapsed="false">
      <c r="A178" s="131" t="s">
        <v>65</v>
      </c>
      <c r="B178" s="56" t="n">
        <f aca="false">27.7962916041099*0.808</f>
        <v>22.4594036161208</v>
      </c>
      <c r="C178" s="86" t="n">
        <f aca="false">2.405+6.5</f>
        <v>8.905</v>
      </c>
      <c r="D178" s="51" t="n">
        <f aca="false">C178*B178/100</f>
        <v>2.00000989201556</v>
      </c>
      <c r="E178" s="51" t="n">
        <f aca="false">B178*(($Q$38-0.065)-0.00546)</f>
        <v>1.32749450851799</v>
      </c>
      <c r="F178" s="51" t="n">
        <f aca="false">D178+E178</f>
        <v>3.32750440053355</v>
      </c>
      <c r="G178" s="86" t="n">
        <f aca="false">F178/B178*100</f>
        <v>14.8156400651046</v>
      </c>
    </row>
    <row r="179" customFormat="false" ht="12.75" hidden="false" customHeight="false" outlineLevel="0" collapsed="false">
      <c r="A179" s="132" t="s">
        <v>66</v>
      </c>
      <c r="B179" s="90" t="n">
        <f aca="false">15.7339023046222*0.808</f>
        <v>12.7129930621347</v>
      </c>
      <c r="C179" s="86" t="n">
        <f aca="false">2.132+6.5</f>
        <v>8.632</v>
      </c>
      <c r="D179" s="51" t="n">
        <f aca="false">C179*B179/100</f>
        <v>1.09738556112347</v>
      </c>
      <c r="E179" s="51" t="n">
        <f aca="false">B179*(($Q$38-0.065)-0.00514)</f>
        <v>0.755487419184391</v>
      </c>
      <c r="F179" s="51" t="n">
        <f aca="false">D179+E179</f>
        <v>1.85287298030786</v>
      </c>
      <c r="G179" s="86" t="n">
        <f aca="false">F179/B179*100</f>
        <v>14.5746400651046</v>
      </c>
    </row>
    <row r="180" customFormat="false" ht="12.75" hidden="false" customHeight="false" outlineLevel="0" collapsed="false">
      <c r="A180" s="132" t="s">
        <v>46</v>
      </c>
      <c r="B180" s="90" t="n">
        <v>0</v>
      </c>
      <c r="C180" s="86" t="n">
        <f aca="false">0.894+6.5</f>
        <v>7.394</v>
      </c>
      <c r="D180" s="51" t="n">
        <f aca="false">C180*B180/100</f>
        <v>0</v>
      </c>
      <c r="E180" s="51" t="n">
        <f aca="false">B180*(($Q$38-0.065)-0.00453)</f>
        <v>0</v>
      </c>
      <c r="F180" s="51" t="n">
        <f aca="false">D180+E180</f>
        <v>0</v>
      </c>
      <c r="G180" s="86" t="n">
        <f aca="false">C180+(Q38-0.065)*100</f>
        <v>13.8506400651046</v>
      </c>
    </row>
    <row r="181" customFormat="false" ht="12.75" hidden="false" customHeight="false" outlineLevel="0" collapsed="false">
      <c r="A181" s="132" t="s">
        <v>67</v>
      </c>
      <c r="B181" s="90" t="n">
        <f aca="false">8.45113157432893*0.808</f>
        <v>6.82851431205778</v>
      </c>
      <c r="C181" s="86" t="n">
        <f aca="false">0.89+6.5</f>
        <v>7.39</v>
      </c>
      <c r="D181" s="51" t="n">
        <f aca="false">C181*B181/100</f>
        <v>0.50462720766107</v>
      </c>
      <c r="E181" s="51" t="n">
        <f aca="false">B181*(($Q$38-0.065)-0.0045)</f>
        <v>0.410164276519466</v>
      </c>
      <c r="F181" s="51" t="n">
        <f aca="false">D181+E181</f>
        <v>0.914791484180536</v>
      </c>
      <c r="G181" s="86" t="n">
        <f aca="false">F181/B181*100</f>
        <v>13.3966400651046</v>
      </c>
    </row>
    <row r="182" customFormat="false" ht="12.75" hidden="false" customHeight="false" outlineLevel="0" collapsed="false">
      <c r="A182" s="2"/>
      <c r="B182" s="56"/>
      <c r="C182" s="86"/>
      <c r="D182" s="51"/>
      <c r="E182" s="142"/>
      <c r="F182" s="51"/>
      <c r="G182" s="86"/>
    </row>
    <row r="183" customFormat="false" ht="12.75" hidden="false" customHeight="false" outlineLevel="0" collapsed="false">
      <c r="A183" s="137" t="s">
        <v>72</v>
      </c>
      <c r="B183" s="56"/>
      <c r="C183" s="86"/>
      <c r="D183" s="51"/>
      <c r="E183" s="142"/>
      <c r="F183" s="51"/>
      <c r="G183" s="86"/>
    </row>
    <row r="184" customFormat="false" ht="12.75" hidden="false" customHeight="false" outlineLevel="0" collapsed="false">
      <c r="A184" s="131" t="s">
        <v>65</v>
      </c>
      <c r="B184" s="90" t="n">
        <f aca="false">14.8244386597872*0.808</f>
        <v>11.9781464371081</v>
      </c>
      <c r="C184" s="86" t="n">
        <f aca="false">1.624+6.5</f>
        <v>8.124</v>
      </c>
      <c r="D184" s="51" t="n">
        <f aca="false">C184*B184/100</f>
        <v>0.973104616550659</v>
      </c>
      <c r="E184" s="49" t="n">
        <f aca="false">(($N$40-0.065)-0.00328)*B184</f>
        <v>0.161357666352007</v>
      </c>
      <c r="F184" s="51" t="n">
        <f aca="false">D184+E184</f>
        <v>1.13446228290267</v>
      </c>
      <c r="G184" s="86" t="n">
        <f aca="false">F184/B184*100</f>
        <v>9.47110046499452</v>
      </c>
    </row>
    <row r="185" customFormat="false" ht="12.75" hidden="false" customHeight="false" outlineLevel="0" collapsed="false">
      <c r="A185" s="132" t="s">
        <v>66</v>
      </c>
      <c r="B185" s="56" t="n">
        <f aca="false">6.46574636569553*0.808</f>
        <v>5.22432306348199</v>
      </c>
      <c r="C185" s="86" t="n">
        <f aca="false">1.482+6.5</f>
        <v>7.982</v>
      </c>
      <c r="D185" s="51" t="n">
        <f aca="false">C185*B185/100</f>
        <v>0.417005466927132</v>
      </c>
      <c r="E185" s="49" t="n">
        <f aca="false">(($N$40-0.065)-0.00317)*B185</f>
        <v>0.0709515558179647</v>
      </c>
      <c r="F185" s="51" t="n">
        <f aca="false">D185+E185</f>
        <v>0.487957022745097</v>
      </c>
      <c r="G185" s="86" t="n">
        <f aca="false">F185/B185*100</f>
        <v>9.34010046499452</v>
      </c>
    </row>
    <row r="186" customFormat="false" ht="12.75" hidden="false" customHeight="false" outlineLevel="0" collapsed="false">
      <c r="A186" s="132" t="s">
        <v>46</v>
      </c>
      <c r="B186" s="90" t="n">
        <v>0</v>
      </c>
      <c r="C186" s="86" t="n">
        <f aca="false">0.727+6.5</f>
        <v>7.227</v>
      </c>
      <c r="D186" s="51" t="n">
        <f aca="false">C186*B186/100</f>
        <v>0</v>
      </c>
      <c r="E186" s="49" t="n">
        <f aca="false">(($N$40-0.065)-0.00286)*B186</f>
        <v>0</v>
      </c>
      <c r="F186" s="51" t="n">
        <f aca="false">D186+E186</f>
        <v>0</v>
      </c>
      <c r="G186" s="86" t="n">
        <f aca="false">C186+(N40-0.065)*100</f>
        <v>8.90210046499452</v>
      </c>
    </row>
    <row r="187" customFormat="false" ht="12.75" hidden="false" customHeight="false" outlineLevel="0" collapsed="false">
      <c r="A187" s="132" t="s">
        <v>67</v>
      </c>
      <c r="B187" s="90" t="n">
        <f aca="false">4.49389019847107*0.808</f>
        <v>3.63106328036463</v>
      </c>
      <c r="C187" s="86" t="n">
        <f aca="false">0.724+6.5</f>
        <v>7.224</v>
      </c>
      <c r="D187" s="51" t="n">
        <f aca="false">C187*B187/100</f>
        <v>0.262308011373541</v>
      </c>
      <c r="E187" s="49" t="n">
        <f aca="false">(($N$40-0.065)-0.00284)*B187</f>
        <v>0.0505117381773975</v>
      </c>
      <c r="F187" s="51" t="n">
        <f aca="false">D187+E187</f>
        <v>0.312819749550938</v>
      </c>
      <c r="G187" s="86" t="n">
        <f aca="false">F187/B187*100</f>
        <v>8.61510046499452</v>
      </c>
    </row>
    <row r="188" customFormat="false" ht="12.75" hidden="false" customHeight="false" outlineLevel="0" collapsed="false">
      <c r="A188" s="132"/>
      <c r="B188" s="145"/>
      <c r="C188" s="86"/>
      <c r="D188" s="51"/>
      <c r="E188" s="142"/>
      <c r="F188" s="51"/>
      <c r="G188" s="86"/>
    </row>
    <row r="189" customFormat="false" ht="13.5" hidden="false" customHeight="false" outlineLevel="0" collapsed="false">
      <c r="A189" s="138" t="s">
        <v>76</v>
      </c>
      <c r="B189" s="139" t="n">
        <f aca="false">SUM(B172:B187)</f>
        <v>62.858038416</v>
      </c>
      <c r="C189" s="140" t="n">
        <f aca="false">D189/B189*100</f>
        <v>9.13280592639798</v>
      </c>
      <c r="D189" s="141" t="n">
        <f aca="false">SUM(D159:D187)</f>
        <v>5.74070265767397</v>
      </c>
      <c r="E189" s="141" t="n">
        <f aca="false">SUM(E159:E187)</f>
        <v>2.75072122404956</v>
      </c>
      <c r="F189" s="141" t="n">
        <f aca="false">SUM(F159:F187)</f>
        <v>8.49142388172352</v>
      </c>
      <c r="G189" s="140" t="n">
        <f aca="false">F189/B189*100</f>
        <v>13.5088909799039</v>
      </c>
      <c r="H189" s="65" t="n">
        <f aca="false">(G189-C189)/C189</f>
        <v>0.479161069311349</v>
      </c>
    </row>
    <row r="190" customFormat="false" ht="13.5" hidden="false" customHeight="false" outlineLevel="0" collapsed="false">
      <c r="A190" s="109"/>
      <c r="B190" s="146"/>
      <c r="C190" s="147"/>
      <c r="D190" s="148"/>
      <c r="E190" s="148"/>
      <c r="F190" s="148"/>
      <c r="G190" s="147"/>
      <c r="H190" s="149"/>
    </row>
    <row r="191" customFormat="false" ht="12.75" hidden="false" customHeight="false" outlineLevel="0" collapsed="false">
      <c r="A191" s="109"/>
      <c r="B191" s="146"/>
      <c r="C191" s="147"/>
      <c r="D191" s="148"/>
      <c r="E191" s="148"/>
      <c r="F191" s="148"/>
      <c r="G191" s="147"/>
      <c r="H191" s="149"/>
    </row>
    <row r="192" customFormat="false" ht="12.75" hidden="false" customHeight="false" outlineLevel="0" collapsed="false">
      <c r="A192" s="109"/>
      <c r="B192" s="150"/>
      <c r="C192" s="11"/>
      <c r="D192" s="11"/>
      <c r="E192" s="151"/>
      <c r="F192" s="11"/>
      <c r="G192" s="11"/>
      <c r="H192" s="11"/>
    </row>
    <row r="193" customFormat="false" ht="12.75" hidden="false" customHeight="false" outlineLevel="0" collapsed="false">
      <c r="A193" s="2"/>
      <c r="E193" s="152"/>
      <c r="H193" s="2" t="s">
        <v>77</v>
      </c>
    </row>
    <row r="194" customFormat="false" ht="20.25" hidden="false" customHeight="false" outlineLevel="0" collapsed="false">
      <c r="A194" s="3" t="s">
        <v>1</v>
      </c>
      <c r="B194" s="3"/>
      <c r="C194" s="3"/>
      <c r="D194" s="3"/>
      <c r="E194" s="3"/>
      <c r="F194" s="3"/>
      <c r="G194" s="3"/>
      <c r="H194" s="3"/>
    </row>
    <row r="195" customFormat="false" ht="20.25" hidden="false" customHeight="false" outlineLevel="0" collapsed="false">
      <c r="A195" s="3" t="s">
        <v>2</v>
      </c>
      <c r="B195" s="3"/>
      <c r="C195" s="3"/>
      <c r="D195" s="3"/>
      <c r="E195" s="3"/>
      <c r="F195" s="3"/>
      <c r="G195" s="3"/>
      <c r="H195" s="3"/>
    </row>
    <row r="196" customFormat="false" ht="20.25" hidden="false" customHeight="false" outlineLevel="0" collapsed="false">
      <c r="A196" s="3" t="s">
        <v>3</v>
      </c>
      <c r="B196" s="3"/>
      <c r="C196" s="3"/>
      <c r="D196" s="3"/>
      <c r="E196" s="3"/>
      <c r="F196" s="3"/>
      <c r="G196" s="3"/>
      <c r="H196" s="3"/>
    </row>
    <row r="197" customFormat="false" ht="13.5" hidden="false" customHeight="false" outlineLevel="0" collapsed="false">
      <c r="A197" s="2"/>
      <c r="E197" s="152"/>
    </row>
    <row r="198" customFormat="false" ht="64.5" hidden="false" customHeight="false" outlineLevel="0" collapsed="false">
      <c r="A198" s="37" t="s">
        <v>17</v>
      </c>
      <c r="B198" s="39" t="s">
        <v>18</v>
      </c>
      <c r="C198" s="39" t="s">
        <v>19</v>
      </c>
      <c r="D198" s="39" t="s">
        <v>20</v>
      </c>
      <c r="E198" s="39" t="s">
        <v>21</v>
      </c>
      <c r="F198" s="39" t="s">
        <v>22</v>
      </c>
      <c r="G198" s="39" t="s">
        <v>23</v>
      </c>
      <c r="H198" s="39" t="s">
        <v>24</v>
      </c>
    </row>
    <row r="199" customFormat="false" ht="12.75" hidden="false" customHeight="false" outlineLevel="0" collapsed="false">
      <c r="A199" s="109"/>
      <c r="B199" s="150"/>
      <c r="C199" s="11"/>
      <c r="D199" s="11"/>
      <c r="E199" s="136"/>
      <c r="F199" s="11"/>
      <c r="G199" s="11"/>
      <c r="H199" s="11"/>
    </row>
    <row r="200" customFormat="false" ht="12.75" hidden="false" customHeight="false" outlineLevel="0" collapsed="false">
      <c r="A200" s="130" t="s">
        <v>78</v>
      </c>
      <c r="E200" s="152"/>
    </row>
    <row r="201" customFormat="false" ht="12.75" hidden="false" customHeight="false" outlineLevel="0" collapsed="false">
      <c r="A201" s="130"/>
      <c r="E201" s="152"/>
    </row>
    <row r="202" customFormat="false" ht="12.75" hidden="false" customHeight="false" outlineLevel="0" collapsed="false">
      <c r="A202" s="75" t="s">
        <v>27</v>
      </c>
      <c r="E202" s="152"/>
    </row>
    <row r="203" customFormat="false" ht="12.75" hidden="false" customHeight="false" outlineLevel="0" collapsed="false">
      <c r="A203" s="83" t="s">
        <v>28</v>
      </c>
      <c r="B203" s="153"/>
      <c r="C203" s="153"/>
      <c r="E203" s="152"/>
    </row>
    <row r="204" customFormat="false" ht="12.75" hidden="false" customHeight="false" outlineLevel="0" collapsed="false">
      <c r="A204" s="131" t="s">
        <v>65</v>
      </c>
      <c r="B204" s="153"/>
      <c r="C204" s="154" t="n">
        <f aca="false">D204/(B217+B223+B229+B235)*100</f>
        <v>0.166377908687794</v>
      </c>
      <c r="D204" s="51" t="n">
        <v>0.00237008557001856</v>
      </c>
      <c r="E204" s="142" t="n">
        <f aca="false">F204-D204</f>
        <v>0</v>
      </c>
      <c r="F204" s="51" t="n">
        <v>0.00237008557001856</v>
      </c>
      <c r="G204" s="154" t="n">
        <f aca="false">F204/(B217+B223+B229+B235)*100</f>
        <v>0.166377908687794</v>
      </c>
    </row>
    <row r="205" customFormat="false" ht="12.75" hidden="false" customHeight="false" outlineLevel="0" collapsed="false">
      <c r="A205" s="132" t="s">
        <v>66</v>
      </c>
      <c r="B205" s="145"/>
      <c r="C205" s="154" t="n">
        <f aca="false">D205/(B218+B224+B230+B236)*100</f>
        <v>0.0061440305535138</v>
      </c>
      <c r="D205" s="51" t="n">
        <v>0.0016706384144</v>
      </c>
      <c r="E205" s="142" t="n">
        <f aca="false">F205-D205</f>
        <v>0</v>
      </c>
      <c r="F205" s="51" t="n">
        <v>0.0016706384144</v>
      </c>
      <c r="G205" s="154" t="n">
        <f aca="false">F205/(B218+B224+B230+B236)*100</f>
        <v>0.0061440305535138</v>
      </c>
    </row>
    <row r="206" customFormat="false" ht="12.75" hidden="false" customHeight="false" outlineLevel="0" collapsed="false">
      <c r="A206" s="132" t="s">
        <v>46</v>
      </c>
      <c r="B206" s="145"/>
      <c r="C206" s="154" t="n">
        <v>0</v>
      </c>
      <c r="D206" s="51" t="n">
        <v>0</v>
      </c>
      <c r="E206" s="142" t="n">
        <f aca="false">F206-D206</f>
        <v>0</v>
      </c>
      <c r="F206" s="51" t="n">
        <v>0</v>
      </c>
      <c r="G206" s="154" t="n">
        <v>0</v>
      </c>
    </row>
    <row r="207" customFormat="false" ht="12.75" hidden="false" customHeight="false" outlineLevel="0" collapsed="false">
      <c r="A207" s="132" t="s">
        <v>67</v>
      </c>
      <c r="B207" s="145"/>
      <c r="C207" s="154" t="n">
        <v>0</v>
      </c>
      <c r="D207" s="51" t="n">
        <v>0</v>
      </c>
      <c r="E207" s="142" t="n">
        <f aca="false">F207-D207</f>
        <v>0</v>
      </c>
      <c r="F207" s="51" t="n">
        <v>0</v>
      </c>
      <c r="G207" s="154" t="n">
        <v>0</v>
      </c>
    </row>
    <row r="208" customFormat="false" ht="12.75" hidden="false" customHeight="false" outlineLevel="0" collapsed="false">
      <c r="A208" s="132"/>
      <c r="B208" s="145"/>
      <c r="C208" s="145"/>
      <c r="D208" s="51"/>
      <c r="E208" s="142"/>
      <c r="F208" s="51"/>
      <c r="G208" s="155"/>
    </row>
    <row r="209" customFormat="false" ht="12.75" hidden="false" customHeight="false" outlineLevel="0" collapsed="false">
      <c r="A209" s="83" t="s">
        <v>50</v>
      </c>
      <c r="B209" s="145"/>
      <c r="C209" s="145"/>
      <c r="D209" s="51"/>
      <c r="E209" s="142"/>
      <c r="F209" s="51"/>
      <c r="G209" s="155"/>
    </row>
    <row r="210" customFormat="false" ht="12.75" hidden="false" customHeight="false" outlineLevel="0" collapsed="false">
      <c r="A210" s="131" t="s">
        <v>65</v>
      </c>
      <c r="B210" s="145"/>
      <c r="C210" s="154" t="n">
        <f aca="false">D210/(B217+B223+B229+B235)*100</f>
        <v>6.0036695314361</v>
      </c>
      <c r="D210" s="51" t="n">
        <v>0.0855234365898764</v>
      </c>
      <c r="E210" s="142" t="n">
        <f aca="false">F210-D210</f>
        <v>-0.00577843861171884</v>
      </c>
      <c r="F210" s="51" t="n">
        <v>0.0797449979781576</v>
      </c>
      <c r="G210" s="154" t="n">
        <f aca="false">F210/(B217+B223+B229+B235)*100</f>
        <v>5.59802825676641</v>
      </c>
    </row>
    <row r="211" customFormat="false" ht="12.75" hidden="false" customHeight="false" outlineLevel="0" collapsed="false">
      <c r="A211" s="132" t="s">
        <v>66</v>
      </c>
      <c r="B211" s="145"/>
      <c r="C211" s="154" t="n">
        <f aca="false">D211/(B218+B224+B230+B236)*100</f>
        <v>4.66907387393988</v>
      </c>
      <c r="D211" s="51" t="n">
        <v>1.26957932671971</v>
      </c>
      <c r="E211" s="142" t="n">
        <f aca="false">F211-D211</f>
        <v>-0.077602732054874</v>
      </c>
      <c r="F211" s="51" t="n">
        <v>1.19197659466484</v>
      </c>
      <c r="G211" s="154" t="n">
        <f aca="false">F211/(B218+B224+B230+B236)*100</f>
        <v>4.38367785247193</v>
      </c>
    </row>
    <row r="212" customFormat="false" ht="12.75" hidden="false" customHeight="false" outlineLevel="0" collapsed="false">
      <c r="A212" s="132" t="s">
        <v>46</v>
      </c>
      <c r="B212" s="145"/>
      <c r="C212" s="154" t="n">
        <v>0</v>
      </c>
      <c r="D212" s="51" t="n">
        <v>0</v>
      </c>
      <c r="E212" s="142" t="n">
        <f aca="false">F212-D212</f>
        <v>0</v>
      </c>
      <c r="F212" s="51" t="n">
        <v>0</v>
      </c>
      <c r="G212" s="154" t="n">
        <v>0</v>
      </c>
    </row>
    <row r="213" customFormat="false" ht="12.75" hidden="false" customHeight="false" outlineLevel="0" collapsed="false">
      <c r="A213" s="132" t="s">
        <v>67</v>
      </c>
      <c r="B213" s="145"/>
      <c r="C213" s="154" t="n">
        <v>0</v>
      </c>
      <c r="D213" s="51" t="n">
        <v>0</v>
      </c>
      <c r="E213" s="142" t="n">
        <f aca="false">F213-D213</f>
        <v>0</v>
      </c>
      <c r="F213" s="51" t="n">
        <v>0</v>
      </c>
      <c r="G213" s="154" t="n">
        <v>0</v>
      </c>
    </row>
    <row r="214" customFormat="false" ht="12.75" hidden="false" customHeight="false" outlineLevel="0" collapsed="false">
      <c r="A214" s="132"/>
      <c r="B214" s="145"/>
      <c r="C214" s="145"/>
      <c r="D214" s="51"/>
      <c r="E214" s="142"/>
      <c r="F214" s="51"/>
      <c r="G214" s="155"/>
    </row>
    <row r="215" customFormat="false" ht="12.75" hidden="false" customHeight="false" outlineLevel="0" collapsed="false">
      <c r="A215" s="4" t="s">
        <v>31</v>
      </c>
      <c r="B215" s="145"/>
      <c r="C215" s="145"/>
      <c r="D215" s="51"/>
      <c r="E215" s="142"/>
      <c r="F215" s="51"/>
      <c r="G215" s="155"/>
    </row>
    <row r="216" customFormat="false" ht="12.75" hidden="false" customHeight="false" outlineLevel="0" collapsed="false">
      <c r="A216" s="83" t="s">
        <v>75</v>
      </c>
      <c r="B216" s="145"/>
      <c r="C216" s="145"/>
      <c r="D216" s="51"/>
      <c r="E216" s="142"/>
      <c r="F216" s="51"/>
      <c r="G216" s="155"/>
    </row>
    <row r="217" customFormat="false" ht="12.75" hidden="false" customHeight="false" outlineLevel="0" collapsed="false">
      <c r="A217" s="131" t="s">
        <v>65</v>
      </c>
      <c r="B217" s="143" t="n">
        <f aca="false">0.001510346895816*0.808</f>
        <v>0.00122036029181933</v>
      </c>
      <c r="C217" s="86" t="n">
        <f aca="false">138.018+6.5</f>
        <v>144.518</v>
      </c>
      <c r="D217" s="51" t="n">
        <f aca="false">C217*B217/100</f>
        <v>0.00176364028653146</v>
      </c>
      <c r="E217" s="51" t="n">
        <f aca="false">B217*(($Q$38-0.065)-0.3855)</f>
        <v>-0.000391654620956116</v>
      </c>
      <c r="F217" s="51" t="n">
        <f aca="false">D217+E217</f>
        <v>0.00137198566557534</v>
      </c>
      <c r="G217" s="86" t="n">
        <f aca="false">F217/B217*100</f>
        <v>112.424640065105</v>
      </c>
    </row>
    <row r="218" customFormat="false" ht="12.75" hidden="false" customHeight="false" outlineLevel="0" collapsed="false">
      <c r="A218" s="132" t="s">
        <v>66</v>
      </c>
      <c r="B218" s="143" t="n">
        <f aca="false">0.086453712072552*0.808</f>
        <v>0.069854599354622</v>
      </c>
      <c r="C218" s="86" t="n">
        <f aca="false">129.72+6.5</f>
        <v>136.22</v>
      </c>
      <c r="D218" s="51" t="n">
        <f aca="false">C218*B218/100</f>
        <v>0.0951559352408661</v>
      </c>
      <c r="E218" s="142" t="n">
        <f aca="false">B218*(($Q$38-0.065)-0.32704)</f>
        <v>-0.0183349881236867</v>
      </c>
      <c r="F218" s="51" t="n">
        <f aca="false">D218+E218</f>
        <v>0.0768209471171794</v>
      </c>
      <c r="G218" s="86" t="n">
        <f aca="false">F218/B218*100</f>
        <v>109.972640065105</v>
      </c>
    </row>
    <row r="219" customFormat="false" ht="12.75" hidden="false" customHeight="false" outlineLevel="0" collapsed="false">
      <c r="A219" s="132" t="s">
        <v>46</v>
      </c>
      <c r="B219" s="143" t="n">
        <v>0</v>
      </c>
      <c r="C219" s="86" t="n">
        <f aca="false">59.358+6.5</f>
        <v>65.858</v>
      </c>
      <c r="D219" s="51" t="n">
        <f aca="false">C219*B219/100</f>
        <v>0</v>
      </c>
      <c r="E219" s="51" t="n">
        <f aca="false">B219*(($Q$38-0.065)-0.26093)</f>
        <v>-0</v>
      </c>
      <c r="F219" s="51" t="n">
        <f aca="false">D219+E219</f>
        <v>0</v>
      </c>
      <c r="G219" s="86" t="n">
        <f aca="false">C219+(Q38-0.065)*100</f>
        <v>72.3146400651046</v>
      </c>
    </row>
    <row r="220" customFormat="false" ht="12.75" hidden="false" customHeight="false" outlineLevel="0" collapsed="false">
      <c r="A220" s="132" t="s">
        <v>67</v>
      </c>
      <c r="B220" s="143" t="n">
        <v>0</v>
      </c>
      <c r="C220" s="86" t="n">
        <f aca="false">58.971+6.5</f>
        <v>65.471</v>
      </c>
      <c r="D220" s="51" t="n">
        <f aca="false">C220*B220/100</f>
        <v>0</v>
      </c>
      <c r="E220" s="51" t="n">
        <f aca="false">B220*(($Q$38-0.065)-0.25922)</f>
        <v>-0</v>
      </c>
      <c r="F220" s="51" t="n">
        <f aca="false">D220+E220</f>
        <v>0</v>
      </c>
      <c r="G220" s="86" t="n">
        <f aca="false">C220+(Q38-0.065)*100</f>
        <v>71.9276400651046</v>
      </c>
    </row>
    <row r="221" customFormat="false" ht="12.75" hidden="false" customHeight="false" outlineLevel="0" collapsed="false">
      <c r="A221" s="132"/>
      <c r="B221" s="143"/>
      <c r="C221" s="86"/>
      <c r="D221" s="51"/>
      <c r="E221" s="142"/>
      <c r="F221" s="51"/>
      <c r="G221" s="86"/>
    </row>
    <row r="222" customFormat="false" ht="12.75" hidden="false" customHeight="false" outlineLevel="0" collapsed="false">
      <c r="A222" s="83" t="s">
        <v>79</v>
      </c>
      <c r="B222" s="154"/>
      <c r="C222" s="86"/>
      <c r="D222" s="51"/>
      <c r="E222" s="142"/>
      <c r="F222" s="51"/>
      <c r="G222" s="86"/>
    </row>
    <row r="223" customFormat="false" ht="12.75" hidden="false" customHeight="false" outlineLevel="0" collapsed="false">
      <c r="A223" s="131" t="s">
        <v>65</v>
      </c>
      <c r="B223" s="143" t="n">
        <f aca="false">0.012349306971672*0.808</f>
        <v>0.00997824003311098</v>
      </c>
      <c r="C223" s="86" t="n">
        <f aca="false">17.154+6.5</f>
        <v>23.654</v>
      </c>
      <c r="D223" s="51" t="n">
        <f aca="false">C223*B223/100</f>
        <v>0.00236025289743207</v>
      </c>
      <c r="E223" s="51" t="n">
        <f aca="false">B223*(($Q$38-0.065)-0.0487)</f>
        <v>0.000158318754157648</v>
      </c>
      <c r="F223" s="51" t="n">
        <f aca="false">D223+E223</f>
        <v>0.00251857165158972</v>
      </c>
      <c r="G223" s="86" t="n">
        <f aca="false">F223/B223*100</f>
        <v>25.2406400651046</v>
      </c>
    </row>
    <row r="224" customFormat="false" ht="12.75" hidden="false" customHeight="false" outlineLevel="0" collapsed="false">
      <c r="A224" s="132" t="s">
        <v>66</v>
      </c>
      <c r="B224" s="143" t="n">
        <f aca="false">0.164431570020344*0.808</f>
        <v>0.132860708576438</v>
      </c>
      <c r="C224" s="86" t="n">
        <f aca="false">16.148+6.5</f>
        <v>22.648</v>
      </c>
      <c r="D224" s="51" t="n">
        <f aca="false">C224*B224/100</f>
        <v>0.0300902932783917</v>
      </c>
      <c r="E224" s="51" t="n">
        <f aca="false">B224*(($Q$38-0.065)-0.04174)</f>
        <v>0.00303273176474767</v>
      </c>
      <c r="F224" s="51" t="n">
        <f aca="false">D224+E224</f>
        <v>0.0331230250431394</v>
      </c>
      <c r="G224" s="86" t="n">
        <f aca="false">F224/B224*100</f>
        <v>24.9306400651046</v>
      </c>
    </row>
    <row r="225" customFormat="false" ht="12.75" hidden="false" customHeight="false" outlineLevel="0" collapsed="false">
      <c r="A225" s="132" t="s">
        <v>46</v>
      </c>
      <c r="B225" s="143" t="n">
        <v>0</v>
      </c>
      <c r="C225" s="86" t="n">
        <f aca="false">8.175+6.5</f>
        <v>14.675</v>
      </c>
      <c r="D225" s="51" t="n">
        <f aca="false">C225*B225/100</f>
        <v>0</v>
      </c>
      <c r="E225" s="51" t="n">
        <f aca="false">B225*(($Q$38-0.065)-0.03364)</f>
        <v>0</v>
      </c>
      <c r="F225" s="51" t="n">
        <f aca="false">D225+E225</f>
        <v>0</v>
      </c>
      <c r="G225" s="86" t="n">
        <f aca="false">C225+(Q38-0.065)*100</f>
        <v>21.1316400651046</v>
      </c>
    </row>
    <row r="226" customFormat="false" ht="12.75" hidden="false" customHeight="false" outlineLevel="0" collapsed="false">
      <c r="A226" s="132" t="s">
        <v>67</v>
      </c>
      <c r="B226" s="143" t="n">
        <v>0</v>
      </c>
      <c r="C226" s="86" t="n">
        <f aca="false">8.124+6.5</f>
        <v>14.624</v>
      </c>
      <c r="D226" s="51" t="n">
        <f aca="false">C226*B226/100</f>
        <v>0</v>
      </c>
      <c r="E226" s="51" t="n">
        <f aca="false">B226*(($Q$38-0.065)-0.03342)</f>
        <v>0</v>
      </c>
      <c r="F226" s="51" t="n">
        <f aca="false">D226+E226</f>
        <v>0</v>
      </c>
      <c r="G226" s="86" t="n">
        <f aca="false">C226+(Q38-0.065)*100</f>
        <v>21.0806400651046</v>
      </c>
    </row>
    <row r="227" customFormat="false" ht="12.75" hidden="false" customHeight="false" outlineLevel="0" collapsed="false">
      <c r="A227" s="132"/>
      <c r="B227" s="143"/>
      <c r="C227" s="86"/>
      <c r="D227" s="51"/>
      <c r="E227" s="51"/>
      <c r="F227" s="51"/>
      <c r="G227" s="86"/>
    </row>
    <row r="228" customFormat="false" ht="12.75" hidden="false" customHeight="false" outlineLevel="0" collapsed="false">
      <c r="A228" s="109" t="s">
        <v>69</v>
      </c>
      <c r="B228" s="154"/>
      <c r="C228" s="86"/>
      <c r="D228" s="51"/>
      <c r="E228" s="51"/>
      <c r="F228" s="51"/>
      <c r="G228" s="86"/>
    </row>
    <row r="229" customFormat="false" ht="12.75" hidden="false" customHeight="false" outlineLevel="0" collapsed="false">
      <c r="A229" s="131" t="s">
        <v>65</v>
      </c>
      <c r="B229" s="154" t="n">
        <f aca="false">1.44247012943933*0.808</f>
        <v>1.16551586458698</v>
      </c>
      <c r="C229" s="86" t="n">
        <f aca="false">2.053+6.5</f>
        <v>8.553</v>
      </c>
      <c r="D229" s="51" t="n">
        <f aca="false">C229*B229/100</f>
        <v>0.0996865718981243</v>
      </c>
      <c r="E229" s="51" t="n">
        <f aca="false">B229*(($Q$38-0.065)-0.0043)</f>
        <v>0.0702414460603495</v>
      </c>
      <c r="F229" s="51" t="n">
        <f aca="false">D229+E229</f>
        <v>0.169928017958474</v>
      </c>
      <c r="G229" s="86" t="n">
        <f aca="false">F229/B229*100</f>
        <v>14.5796400651046</v>
      </c>
    </row>
    <row r="230" customFormat="false" ht="12.75" hidden="false" customHeight="false" outlineLevel="0" collapsed="false">
      <c r="A230" s="132" t="s">
        <v>66</v>
      </c>
      <c r="B230" s="143" t="n">
        <f aca="false">16.351617777487*0.808</f>
        <v>13.2121071642095</v>
      </c>
      <c r="C230" s="86" t="n">
        <f aca="false">1.843+6.5</f>
        <v>8.343</v>
      </c>
      <c r="D230" s="51" t="n">
        <f aca="false">C230*B230/100</f>
        <v>1.10228610071</v>
      </c>
      <c r="E230" s="51" t="n">
        <f aca="false">B230*(($Q$38-0.065)-0.00412)</f>
        <v>0.798624323092366</v>
      </c>
      <c r="F230" s="51" t="n">
        <f aca="false">D230+E230</f>
        <v>1.90091042380236</v>
      </c>
      <c r="G230" s="86" t="n">
        <f aca="false">F230/B230*100</f>
        <v>14.3876400651046</v>
      </c>
    </row>
    <row r="231" customFormat="false" ht="12.75" hidden="false" customHeight="false" outlineLevel="0" collapsed="false">
      <c r="A231" s="132" t="s">
        <v>46</v>
      </c>
      <c r="B231" s="143" t="n">
        <v>0</v>
      </c>
      <c r="C231" s="86" t="n">
        <f aca="false">0.809+6.5</f>
        <v>7.309</v>
      </c>
      <c r="D231" s="51" t="n">
        <f aca="false">C231*B231/100</f>
        <v>0</v>
      </c>
      <c r="E231" s="51" t="n">
        <f aca="false">B231*(($Q$38-0.065)-0.00368)</f>
        <v>0</v>
      </c>
      <c r="F231" s="51" t="n">
        <f aca="false">D231+E231</f>
        <v>0</v>
      </c>
      <c r="G231" s="86" t="n">
        <f aca="false">C231+(Q38-0.065)*100</f>
        <v>13.7656400651046</v>
      </c>
    </row>
    <row r="232" customFormat="false" ht="12.75" hidden="false" customHeight="false" outlineLevel="0" collapsed="false">
      <c r="A232" s="132" t="s">
        <v>67</v>
      </c>
      <c r="B232" s="143" t="n">
        <v>0</v>
      </c>
      <c r="C232" s="86" t="n">
        <f aca="false">0.806+6.5</f>
        <v>7.306</v>
      </c>
      <c r="D232" s="51" t="n">
        <f aca="false">C232*B232/100</f>
        <v>0</v>
      </c>
      <c r="E232" s="51" t="n">
        <f aca="false">B232*(($Q$38-0.065)-0.00366)</f>
        <v>0</v>
      </c>
      <c r="F232" s="51" t="n">
        <f aca="false">D232+E232</f>
        <v>0</v>
      </c>
      <c r="G232" s="86" t="n">
        <f aca="false">C232+(Q38-0.065)*100</f>
        <v>13.7626400651046</v>
      </c>
    </row>
    <row r="233" customFormat="false" ht="12.75" hidden="false" customHeight="false" outlineLevel="0" collapsed="false">
      <c r="A233" s="2"/>
      <c r="B233" s="143"/>
      <c r="C233" s="86"/>
      <c r="D233" s="51"/>
      <c r="E233" s="142"/>
      <c r="F233" s="51"/>
      <c r="G233" s="86"/>
    </row>
    <row r="234" customFormat="false" ht="12.75" hidden="false" customHeight="false" outlineLevel="0" collapsed="false">
      <c r="A234" s="137" t="s">
        <v>72</v>
      </c>
      <c r="B234" s="154"/>
      <c r="C234" s="86"/>
      <c r="D234" s="51"/>
      <c r="E234" s="142"/>
      <c r="F234" s="51"/>
      <c r="G234" s="86"/>
    </row>
    <row r="235" customFormat="false" ht="12.75" hidden="false" customHeight="false" outlineLevel="0" collapsed="false">
      <c r="A235" s="131" t="s">
        <v>65</v>
      </c>
      <c r="B235" s="143" t="n">
        <f aca="false">0.306689263785696*0.808</f>
        <v>0.247804925138842</v>
      </c>
      <c r="C235" s="86" t="n">
        <f aca="false">1.673+6.5</f>
        <v>8.173</v>
      </c>
      <c r="D235" s="51" t="n">
        <f aca="false">C235*B235/100</f>
        <v>0.0202530965315976</v>
      </c>
      <c r="E235" s="49" t="n">
        <f aca="false">(($N$40-0.065)-0.00328)*B235</f>
        <v>0.00333818129882466</v>
      </c>
      <c r="F235" s="51" t="n">
        <f aca="false">D235+E235</f>
        <v>0.0235912778304222</v>
      </c>
      <c r="G235" s="86" t="n">
        <f aca="false">F235/B235*100</f>
        <v>9.52010046499452</v>
      </c>
    </row>
    <row r="236" customFormat="false" ht="12.75" hidden="false" customHeight="false" outlineLevel="0" collapsed="false">
      <c r="A236" s="132" t="s">
        <v>66</v>
      </c>
      <c r="B236" s="154" t="n">
        <f aca="false">17.0500281573672*0.808</f>
        <v>13.7764227511527</v>
      </c>
      <c r="C236" s="86" t="n">
        <f aca="false">1.519+6.5</f>
        <v>8.019</v>
      </c>
      <c r="D236" s="51" t="n">
        <f aca="false">C236*B236/100</f>
        <v>1.10473134041494</v>
      </c>
      <c r="E236" s="49" t="n">
        <f aca="false">(($N$40-0.065)-0.00317)*B236</f>
        <v>0.187097661443015</v>
      </c>
      <c r="F236" s="51" t="n">
        <f aca="false">D236+E236</f>
        <v>1.29182900185795</v>
      </c>
      <c r="G236" s="86" t="n">
        <f aca="false">F236/B236*100</f>
        <v>9.37710046499452</v>
      </c>
    </row>
    <row r="237" customFormat="false" ht="12.75" hidden="false" customHeight="false" outlineLevel="0" collapsed="false">
      <c r="A237" s="132" t="s">
        <v>46</v>
      </c>
      <c r="B237" s="143" t="n">
        <v>0</v>
      </c>
      <c r="C237" s="86" t="n">
        <f aca="false">0.727+6.5</f>
        <v>7.227</v>
      </c>
      <c r="D237" s="51" t="n">
        <f aca="false">C237*B237/100</f>
        <v>0</v>
      </c>
      <c r="E237" s="49" t="n">
        <f aca="false">(($N$40-0.065)-0.00286)*B237</f>
        <v>0</v>
      </c>
      <c r="F237" s="51" t="n">
        <f aca="false">D237+E237</f>
        <v>0</v>
      </c>
      <c r="G237" s="86" t="n">
        <f aca="false">C237+(N40-0.065)*100</f>
        <v>8.90210046499452</v>
      </c>
    </row>
    <row r="238" customFormat="false" ht="12.75" hidden="false" customHeight="false" outlineLevel="0" collapsed="false">
      <c r="A238" s="132" t="s">
        <v>67</v>
      </c>
      <c r="B238" s="143" t="n">
        <v>0</v>
      </c>
      <c r="C238" s="86" t="n">
        <f aca="false">0.724+6.5</f>
        <v>7.224</v>
      </c>
      <c r="D238" s="51" t="n">
        <f aca="false">C238*B238/100</f>
        <v>0</v>
      </c>
      <c r="E238" s="49" t="n">
        <f aca="false">(($N$40-0.065)-0.00284)*B238</f>
        <v>0</v>
      </c>
      <c r="F238" s="51" t="n">
        <f aca="false">D238+E238</f>
        <v>0</v>
      </c>
      <c r="G238" s="86" t="n">
        <f aca="false">C238+(N40-0.065)*100</f>
        <v>8.89910046499452</v>
      </c>
    </row>
    <row r="239" customFormat="false" ht="12.75" hidden="false" customHeight="false" outlineLevel="0" collapsed="false">
      <c r="A239" s="132"/>
      <c r="B239" s="144"/>
      <c r="C239" s="86"/>
      <c r="D239" s="51"/>
      <c r="E239" s="142"/>
      <c r="F239" s="51"/>
      <c r="G239" s="86"/>
    </row>
    <row r="240" customFormat="false" ht="13.5" hidden="false" customHeight="false" outlineLevel="0" collapsed="false">
      <c r="A240" s="138" t="s">
        <v>80</v>
      </c>
      <c r="B240" s="139" t="n">
        <f aca="false">SUM(B217:B238)</f>
        <v>28.615764613344</v>
      </c>
      <c r="C240" s="140" t="n">
        <f aca="false">D240/B240*100</f>
        <v>13.333457169873</v>
      </c>
      <c r="D240" s="141" t="n">
        <f aca="false">SUM(D204:D238)</f>
        <v>3.81547071855188</v>
      </c>
      <c r="E240" s="141" t="n">
        <f aca="false">SUM(E204:E238)</f>
        <v>0.960384849002225</v>
      </c>
      <c r="F240" s="141" t="n">
        <f aca="false">SUM(F204:F238)</f>
        <v>4.77585556755411</v>
      </c>
      <c r="G240" s="140" t="n">
        <f aca="false">F240/B240*100</f>
        <v>16.6895962141338</v>
      </c>
      <c r="H240" s="65" t="n">
        <f aca="false">(G240-C240)/C240</f>
        <v>0.251708090520146</v>
      </c>
    </row>
    <row r="241" customFormat="false" ht="13.5" hidden="false" customHeight="false" outlineLevel="0" collapsed="false">
      <c r="A241" s="109"/>
      <c r="B241" s="150"/>
      <c r="C241" s="11"/>
      <c r="D241" s="11"/>
      <c r="E241" s="136"/>
      <c r="F241" s="11"/>
      <c r="G241" s="11"/>
      <c r="H241" s="11"/>
    </row>
    <row r="242" customFormat="false" ht="12.75" hidden="false" customHeight="false" outlineLevel="0" collapsed="false">
      <c r="A242" s="109"/>
      <c r="B242" s="150"/>
      <c r="C242" s="11"/>
      <c r="D242" s="11"/>
      <c r="E242" s="136"/>
      <c r="F242" s="11"/>
      <c r="G242" s="11"/>
      <c r="H242" s="11"/>
    </row>
    <row r="244" customFormat="false" ht="12.75" hidden="false" customHeight="false" outlineLevel="0" collapsed="false">
      <c r="A244" s="2"/>
      <c r="E244" s="152"/>
      <c r="H244" s="2" t="s">
        <v>81</v>
      </c>
    </row>
    <row r="245" customFormat="false" ht="20.25" hidden="false" customHeight="false" outlineLevel="0" collapsed="false">
      <c r="A245" s="3" t="s">
        <v>1</v>
      </c>
      <c r="B245" s="3"/>
      <c r="C245" s="3"/>
      <c r="D245" s="3"/>
      <c r="E245" s="3"/>
      <c r="F245" s="3"/>
      <c r="G245" s="3"/>
      <c r="H245" s="3"/>
    </row>
    <row r="246" customFormat="false" ht="20.25" hidden="false" customHeight="false" outlineLevel="0" collapsed="false">
      <c r="A246" s="3" t="s">
        <v>2</v>
      </c>
      <c r="B246" s="3"/>
      <c r="C246" s="3"/>
      <c r="D246" s="3"/>
      <c r="E246" s="3"/>
      <c r="F246" s="3"/>
      <c r="G246" s="3"/>
      <c r="H246" s="3"/>
    </row>
    <row r="247" customFormat="false" ht="20.25" hidden="false" customHeight="false" outlineLevel="0" collapsed="false">
      <c r="A247" s="3" t="s">
        <v>3</v>
      </c>
      <c r="B247" s="3"/>
      <c r="C247" s="3"/>
      <c r="D247" s="3"/>
      <c r="E247" s="3"/>
      <c r="F247" s="3"/>
      <c r="G247" s="3"/>
      <c r="H247" s="3"/>
    </row>
    <row r="248" customFormat="false" ht="13.5" hidden="false" customHeight="false" outlineLevel="0" collapsed="false">
      <c r="A248" s="2"/>
      <c r="E248" s="152"/>
    </row>
    <row r="249" customFormat="false" ht="64.5" hidden="false" customHeight="false" outlineLevel="0" collapsed="false">
      <c r="A249" s="37" t="s">
        <v>17</v>
      </c>
      <c r="B249" s="39" t="s">
        <v>18</v>
      </c>
      <c r="C249" s="39" t="s">
        <v>19</v>
      </c>
      <c r="D249" s="39" t="s">
        <v>20</v>
      </c>
      <c r="E249" s="39" t="s">
        <v>21</v>
      </c>
      <c r="F249" s="39" t="s">
        <v>22</v>
      </c>
      <c r="G249" s="39" t="s">
        <v>23</v>
      </c>
      <c r="H249" s="39" t="s">
        <v>24</v>
      </c>
    </row>
    <row r="250" customFormat="false" ht="12.75" hidden="false" customHeight="false" outlineLevel="0" collapsed="false">
      <c r="E250" s="152"/>
    </row>
    <row r="251" customFormat="false" ht="12.75" hidden="false" customHeight="false" outlineLevel="0" collapsed="false">
      <c r="A251" s="130" t="s">
        <v>82</v>
      </c>
      <c r="E251" s="152"/>
    </row>
    <row r="252" customFormat="false" ht="12.75" hidden="false" customHeight="false" outlineLevel="0" collapsed="false">
      <c r="A252" s="130"/>
      <c r="E252" s="152"/>
    </row>
    <row r="253" customFormat="false" ht="12.75" hidden="false" customHeight="false" outlineLevel="0" collapsed="false">
      <c r="A253" s="75" t="s">
        <v>27</v>
      </c>
      <c r="E253" s="152"/>
    </row>
    <row r="254" customFormat="false" ht="12.75" hidden="false" customHeight="false" outlineLevel="0" collapsed="false">
      <c r="A254" s="83" t="s">
        <v>28</v>
      </c>
      <c r="E254" s="152"/>
    </row>
    <row r="255" customFormat="false" ht="12.75" hidden="false" customHeight="false" outlineLevel="0" collapsed="false">
      <c r="A255" s="131" t="s">
        <v>65</v>
      </c>
      <c r="C255" s="81" t="n">
        <f aca="false">D255/(B268+B274+B280+B286+B292+B298+B304)*100</f>
        <v>0.107999434148523</v>
      </c>
      <c r="D255" s="51" t="n">
        <v>0.011117347427368</v>
      </c>
      <c r="E255" s="142" t="n">
        <f aca="false">F255-D255</f>
        <v>0</v>
      </c>
      <c r="F255" s="51" t="n">
        <v>0.011117347427368</v>
      </c>
      <c r="G255" s="154" t="n">
        <f aca="false">F255/(B268+B274+B280+B286+B292+B298+B304)*100</f>
        <v>0.107999434148523</v>
      </c>
    </row>
    <row r="256" customFormat="false" ht="12.75" hidden="false" customHeight="false" outlineLevel="0" collapsed="false">
      <c r="A256" s="132" t="s">
        <v>66</v>
      </c>
      <c r="C256" s="81" t="n">
        <f aca="false">D256/(B269+B275+B281+B287+B293+B299+B305)*100</f>
        <v>0.0501336546278638</v>
      </c>
      <c r="D256" s="51" t="n">
        <v>0.00827863147956533</v>
      </c>
      <c r="E256" s="142" t="n">
        <f aca="false">F256-D256</f>
        <v>0</v>
      </c>
      <c r="F256" s="51" t="n">
        <v>0.00827863147956533</v>
      </c>
      <c r="G256" s="154" t="n">
        <f aca="false">F256/(B269+B275+B281+B287+B293+B299+B305)*100</f>
        <v>0.0501336546278638</v>
      </c>
    </row>
    <row r="257" customFormat="false" ht="12.75" hidden="false" customHeight="false" outlineLevel="0" collapsed="false">
      <c r="A257" s="132" t="s">
        <v>46</v>
      </c>
      <c r="C257" s="81" t="n">
        <v>0</v>
      </c>
      <c r="D257" s="51" t="n">
        <v>0</v>
      </c>
      <c r="E257" s="142" t="n">
        <f aca="false">F257-D257</f>
        <v>0</v>
      </c>
      <c r="F257" s="51" t="n">
        <v>0</v>
      </c>
      <c r="G257" s="154" t="n">
        <v>0</v>
      </c>
    </row>
    <row r="258" customFormat="false" ht="12.75" hidden="false" customHeight="false" outlineLevel="0" collapsed="false">
      <c r="A258" s="132" t="s">
        <v>67</v>
      </c>
      <c r="C258" s="81" t="n">
        <v>0</v>
      </c>
      <c r="D258" s="51" t="n">
        <v>0</v>
      </c>
      <c r="E258" s="142" t="n">
        <f aca="false">F258-D258</f>
        <v>0</v>
      </c>
      <c r="F258" s="51" t="n">
        <v>0</v>
      </c>
      <c r="G258" s="154" t="n">
        <v>0</v>
      </c>
    </row>
    <row r="259" customFormat="false" ht="12.75" hidden="false" customHeight="false" outlineLevel="0" collapsed="false">
      <c r="A259" s="132"/>
      <c r="D259" s="51"/>
      <c r="E259" s="142"/>
      <c r="F259" s="51"/>
      <c r="G259" s="154"/>
    </row>
    <row r="260" customFormat="false" ht="12.75" hidden="false" customHeight="false" outlineLevel="0" collapsed="false">
      <c r="A260" s="83" t="s">
        <v>50</v>
      </c>
      <c r="D260" s="51"/>
      <c r="E260" s="142"/>
      <c r="F260" s="51"/>
      <c r="G260" s="154"/>
    </row>
    <row r="261" customFormat="false" ht="12.75" hidden="false" customHeight="false" outlineLevel="0" collapsed="false">
      <c r="A261" s="131" t="s">
        <v>65</v>
      </c>
      <c r="C261" s="81" t="n">
        <f aca="false">D261/(B268+B274+B280+B286+B292+B298+B304)*100</f>
        <v>6.3727702048</v>
      </c>
      <c r="D261" s="51" t="n">
        <v>0.656006218922484</v>
      </c>
      <c r="E261" s="142" t="n">
        <f aca="false">F261-D261</f>
        <v>-0.0396633067636415</v>
      </c>
      <c r="F261" s="51" t="n">
        <v>0.616342912158843</v>
      </c>
      <c r="G261" s="154" t="n">
        <f aca="false">F261/(B268+B274+B280+B286+B292+B298+B304)*100</f>
        <v>5.9874611448</v>
      </c>
    </row>
    <row r="262" customFormat="false" ht="12.75" hidden="false" customHeight="false" outlineLevel="0" collapsed="false">
      <c r="A262" s="132" t="s">
        <v>66</v>
      </c>
      <c r="C262" s="81" t="n">
        <f aca="false">D262/(B269+B275+B281+B287+B293+B299+B305)*100</f>
        <v>2.9119067217</v>
      </c>
      <c r="D262" s="51" t="n">
        <v>0.480846705287376</v>
      </c>
      <c r="E262" s="142" t="n">
        <f aca="false">F262-D262</f>
        <v>-0.029325497880725</v>
      </c>
      <c r="F262" s="51" t="n">
        <v>0.451521207406651</v>
      </c>
      <c r="G262" s="154" t="n">
        <f aca="false">F262/(B269+B275+B281+B287+B293+B299+B305)*100</f>
        <v>2.7343176617</v>
      </c>
    </row>
    <row r="263" customFormat="false" ht="12.75" hidden="false" customHeight="false" outlineLevel="0" collapsed="false">
      <c r="A263" s="132" t="s">
        <v>46</v>
      </c>
      <c r="C263" s="81" t="n">
        <v>0</v>
      </c>
      <c r="D263" s="51" t="n">
        <v>0</v>
      </c>
      <c r="E263" s="142" t="n">
        <f aca="false">F263-D263</f>
        <v>0</v>
      </c>
      <c r="F263" s="51" t="n">
        <v>0</v>
      </c>
      <c r="G263" s="154" t="n">
        <v>0</v>
      </c>
    </row>
    <row r="264" customFormat="false" ht="12.75" hidden="false" customHeight="false" outlineLevel="0" collapsed="false">
      <c r="A264" s="132" t="s">
        <v>67</v>
      </c>
      <c r="C264" s="81" t="n">
        <v>0</v>
      </c>
      <c r="D264" s="51" t="n">
        <v>0</v>
      </c>
      <c r="E264" s="142" t="n">
        <f aca="false">F264-D264</f>
        <v>0</v>
      </c>
      <c r="F264" s="51" t="n">
        <v>0</v>
      </c>
      <c r="G264" s="154" t="n">
        <v>0</v>
      </c>
    </row>
    <row r="265" customFormat="false" ht="12.75" hidden="false" customHeight="false" outlineLevel="0" collapsed="false">
      <c r="A265" s="75"/>
      <c r="D265" s="51"/>
      <c r="E265" s="142"/>
      <c r="F265" s="51"/>
      <c r="G265" s="155"/>
    </row>
    <row r="266" customFormat="false" ht="12.75" hidden="false" customHeight="false" outlineLevel="0" collapsed="false">
      <c r="A266" s="4" t="s">
        <v>31</v>
      </c>
      <c r="D266" s="51"/>
      <c r="E266" s="142"/>
      <c r="F266" s="51"/>
      <c r="G266" s="155"/>
    </row>
    <row r="267" customFormat="false" ht="12.75" hidden="false" customHeight="false" outlineLevel="0" collapsed="false">
      <c r="A267" s="78" t="s">
        <v>83</v>
      </c>
      <c r="D267" s="51"/>
      <c r="E267" s="142"/>
      <c r="F267" s="51"/>
      <c r="G267" s="155"/>
    </row>
    <row r="268" customFormat="false" ht="12.75" hidden="false" customHeight="false" outlineLevel="0" collapsed="false">
      <c r="A268" s="85" t="s">
        <v>32</v>
      </c>
      <c r="B268" s="154" t="n">
        <f aca="false">0.09325656576*0.808</f>
        <v>0.07535130513408</v>
      </c>
      <c r="C268" s="86" t="n">
        <f aca="false">21.771+6.5</f>
        <v>28.271</v>
      </c>
      <c r="D268" s="51" t="n">
        <f aca="false">C268*B268/100</f>
        <v>0.0213025674744558</v>
      </c>
      <c r="E268" s="51" t="n">
        <f aca="false">B268*(($N$38-0.065)-0.11074)</f>
        <v>-0.000922148571471997</v>
      </c>
      <c r="F268" s="51" t="n">
        <f aca="false">E268+D268</f>
        <v>0.0203804189029838</v>
      </c>
      <c r="G268" s="86" t="n">
        <f aca="false">F268/B268*100</f>
        <v>27.047200929989</v>
      </c>
    </row>
    <row r="269" customFormat="false" ht="12.75" hidden="false" customHeight="false" outlineLevel="0" collapsed="false">
      <c r="A269" s="85" t="s">
        <v>33</v>
      </c>
      <c r="B269" s="154" t="n">
        <f aca="false">0.104392359456*0.808</f>
        <v>0.084349026440448</v>
      </c>
      <c r="C269" s="86" t="n">
        <f aca="false">19.709+6.5</f>
        <v>26.209</v>
      </c>
      <c r="D269" s="51" t="n">
        <f aca="false">C269*B269/100</f>
        <v>0.022107036339777</v>
      </c>
      <c r="E269" s="51" t="n">
        <f aca="false">B269*(($N$38-0.065)-0.09429)</f>
        <v>0.000355278883803863</v>
      </c>
      <c r="F269" s="51" t="n">
        <f aca="false">E269+D269</f>
        <v>0.0224623152235809</v>
      </c>
      <c r="G269" s="86" t="n">
        <f aca="false">F269/B269*100</f>
        <v>26.630200929989</v>
      </c>
    </row>
    <row r="270" customFormat="false" ht="12.75" hidden="false" customHeight="false" outlineLevel="0" collapsed="false">
      <c r="A270" s="85" t="s">
        <v>46</v>
      </c>
      <c r="B270" s="154" t="n">
        <v>0</v>
      </c>
      <c r="C270" s="86" t="n">
        <f aca="false">17.005+6.5</f>
        <v>23.505</v>
      </c>
      <c r="D270" s="51" t="n">
        <f aca="false">C270*B270/100</f>
        <v>0</v>
      </c>
      <c r="E270" s="51" t="n">
        <f aca="false">B270*(($N$38-0.065)-0.07551)</f>
        <v>0</v>
      </c>
      <c r="F270" s="51" t="n">
        <f aca="false">E270+D270</f>
        <v>0</v>
      </c>
      <c r="G270" s="86" t="n">
        <f aca="false">C270+($N$38-0.065)*100</f>
        <v>33.355200929989</v>
      </c>
    </row>
    <row r="271" customFormat="false" ht="12.75" hidden="false" customHeight="false" outlineLevel="0" collapsed="false">
      <c r="A271" s="85" t="s">
        <v>48</v>
      </c>
      <c r="B271" s="154" t="n">
        <v>0</v>
      </c>
      <c r="C271" s="86" t="n">
        <f aca="false">16.897+6.5</f>
        <v>23.397</v>
      </c>
      <c r="D271" s="51" t="n">
        <f aca="false">C271*B271/100</f>
        <v>0</v>
      </c>
      <c r="E271" s="51" t="n">
        <f aca="false">B271*(($N$38-0.065)-0.07502)</f>
        <v>0</v>
      </c>
      <c r="F271" s="51" t="n">
        <f aca="false">E271+D271</f>
        <v>0</v>
      </c>
      <c r="G271" s="86" t="n">
        <f aca="false">C271+($N$38-0.065)*100</f>
        <v>33.247200929989</v>
      </c>
    </row>
    <row r="272" customFormat="false" ht="12.75" hidden="false" customHeight="false" outlineLevel="0" collapsed="false">
      <c r="A272" s="85"/>
      <c r="B272" s="154"/>
      <c r="C272" s="81"/>
      <c r="D272" s="51"/>
      <c r="E272" s="142"/>
      <c r="F272" s="51"/>
      <c r="G272" s="86"/>
    </row>
    <row r="273" customFormat="false" ht="12.75" hidden="false" customHeight="false" outlineLevel="0" collapsed="false">
      <c r="A273" s="78" t="s">
        <v>55</v>
      </c>
      <c r="B273" s="154"/>
      <c r="C273" s="81"/>
      <c r="D273" s="51"/>
      <c r="E273" s="142"/>
      <c r="F273" s="51"/>
      <c r="G273" s="86"/>
    </row>
    <row r="274" customFormat="false" ht="12.75" hidden="false" customHeight="false" outlineLevel="0" collapsed="false">
      <c r="A274" s="85" t="s">
        <v>32</v>
      </c>
      <c r="B274" s="154" t="n">
        <f aca="false">1.845358884864*0.808</f>
        <v>1.49104997897011</v>
      </c>
      <c r="C274" s="86" t="n">
        <f aca="false">1.68+6.5</f>
        <v>8.18</v>
      </c>
      <c r="D274" s="51" t="n">
        <f aca="false">C274*B274/100</f>
        <v>0.121967888279755</v>
      </c>
      <c r="E274" s="51" t="n">
        <f aca="false">B274*(($N$38-0.065)-0.0076)</f>
        <v>0.135539439054942</v>
      </c>
      <c r="F274" s="51" t="n">
        <f aca="false">E274+D274</f>
        <v>0.257507327334698</v>
      </c>
      <c r="G274" s="86" t="n">
        <f aca="false">F274/B274*100</f>
        <v>17.270200929989</v>
      </c>
    </row>
    <row r="275" customFormat="false" ht="12.75" hidden="false" customHeight="false" outlineLevel="0" collapsed="false">
      <c r="A275" s="85" t="s">
        <v>33</v>
      </c>
      <c r="B275" s="154" t="n">
        <f aca="false">2.368570260672*0.808</f>
        <v>1.91380477062298</v>
      </c>
      <c r="C275" s="86" t="n">
        <f aca="false">1.645+6.5</f>
        <v>8.145</v>
      </c>
      <c r="D275" s="51" t="n">
        <f aca="false">C275*B275/100</f>
        <v>0.155879398567241</v>
      </c>
      <c r="E275" s="51" t="n">
        <f aca="false">B275*(($N$38-0.065)-0.00748)</f>
        <v>0.174198355629819</v>
      </c>
      <c r="F275" s="51" t="n">
        <f aca="false">E275+D275</f>
        <v>0.33007775419706</v>
      </c>
      <c r="G275" s="86" t="n">
        <f aca="false">F275/B275*100</f>
        <v>17.247200929989</v>
      </c>
    </row>
    <row r="276" customFormat="false" ht="12.75" hidden="false" customHeight="false" outlineLevel="0" collapsed="false">
      <c r="A276" s="85" t="s">
        <v>46</v>
      </c>
      <c r="B276" s="154" t="n">
        <v>0</v>
      </c>
      <c r="C276" s="86" t="n">
        <f aca="false">1.176+6.5</f>
        <v>7.676</v>
      </c>
      <c r="D276" s="51" t="n">
        <f aca="false">C276*B276/100</f>
        <v>0</v>
      </c>
      <c r="E276" s="51" t="n">
        <f aca="false">B276*(($N$38-0.065)-0.00735)</f>
        <v>0</v>
      </c>
      <c r="F276" s="51" t="n">
        <f aca="false">E276+D276</f>
        <v>0</v>
      </c>
      <c r="G276" s="86" t="n">
        <f aca="false">C276+($N$38-0.065)*100</f>
        <v>17.526200929989</v>
      </c>
    </row>
    <row r="277" customFormat="false" ht="12.75" hidden="false" customHeight="false" outlineLevel="0" collapsed="false">
      <c r="A277" s="85" t="s">
        <v>48</v>
      </c>
      <c r="B277" s="154" t="n">
        <v>0</v>
      </c>
      <c r="C277" s="86" t="n">
        <f aca="false">1.175+6.5</f>
        <v>7.675</v>
      </c>
      <c r="D277" s="51" t="n">
        <f aca="false">C277*B277/100</f>
        <v>0</v>
      </c>
      <c r="E277" s="51" t="n">
        <f aca="false">B277*(($N$38-0.065)-0.00735)</f>
        <v>0</v>
      </c>
      <c r="F277" s="51" t="n">
        <f aca="false">E277+D277</f>
        <v>0</v>
      </c>
      <c r="G277" s="86" t="n">
        <f aca="false">C277+($N$38-0.065)*100</f>
        <v>17.525200929989</v>
      </c>
    </row>
    <row r="278" customFormat="false" ht="12.75" hidden="false" customHeight="false" outlineLevel="0" collapsed="false">
      <c r="A278" s="85"/>
      <c r="B278" s="154"/>
      <c r="C278" s="86"/>
      <c r="D278" s="51"/>
      <c r="E278" s="51"/>
      <c r="F278" s="51"/>
      <c r="G278" s="86"/>
    </row>
    <row r="279" customFormat="false" ht="12.75" hidden="false" customHeight="false" outlineLevel="0" collapsed="false">
      <c r="A279" s="109" t="s">
        <v>56</v>
      </c>
      <c r="B279" s="154"/>
      <c r="C279" s="86"/>
      <c r="D279" s="51"/>
      <c r="E279" s="51"/>
      <c r="F279" s="51"/>
      <c r="G279" s="86"/>
    </row>
    <row r="280" customFormat="false" ht="12.75" hidden="false" customHeight="false" outlineLevel="0" collapsed="false">
      <c r="A280" s="85" t="s">
        <v>32</v>
      </c>
      <c r="B280" s="154" t="n">
        <f aca="false">2.087520196608*0.808</f>
        <v>1.68671631885926</v>
      </c>
      <c r="C280" s="86" t="n">
        <f aca="false">1.308+6.5</f>
        <v>7.808</v>
      </c>
      <c r="D280" s="51" t="n">
        <f aca="false">C280*B280/100</f>
        <v>0.131698810176531</v>
      </c>
      <c r="E280" s="51" t="n">
        <f aca="false">B280*(($N$39-0.065)-0.00389)</f>
        <v>0.0768491678704682</v>
      </c>
      <c r="F280" s="51" t="n">
        <f aca="false">E280+D280</f>
        <v>0.208547978047</v>
      </c>
      <c r="G280" s="86" t="n">
        <f aca="false">F280/B280*100</f>
        <v>12.3641406509923</v>
      </c>
    </row>
    <row r="281" customFormat="false" ht="12.75" hidden="false" customHeight="false" outlineLevel="0" collapsed="false">
      <c r="A281" s="85" t="s">
        <v>33</v>
      </c>
      <c r="B281" s="154" t="n">
        <f aca="false">3.44854477968*0.808</f>
        <v>2.78642418198144</v>
      </c>
      <c r="C281" s="86" t="n">
        <f aca="false">1.278+6.5</f>
        <v>7.778</v>
      </c>
      <c r="D281" s="51" t="n">
        <f aca="false">C281*B281/100</f>
        <v>0.216728072874516</v>
      </c>
      <c r="E281" s="51" t="n">
        <f aca="false">B281*(($N$39-0.065)-0.00381)</f>
        <v>0.127176318798895</v>
      </c>
      <c r="F281" s="51" t="n">
        <f aca="false">E281+D281</f>
        <v>0.343904391673412</v>
      </c>
      <c r="G281" s="86" t="n">
        <f aca="false">F281/B281*100</f>
        <v>12.3421406509923</v>
      </c>
    </row>
    <row r="282" customFormat="false" ht="12.75" hidden="false" customHeight="false" outlineLevel="0" collapsed="false">
      <c r="A282" s="85" t="s">
        <v>46</v>
      </c>
      <c r="B282" s="154" t="n">
        <v>0</v>
      </c>
      <c r="C282" s="86" t="n">
        <f aca="false">0.811+6.5</f>
        <v>7.311</v>
      </c>
      <c r="D282" s="51" t="n">
        <f aca="false">C282*B282/100</f>
        <v>0</v>
      </c>
      <c r="E282" s="51" t="n">
        <f aca="false">B282*(($N$39-0.065)-0.0037)</f>
        <v>0</v>
      </c>
      <c r="F282" s="51" t="n">
        <f aca="false">E282+D282</f>
        <v>0</v>
      </c>
      <c r="G282" s="86" t="n">
        <f aca="false">C282+($N$39-0.065)*100</f>
        <v>12.2561406509923</v>
      </c>
    </row>
    <row r="283" customFormat="false" ht="12.75" hidden="false" customHeight="false" outlineLevel="0" collapsed="false">
      <c r="A283" s="85" t="s">
        <v>48</v>
      </c>
      <c r="B283" s="154" t="n">
        <v>0</v>
      </c>
      <c r="C283" s="86" t="n">
        <f aca="false">0.807+6.5</f>
        <v>7.307</v>
      </c>
      <c r="D283" s="51" t="n">
        <f aca="false">C283*B283/100</f>
        <v>0</v>
      </c>
      <c r="E283" s="51" t="n">
        <f aca="false">B283*(($N$39-0.065)-0.00367)</f>
        <v>0</v>
      </c>
      <c r="F283" s="51" t="n">
        <f aca="false">E283+D283</f>
        <v>0</v>
      </c>
      <c r="G283" s="86" t="n">
        <f aca="false">C283+($N$39-0.065)*100</f>
        <v>12.2521406509923</v>
      </c>
    </row>
    <row r="284" customFormat="false" ht="12.75" hidden="false" customHeight="false" outlineLevel="0" collapsed="false">
      <c r="A284" s="85"/>
      <c r="B284" s="154"/>
      <c r="C284" s="86"/>
      <c r="D284" s="51"/>
      <c r="E284" s="142"/>
      <c r="F284" s="51"/>
      <c r="G284" s="86"/>
    </row>
    <row r="285" customFormat="false" ht="12.75" hidden="false" customHeight="false" outlineLevel="0" collapsed="false">
      <c r="A285" s="109" t="s">
        <v>59</v>
      </c>
      <c r="B285" s="154"/>
      <c r="C285" s="86"/>
      <c r="D285" s="51"/>
      <c r="E285" s="142"/>
      <c r="F285" s="51"/>
      <c r="G285" s="86"/>
    </row>
    <row r="286" customFormat="false" ht="12.75" hidden="false" customHeight="false" outlineLevel="0" collapsed="false">
      <c r="A286" s="85" t="s">
        <v>32</v>
      </c>
      <c r="B286" s="154" t="n">
        <f aca="false">1.598713104384*0.808</f>
        <v>1.29176018834227</v>
      </c>
      <c r="C286" s="86" t="n">
        <f aca="false">1.03+6.5</f>
        <v>7.53</v>
      </c>
      <c r="D286" s="51" t="n">
        <f aca="false">C286*B286/100</f>
        <v>0.0972695421821731</v>
      </c>
      <c r="E286" s="49" t="n">
        <f aca="false">(($N$40-0.065)-0.00307)*B286</f>
        <v>0.0176725771433247</v>
      </c>
      <c r="F286" s="51" t="n">
        <f aca="false">E286+D286</f>
        <v>0.114942119325498</v>
      </c>
      <c r="G286" s="86" t="n">
        <f aca="false">F286/B286*100</f>
        <v>8.89810046499452</v>
      </c>
    </row>
    <row r="287" customFormat="false" ht="12.75" hidden="false" customHeight="false" outlineLevel="0" collapsed="false">
      <c r="A287" s="85" t="s">
        <v>33</v>
      </c>
      <c r="B287" s="154" t="n">
        <f aca="false">3.07536457536*0.808</f>
        <v>2.48489457689088</v>
      </c>
      <c r="C287" s="86" t="n">
        <f aca="false">1.017+6.5</f>
        <v>7.517</v>
      </c>
      <c r="D287" s="51" t="n">
        <f aca="false">C287*B287/100</f>
        <v>0.186789525344887</v>
      </c>
      <c r="E287" s="49" t="n">
        <f aca="false">(($N$40-0.065)-0.00302)*B287</f>
        <v>0.0341200989899122</v>
      </c>
      <c r="F287" s="51" t="n">
        <f aca="false">E287+D287</f>
        <v>0.2209096243348</v>
      </c>
      <c r="G287" s="86" t="n">
        <f aca="false">F287/B287*100</f>
        <v>8.89010046499452</v>
      </c>
      <c r="H287" s="11"/>
    </row>
    <row r="288" customFormat="false" ht="12.75" hidden="false" customHeight="false" outlineLevel="0" collapsed="false">
      <c r="A288" s="85" t="s">
        <v>46</v>
      </c>
      <c r="B288" s="154" t="n">
        <v>0</v>
      </c>
      <c r="C288" s="86" t="n">
        <f aca="false">0.738+6.5</f>
        <v>7.238</v>
      </c>
      <c r="D288" s="51" t="n">
        <f aca="false">C288*B288/100</f>
        <v>0</v>
      </c>
      <c r="E288" s="49" t="n">
        <f aca="false">(($N$40-0.065)-0.00297)*B288</f>
        <v>0</v>
      </c>
      <c r="F288" s="51" t="n">
        <f aca="false">E288+D288</f>
        <v>0</v>
      </c>
      <c r="G288" s="86" t="n">
        <f aca="false">C288+($N$40-0.065)*100</f>
        <v>8.91310046499452</v>
      </c>
      <c r="H288" s="11"/>
    </row>
    <row r="289" customFormat="false" ht="12.75" hidden="false" customHeight="false" outlineLevel="0" collapsed="false">
      <c r="A289" s="85" t="s">
        <v>48</v>
      </c>
      <c r="B289" s="154" t="n">
        <v>0</v>
      </c>
      <c r="C289" s="86" t="n">
        <f aca="false">0.735+6.5</f>
        <v>7.235</v>
      </c>
      <c r="D289" s="51" t="n">
        <f aca="false">C289*B289/100</f>
        <v>0</v>
      </c>
      <c r="E289" s="49" t="n">
        <f aca="false">(($N$40-0.065)-0.00295)*B289</f>
        <v>0</v>
      </c>
      <c r="F289" s="51" t="n">
        <f aca="false">E289+D289</f>
        <v>0</v>
      </c>
      <c r="G289" s="86" t="n">
        <f aca="false">C289+($N$40-0.065)*100</f>
        <v>8.91010046499452</v>
      </c>
      <c r="H289" s="11"/>
    </row>
    <row r="290" customFormat="false" ht="12.75" hidden="false" customHeight="false" outlineLevel="0" collapsed="false">
      <c r="A290" s="85"/>
      <c r="B290" s="154"/>
      <c r="C290" s="86"/>
      <c r="D290" s="51"/>
      <c r="E290" s="134"/>
      <c r="F290" s="51"/>
      <c r="G290" s="86"/>
      <c r="H290" s="11"/>
    </row>
    <row r="291" customFormat="false" ht="12.75" hidden="false" customHeight="false" outlineLevel="0" collapsed="false">
      <c r="A291" s="109" t="s">
        <v>60</v>
      </c>
      <c r="B291" s="154"/>
      <c r="C291" s="86"/>
      <c r="D291" s="51"/>
      <c r="E291" s="134"/>
      <c r="F291" s="51"/>
      <c r="G291" s="86"/>
      <c r="H291" s="11"/>
    </row>
    <row r="292" customFormat="false" ht="12.75" hidden="false" customHeight="false" outlineLevel="0" collapsed="false">
      <c r="A292" s="85" t="s">
        <v>32</v>
      </c>
      <c r="B292" s="154" t="n">
        <f aca="false">0.65636315136*0.808</f>
        <v>0.53034142629888</v>
      </c>
      <c r="C292" s="86" t="n">
        <f aca="false">1.824+6.5</f>
        <v>8.324</v>
      </c>
      <c r="D292" s="51" t="n">
        <f aca="false">C292*B292/100</f>
        <v>0.0441456203251188</v>
      </c>
      <c r="E292" s="51" t="n">
        <f aca="false">B292*(($N$38-0.065)-0.00994)</f>
        <v>0.0469681023279985</v>
      </c>
      <c r="F292" s="51" t="n">
        <f aca="false">E292+D292</f>
        <v>0.0911137226531173</v>
      </c>
      <c r="G292" s="86" t="n">
        <f aca="false">F292/B292*100</f>
        <v>17.180200929989</v>
      </c>
      <c r="H292" s="11"/>
    </row>
    <row r="293" customFormat="false" ht="12.75" hidden="false" customHeight="false" outlineLevel="0" collapsed="false">
      <c r="A293" s="85" t="s">
        <v>33</v>
      </c>
      <c r="B293" s="154" t="n">
        <f aca="false">0.929312719104*0.808</f>
        <v>0.750884677036032</v>
      </c>
      <c r="C293" s="86" t="n">
        <f aca="false">1.766+6.5</f>
        <v>8.266</v>
      </c>
      <c r="D293" s="51" t="n">
        <f aca="false">C293*B293/100</f>
        <v>0.0620681274037984</v>
      </c>
      <c r="E293" s="51" t="n">
        <f aca="false">B293*(($N$38-0.065)-0.00952)</f>
        <v>0.0668152273151654</v>
      </c>
      <c r="F293" s="51" t="n">
        <f aca="false">E293+D293</f>
        <v>0.128883354718964</v>
      </c>
      <c r="G293" s="86" t="n">
        <f aca="false">F293/B293*100</f>
        <v>17.164200929989</v>
      </c>
      <c r="H293" s="11"/>
    </row>
    <row r="294" customFormat="false" ht="12.75" hidden="false" customHeight="false" outlineLevel="0" collapsed="false">
      <c r="A294" s="85" t="s">
        <v>46</v>
      </c>
      <c r="B294" s="154" t="n">
        <v>0</v>
      </c>
      <c r="C294" s="86" t="n">
        <f aca="false">1.373+6.5</f>
        <v>7.873</v>
      </c>
      <c r="D294" s="51" t="n">
        <f aca="false">C294*B294/100</f>
        <v>0</v>
      </c>
      <c r="E294" s="51" t="n">
        <f aca="false">B294*(($N$38-0.065)-0.00932)</f>
        <v>0</v>
      </c>
      <c r="F294" s="51" t="n">
        <f aca="false">E294+D294</f>
        <v>0</v>
      </c>
      <c r="G294" s="86" t="n">
        <f aca="false">C294+($N$38-0.065)*100</f>
        <v>17.723200929989</v>
      </c>
      <c r="H294" s="11"/>
    </row>
    <row r="295" customFormat="false" ht="12.75" hidden="false" customHeight="false" outlineLevel="0" collapsed="false">
      <c r="A295" s="85" t="s">
        <v>48</v>
      </c>
      <c r="B295" s="154" t="n">
        <v>0</v>
      </c>
      <c r="C295" s="86" t="n">
        <f aca="false">1.366+6.5</f>
        <v>7.866</v>
      </c>
      <c r="D295" s="51" t="n">
        <f aca="false">C295*B295/100</f>
        <v>0</v>
      </c>
      <c r="E295" s="51" t="n">
        <f aca="false">B295*(($N$38-0.065)-0.00926)</f>
        <v>0</v>
      </c>
      <c r="F295" s="51" t="n">
        <f aca="false">E295+D295</f>
        <v>0</v>
      </c>
      <c r="G295" s="86" t="n">
        <f aca="false">C295+($N$38-0.065)*100</f>
        <v>17.716200929989</v>
      </c>
      <c r="H295" s="11"/>
    </row>
    <row r="296" customFormat="false" ht="12.75" hidden="false" customHeight="false" outlineLevel="0" collapsed="false">
      <c r="A296" s="85"/>
      <c r="B296" s="154"/>
      <c r="C296" s="86"/>
      <c r="D296" s="51"/>
      <c r="E296" s="51"/>
      <c r="F296" s="51"/>
      <c r="G296" s="86"/>
      <c r="H296" s="11"/>
    </row>
    <row r="297" customFormat="false" ht="12.75" hidden="false" customHeight="false" outlineLevel="0" collapsed="false">
      <c r="A297" s="109" t="s">
        <v>61</v>
      </c>
      <c r="B297" s="154"/>
      <c r="C297" s="86"/>
      <c r="D297" s="51"/>
      <c r="E297" s="51"/>
      <c r="F297" s="51"/>
      <c r="G297" s="86"/>
      <c r="H297" s="11"/>
    </row>
    <row r="298" customFormat="false" ht="12.75" hidden="false" customHeight="false" outlineLevel="0" collapsed="false">
      <c r="A298" s="85" t="s">
        <v>32</v>
      </c>
      <c r="B298" s="154" t="n">
        <f aca="false">4.374089653248*0.808</f>
        <v>3.53426443982438</v>
      </c>
      <c r="C298" s="86" t="n">
        <f aca="false">1.22+6.5</f>
        <v>7.72</v>
      </c>
      <c r="D298" s="51" t="n">
        <f aca="false">C298*B298/100</f>
        <v>0.272845214754442</v>
      </c>
      <c r="E298" s="51" t="n">
        <f aca="false">B298*(($N$39-0.065)-0.00391)</f>
        <v>0.160955373567608</v>
      </c>
      <c r="F298" s="51" t="n">
        <f aca="false">E298+D298</f>
        <v>0.433800588322051</v>
      </c>
      <c r="G298" s="86" t="n">
        <f aca="false">F298/B298*100</f>
        <v>12.2741406509923</v>
      </c>
      <c r="H298" s="11"/>
    </row>
    <row r="299" customFormat="false" ht="12.75" hidden="false" customHeight="false" outlineLevel="0" collapsed="false">
      <c r="A299" s="85" t="s">
        <v>33</v>
      </c>
      <c r="B299" s="154" t="n">
        <f aca="false">6.227081902272*0.808</f>
        <v>5.03148217703578</v>
      </c>
      <c r="C299" s="86" t="n">
        <f aca="false">1.196+6.5</f>
        <v>7.696</v>
      </c>
      <c r="D299" s="51" t="n">
        <f aca="false">C299*B299/100</f>
        <v>0.387222868344673</v>
      </c>
      <c r="E299" s="51" t="n">
        <f aca="false">B299*(($N$39-0.065)-0.00382)</f>
        <v>0.229593608567753</v>
      </c>
      <c r="F299" s="51" t="n">
        <f aca="false">E299+D299</f>
        <v>0.616816476912427</v>
      </c>
      <c r="G299" s="86" t="n">
        <f aca="false">F299/B299*100</f>
        <v>12.2591406509923</v>
      </c>
      <c r="H299" s="11"/>
    </row>
    <row r="300" customFormat="false" ht="12.75" hidden="false" customHeight="false" outlineLevel="0" collapsed="false">
      <c r="A300" s="85" t="s">
        <v>46</v>
      </c>
      <c r="B300" s="154" t="n">
        <v>0</v>
      </c>
      <c r="C300" s="86" t="n">
        <f aca="false">0.813+6.5</f>
        <v>7.313</v>
      </c>
      <c r="D300" s="51" t="n">
        <f aca="false">C300*B300/100</f>
        <v>0</v>
      </c>
      <c r="E300" s="51" t="n">
        <f aca="false">B300*(($N$39-0.065)-0.00372)</f>
        <v>0</v>
      </c>
      <c r="F300" s="51" t="n">
        <f aca="false">E300+D300</f>
        <v>0</v>
      </c>
      <c r="G300" s="86" t="n">
        <f aca="false">C300+($N$39-0.065)*100</f>
        <v>12.2581406509923</v>
      </c>
      <c r="H300" s="11"/>
    </row>
    <row r="301" customFormat="false" ht="12.75" hidden="false" customHeight="false" outlineLevel="0" collapsed="false">
      <c r="A301" s="85" t="s">
        <v>48</v>
      </c>
      <c r="B301" s="154" t="n">
        <v>0</v>
      </c>
      <c r="C301" s="86" t="n">
        <f aca="false">0.809+6.5</f>
        <v>7.309</v>
      </c>
      <c r="D301" s="51" t="n">
        <f aca="false">C301*B301/100</f>
        <v>0</v>
      </c>
      <c r="E301" s="51" t="n">
        <f aca="false">B301*(($N$39-0.065)-0.00369)</f>
        <v>0</v>
      </c>
      <c r="F301" s="51" t="n">
        <f aca="false">E301+D301</f>
        <v>0</v>
      </c>
      <c r="G301" s="86" t="n">
        <f aca="false">C301+($N$39-0.065)*100</f>
        <v>12.2541406509923</v>
      </c>
      <c r="H301" s="11"/>
    </row>
    <row r="302" customFormat="false" ht="12.75" hidden="false" customHeight="false" outlineLevel="0" collapsed="false">
      <c r="A302" s="85"/>
      <c r="B302" s="154"/>
      <c r="C302" s="86"/>
      <c r="D302" s="51"/>
      <c r="E302" s="142"/>
      <c r="F302" s="51"/>
      <c r="G302" s="86"/>
      <c r="H302" s="11"/>
    </row>
    <row r="303" customFormat="false" ht="12.75" hidden="false" customHeight="false" outlineLevel="0" collapsed="false">
      <c r="A303" s="109" t="s">
        <v>62</v>
      </c>
      <c r="B303" s="154"/>
      <c r="C303" s="86"/>
      <c r="D303" s="51"/>
      <c r="E303" s="142"/>
      <c r="F303" s="51"/>
      <c r="G303" s="86"/>
      <c r="H303" s="11"/>
    </row>
    <row r="304" customFormat="false" ht="12.75" hidden="false" customHeight="false" outlineLevel="0" collapsed="false">
      <c r="A304" s="85" t="s">
        <v>32</v>
      </c>
      <c r="B304" s="154" t="n">
        <f aca="false">2.084666443776*0.808</f>
        <v>1.68441048657101</v>
      </c>
      <c r="C304" s="86" t="n">
        <f aca="false">1.035+6.5</f>
        <v>7.535</v>
      </c>
      <c r="D304" s="51" t="n">
        <f aca="false">C304*B304/100</f>
        <v>0.126920330163125</v>
      </c>
      <c r="E304" s="49" t="n">
        <f aca="false">(($N$40-0.065)-0.0031)*B304</f>
        <v>0.0229938953845972</v>
      </c>
      <c r="F304" s="51" t="n">
        <f aca="false">E304+D304</f>
        <v>0.149914225547723</v>
      </c>
      <c r="G304" s="86" t="n">
        <f aca="false">F304/B304*100</f>
        <v>8.90010046499452</v>
      </c>
      <c r="H304" s="11"/>
    </row>
    <row r="305" customFormat="false" ht="12.75" hidden="false" customHeight="false" outlineLevel="0" collapsed="false">
      <c r="A305" s="85" t="s">
        <v>33</v>
      </c>
      <c r="B305" s="154" t="n">
        <f aca="false">4.283765403456*0.808</f>
        <v>3.46128244599245</v>
      </c>
      <c r="C305" s="86" t="n">
        <f aca="false">1.022+6.5</f>
        <v>7.522</v>
      </c>
      <c r="D305" s="51" t="n">
        <f aca="false">C305*B305/100</f>
        <v>0.260357665587552</v>
      </c>
      <c r="E305" s="49" t="n">
        <f aca="false">(($N$40-0.065)-0.00305)*B305</f>
        <v>0.0474230468873161</v>
      </c>
      <c r="F305" s="51" t="n">
        <f aca="false">E305+D305</f>
        <v>0.307780712474868</v>
      </c>
      <c r="G305" s="86" t="n">
        <f aca="false">F305/B305*100</f>
        <v>8.89210046499452</v>
      </c>
      <c r="H305" s="11"/>
    </row>
    <row r="306" customFormat="false" ht="12.75" hidden="false" customHeight="false" outlineLevel="0" collapsed="false">
      <c r="A306" s="85" t="s">
        <v>46</v>
      </c>
      <c r="B306" s="154" t="n">
        <v>0</v>
      </c>
      <c r="C306" s="86" t="n">
        <f aca="false">0.741+6.5</f>
        <v>7.241</v>
      </c>
      <c r="D306" s="51" t="n">
        <f aca="false">C306*B306/100</f>
        <v>0</v>
      </c>
      <c r="E306" s="49" t="n">
        <f aca="false">(($N$40-0.065)-0.003)*B306</f>
        <v>0</v>
      </c>
      <c r="F306" s="51" t="n">
        <f aca="false">E306+D306</f>
        <v>0</v>
      </c>
      <c r="G306" s="86" t="n">
        <f aca="false">C306+($N$40-0.065)*100</f>
        <v>8.91610046499452</v>
      </c>
      <c r="H306" s="11"/>
    </row>
    <row r="307" customFormat="false" ht="12.75" hidden="false" customHeight="false" outlineLevel="0" collapsed="false">
      <c r="A307" s="85" t="s">
        <v>48</v>
      </c>
      <c r="B307" s="154" t="n">
        <v>0</v>
      </c>
      <c r="C307" s="86" t="n">
        <f aca="false">0.738+6.5</f>
        <v>7.238</v>
      </c>
      <c r="D307" s="51" t="n">
        <f aca="false">C307*B307/100</f>
        <v>0</v>
      </c>
      <c r="E307" s="49" t="n">
        <f aca="false">(($N$40-0.065)-0.00298)*B307</f>
        <v>0</v>
      </c>
      <c r="F307" s="51" t="n">
        <f aca="false">E307+D307</f>
        <v>0</v>
      </c>
      <c r="G307" s="86" t="n">
        <f aca="false">C307+($N$40-0.065)*100</f>
        <v>8.91310046499452</v>
      </c>
      <c r="H307" s="11"/>
    </row>
    <row r="308" customFormat="false" ht="12.75" hidden="false" customHeight="false" outlineLevel="0" collapsed="false">
      <c r="A308" s="132"/>
      <c r="B308" s="155"/>
      <c r="C308" s="86"/>
      <c r="D308" s="51"/>
      <c r="E308" s="142"/>
      <c r="F308" s="51"/>
      <c r="G308" s="86"/>
    </row>
    <row r="309" customFormat="false" ht="13.5" hidden="false" customHeight="false" outlineLevel="0" collapsed="false">
      <c r="A309" s="138" t="s">
        <v>84</v>
      </c>
      <c r="B309" s="139" t="n">
        <f aca="false">SUM(B268:B307)</f>
        <v>26.807016</v>
      </c>
      <c r="C309" s="140" t="n">
        <f aca="false">D309/B309*100</f>
        <v>12.1742441267422</v>
      </c>
      <c r="D309" s="141" t="n">
        <f aca="false">SUM(D255:D307)</f>
        <v>3.26355157093484</v>
      </c>
      <c r="E309" s="141" t="n">
        <f aca="false">SUM(E255:E307)</f>
        <v>1.07074953720577</v>
      </c>
      <c r="F309" s="141" t="n">
        <f aca="false">SUM(F255:F307)</f>
        <v>4.33430110814061</v>
      </c>
      <c r="G309" s="140" t="n">
        <f aca="false">F309/B309*100</f>
        <v>16.1685325518536</v>
      </c>
      <c r="H309" s="65" t="n">
        <f aca="false">(G309-C309)/C309</f>
        <v>0.328093340623709</v>
      </c>
    </row>
    <row r="310" customFormat="false" ht="13.5" hidden="false" customHeight="false" outlineLevel="0" collapsed="false">
      <c r="A310" s="109"/>
      <c r="B310" s="150"/>
      <c r="C310" s="150"/>
      <c r="D310" s="156"/>
      <c r="E310" s="136"/>
      <c r="F310" s="11"/>
      <c r="G310" s="11"/>
      <c r="H310" s="11"/>
    </row>
    <row r="311" customFormat="false" ht="12.75" hidden="false" customHeight="false" outlineLevel="0" collapsed="false">
      <c r="A311" s="109"/>
      <c r="B311" s="150"/>
      <c r="C311" s="150"/>
      <c r="E311" s="134"/>
      <c r="F311" s="11"/>
      <c r="G311" s="11"/>
      <c r="H311" s="11"/>
    </row>
    <row r="312" customFormat="false" ht="12.75" hidden="false" customHeight="false" outlineLevel="0" collapsed="false">
      <c r="A312" s="109"/>
      <c r="B312" s="150"/>
      <c r="C312" s="150"/>
      <c r="D312" s="156"/>
      <c r="E312" s="136"/>
      <c r="F312" s="11"/>
      <c r="G312" s="11"/>
      <c r="H312" s="11"/>
    </row>
    <row r="313" customFormat="false" ht="12.75" hidden="false" customHeight="false" outlineLevel="0" collapsed="false">
      <c r="A313" s="2"/>
      <c r="E313" s="152"/>
      <c r="H313" s="2" t="s">
        <v>85</v>
      </c>
    </row>
    <row r="314" customFormat="false" ht="20.25" hidden="false" customHeight="false" outlineLevel="0" collapsed="false">
      <c r="A314" s="3" t="s">
        <v>1</v>
      </c>
      <c r="B314" s="3"/>
      <c r="C314" s="3"/>
      <c r="D314" s="3"/>
      <c r="E314" s="3"/>
      <c r="F314" s="3"/>
      <c r="G314" s="3"/>
      <c r="H314" s="3"/>
    </row>
    <row r="315" customFormat="false" ht="20.25" hidden="false" customHeight="false" outlineLevel="0" collapsed="false">
      <c r="A315" s="3" t="s">
        <v>2</v>
      </c>
      <c r="B315" s="3"/>
      <c r="C315" s="3"/>
      <c r="D315" s="3"/>
      <c r="E315" s="3"/>
      <c r="F315" s="3"/>
      <c r="G315" s="3"/>
      <c r="H315" s="3"/>
    </row>
    <row r="316" customFormat="false" ht="20.25" hidden="false" customHeight="false" outlineLevel="0" collapsed="false">
      <c r="A316" s="3" t="s">
        <v>3</v>
      </c>
      <c r="B316" s="3"/>
      <c r="C316" s="3"/>
      <c r="D316" s="3"/>
      <c r="E316" s="3"/>
      <c r="F316" s="3"/>
      <c r="G316" s="3"/>
      <c r="H316" s="3"/>
    </row>
    <row r="317" customFormat="false" ht="13.5" hidden="false" customHeight="false" outlineLevel="0" collapsed="false">
      <c r="A317" s="2"/>
      <c r="E317" s="152"/>
    </row>
    <row r="318" customFormat="false" ht="64.5" hidden="false" customHeight="false" outlineLevel="0" collapsed="false">
      <c r="A318" s="37" t="s">
        <v>17</v>
      </c>
      <c r="B318" s="39" t="s">
        <v>18</v>
      </c>
      <c r="C318" s="39" t="s">
        <v>19</v>
      </c>
      <c r="D318" s="39" t="s">
        <v>20</v>
      </c>
      <c r="E318" s="39" t="s">
        <v>21</v>
      </c>
      <c r="F318" s="39" t="s">
        <v>22</v>
      </c>
      <c r="G318" s="39" t="s">
        <v>23</v>
      </c>
      <c r="H318" s="39" t="s">
        <v>24</v>
      </c>
    </row>
    <row r="319" customFormat="false" ht="12.75" hidden="false" customHeight="false" outlineLevel="0" collapsed="false">
      <c r="A319" s="109"/>
      <c r="B319" s="150"/>
      <c r="C319" s="150"/>
      <c r="D319" s="156"/>
      <c r="E319" s="136"/>
      <c r="F319" s="11"/>
      <c r="G319" s="11"/>
      <c r="H319" s="11"/>
    </row>
    <row r="320" customFormat="false" ht="12.75" hidden="false" customHeight="false" outlineLevel="0" collapsed="false">
      <c r="A320" s="130" t="s">
        <v>86</v>
      </c>
      <c r="D320" s="51"/>
      <c r="E320" s="152"/>
    </row>
    <row r="321" customFormat="false" ht="12.75" hidden="false" customHeight="false" outlineLevel="0" collapsed="false">
      <c r="A321" s="130"/>
      <c r="E321" s="152"/>
    </row>
    <row r="322" customFormat="false" ht="12.75" hidden="false" customHeight="false" outlineLevel="0" collapsed="false">
      <c r="A322" s="75" t="s">
        <v>27</v>
      </c>
      <c r="E322" s="152"/>
    </row>
    <row r="323" customFormat="false" ht="12.75" hidden="false" customHeight="false" outlineLevel="0" collapsed="false">
      <c r="A323" s="83" t="s">
        <v>28</v>
      </c>
      <c r="E323" s="152"/>
    </row>
    <row r="324" customFormat="false" ht="12.75" hidden="false" customHeight="false" outlineLevel="0" collapsed="false">
      <c r="A324" s="85" t="s">
        <v>33</v>
      </c>
      <c r="B324" s="155"/>
      <c r="C324" s="154" t="n">
        <f aca="false">D324/(B335+B340+B345+B350+B355+B360)*100</f>
        <v>0.0857989361239286</v>
      </c>
      <c r="D324" s="51" t="n">
        <v>0.00412994011410566</v>
      </c>
      <c r="E324" s="142" t="n">
        <f aca="false">F324-D324</f>
        <v>0</v>
      </c>
      <c r="F324" s="51" t="n">
        <v>0.00412994011410566</v>
      </c>
      <c r="G324" s="154" t="n">
        <f aca="false">F324/(B335+B340+B345+B350+B355+B360)*100</f>
        <v>0.0857989361239286</v>
      </c>
    </row>
    <row r="325" customFormat="false" ht="12.75" hidden="false" customHeight="false" outlineLevel="0" collapsed="false">
      <c r="A325" s="85" t="s">
        <v>46</v>
      </c>
      <c r="B325" s="155"/>
      <c r="C325" s="154" t="n">
        <f aca="false">D325/(B336+B341+B346+B351+B356+B361)*100</f>
        <v>0.877393371428572</v>
      </c>
      <c r="D325" s="51" t="n">
        <v>0.46350094728192</v>
      </c>
      <c r="E325" s="142" t="n">
        <f aca="false">F325-D325</f>
        <v>0</v>
      </c>
      <c r="F325" s="51" t="n">
        <v>0.46350094728192</v>
      </c>
      <c r="G325" s="154" t="n">
        <f aca="false">F325/(B336+B341+B346+B351+B356+B361)*100</f>
        <v>0.877393371428572</v>
      </c>
    </row>
    <row r="326" customFormat="false" ht="12.75" hidden="false" customHeight="false" outlineLevel="0" collapsed="false">
      <c r="A326" s="85" t="s">
        <v>48</v>
      </c>
      <c r="B326" s="155"/>
      <c r="C326" s="154" t="n">
        <f aca="false">D326/(B337+B342+B347+B352+B357+B362)*100</f>
        <v>0.00804157809910565</v>
      </c>
      <c r="D326" s="51" t="n">
        <v>0.0352204206261166</v>
      </c>
      <c r="E326" s="142" t="n">
        <f aca="false">F326-D326</f>
        <v>0</v>
      </c>
      <c r="F326" s="51" t="n">
        <v>0.0352204206261166</v>
      </c>
      <c r="G326" s="154" t="n">
        <f aca="false">F326/(B337+B342+B347+B352+B357+B362)*100</f>
        <v>0.00804157809910565</v>
      </c>
    </row>
    <row r="327" customFormat="false" ht="12.75" hidden="false" customHeight="false" outlineLevel="0" collapsed="false">
      <c r="A327" s="85"/>
      <c r="B327" s="155"/>
      <c r="C327" s="155"/>
      <c r="D327" s="51"/>
      <c r="E327" s="142"/>
      <c r="F327" s="51"/>
      <c r="G327" s="155"/>
    </row>
    <row r="328" customFormat="false" ht="12.75" hidden="false" customHeight="false" outlineLevel="0" collapsed="false">
      <c r="A328" s="78" t="s">
        <v>50</v>
      </c>
      <c r="B328" s="155"/>
      <c r="C328" s="155"/>
      <c r="D328" s="51"/>
      <c r="E328" s="142"/>
      <c r="F328" s="51"/>
      <c r="G328" s="155"/>
    </row>
    <row r="329" customFormat="false" ht="12.75" hidden="false" customHeight="false" outlineLevel="0" collapsed="false">
      <c r="A329" s="85" t="s">
        <v>33</v>
      </c>
      <c r="B329" s="155"/>
      <c r="C329" s="154" t="n">
        <f aca="false">D329/(B335+B340+B345+B350+B355+B360)*100</f>
        <v>3.3729628</v>
      </c>
      <c r="D329" s="51" t="n">
        <v>0.162357891605851</v>
      </c>
      <c r="E329" s="142" t="n">
        <f aca="false">F329-D329</f>
        <v>-0.0138692232650368</v>
      </c>
      <c r="F329" s="51" t="n">
        <v>0.148488668340815</v>
      </c>
      <c r="G329" s="154" t="n">
        <f aca="false">F329/(B335+B340+B345+B350+B355+B360)*100</f>
        <v>3.0848316</v>
      </c>
    </row>
    <row r="330" customFormat="false" ht="12.75" hidden="false" customHeight="false" outlineLevel="0" collapsed="false">
      <c r="A330" s="85" t="s">
        <v>46</v>
      </c>
      <c r="B330" s="155"/>
      <c r="C330" s="154" t="n">
        <f aca="false">D330/(B336+B341+B346+B351+B356+B361)*100</f>
        <v>0.7534523992</v>
      </c>
      <c r="D330" s="51" t="n">
        <v>0.398026600306344</v>
      </c>
      <c r="E330" s="142" t="n">
        <f aca="false">F330-D330</f>
        <v>-0.06516173122368</v>
      </c>
      <c r="F330" s="51" t="n">
        <v>0.332864869082664</v>
      </c>
      <c r="G330" s="154" t="n">
        <f aca="false">F330/(B336+B341+B346+B351+B356+B361)*100</f>
        <v>0.6301031992</v>
      </c>
    </row>
    <row r="331" customFormat="false" ht="12.75" hidden="false" customHeight="false" outlineLevel="0" collapsed="false">
      <c r="A331" s="85" t="s">
        <v>48</v>
      </c>
      <c r="B331" s="155"/>
      <c r="C331" s="154" t="n">
        <f aca="false">D331/(B337+B342+B347+B352+B357+B362)*100</f>
        <v>0.6437068</v>
      </c>
      <c r="D331" s="51" t="n">
        <v>2.81930038811821</v>
      </c>
      <c r="E331" s="142" t="n">
        <f aca="false">F331-D331</f>
        <v>-0.500051097226856</v>
      </c>
      <c r="F331" s="51" t="n">
        <v>2.31924929089136</v>
      </c>
      <c r="G331" s="154" t="n">
        <f aca="false">F331/(B337+B342+B347+B352+B357+B362)*100</f>
        <v>0.5295344</v>
      </c>
    </row>
    <row r="332" customFormat="false" ht="12.75" hidden="false" customHeight="false" outlineLevel="0" collapsed="false">
      <c r="A332" s="75"/>
      <c r="B332" s="155"/>
      <c r="C332" s="155"/>
      <c r="D332" s="51"/>
      <c r="E332" s="142"/>
      <c r="F332" s="51"/>
      <c r="G332" s="155"/>
    </row>
    <row r="333" customFormat="false" ht="12.75" hidden="false" customHeight="false" outlineLevel="0" collapsed="false">
      <c r="A333" s="4" t="s">
        <v>31</v>
      </c>
      <c r="B333" s="155"/>
      <c r="C333" s="155"/>
      <c r="D333" s="51"/>
      <c r="E333" s="142"/>
      <c r="F333" s="51"/>
      <c r="G333" s="155"/>
    </row>
    <row r="334" customFormat="false" ht="12.75" hidden="false" customHeight="false" outlineLevel="0" collapsed="false">
      <c r="A334" s="78" t="s">
        <v>55</v>
      </c>
      <c r="B334" s="155"/>
      <c r="C334" s="155"/>
      <c r="D334" s="51"/>
      <c r="E334" s="142"/>
      <c r="F334" s="51"/>
      <c r="G334" s="155"/>
    </row>
    <row r="335" customFormat="false" ht="12.75" hidden="false" customHeight="false" outlineLevel="0" collapsed="false">
      <c r="A335" s="85" t="s">
        <v>33</v>
      </c>
      <c r="B335" s="56" t="n">
        <f aca="false">0.573260410341037*0.808</f>
        <v>0.463194411555558</v>
      </c>
      <c r="C335" s="86" t="n">
        <f aca="false">1.376+6.5</f>
        <v>7.876</v>
      </c>
      <c r="D335" s="51" t="n">
        <f aca="false">C335*B335/100</f>
        <v>0.0364811918541157</v>
      </c>
      <c r="E335" s="51" t="n">
        <f aca="false">B335*(($N$38-0.065)-0.00609)</f>
        <v>0.0428047262683295</v>
      </c>
      <c r="F335" s="51" t="n">
        <f aca="false">D335+E335</f>
        <v>0.0792859181224452</v>
      </c>
      <c r="G335" s="86" t="n">
        <f aca="false">F335/B335*100</f>
        <v>17.117200929989</v>
      </c>
    </row>
    <row r="336" customFormat="false" ht="12.75" hidden="false" customHeight="false" outlineLevel="0" collapsed="false">
      <c r="A336" s="85" t="s">
        <v>46</v>
      </c>
      <c r="B336" s="56" t="n">
        <f aca="false">6.29138664*0.808</f>
        <v>5.08344040512</v>
      </c>
      <c r="C336" s="86" t="n">
        <f aca="false">0.9+6.5</f>
        <v>7.4</v>
      </c>
      <c r="D336" s="51" t="n">
        <f aca="false">C336*B336/100</f>
        <v>0.37617458997888</v>
      </c>
      <c r="E336" s="51" t="n">
        <f aca="false">B336*(($N$38-0.065)-0.00589)</f>
        <v>0.470787630074412</v>
      </c>
      <c r="F336" s="51" t="n">
        <f aca="false">D336+E336</f>
        <v>0.846962220053292</v>
      </c>
      <c r="G336" s="86" t="n">
        <f aca="false">F336/B336*100</f>
        <v>16.661200929989</v>
      </c>
    </row>
    <row r="337" customFormat="false" ht="12.75" hidden="false" customHeight="false" outlineLevel="0" collapsed="false">
      <c r="A337" s="85" t="s">
        <v>48</v>
      </c>
      <c r="B337" s="56" t="n">
        <f aca="false">52.0891420021453*0.808</f>
        <v>42.0880267377334</v>
      </c>
      <c r="C337" s="86" t="n">
        <f aca="false">0.896+6.5</f>
        <v>7.396</v>
      </c>
      <c r="D337" s="51" t="n">
        <f aca="false">C337*B337/100</f>
        <v>3.11283045752276</v>
      </c>
      <c r="E337" s="51" t="n">
        <f aca="false">B337*(($N$38-0.065)-0.00585)</f>
        <v>3.89954024471851</v>
      </c>
      <c r="F337" s="51" t="n">
        <f aca="false">D337+E337</f>
        <v>7.01237070224127</v>
      </c>
      <c r="G337" s="86" t="n">
        <f aca="false">F337/B337*100</f>
        <v>16.661200929989</v>
      </c>
    </row>
    <row r="338" customFormat="false" ht="12.75" hidden="false" customHeight="false" outlineLevel="0" collapsed="false">
      <c r="A338" s="85"/>
      <c r="B338" s="56"/>
      <c r="C338" s="86"/>
      <c r="D338" s="51"/>
      <c r="E338" s="142"/>
      <c r="F338" s="51"/>
      <c r="G338" s="86"/>
    </row>
    <row r="339" customFormat="false" ht="12.75" hidden="false" customHeight="false" outlineLevel="0" collapsed="false">
      <c r="A339" s="109" t="s">
        <v>56</v>
      </c>
      <c r="B339" s="56"/>
      <c r="C339" s="86"/>
      <c r="D339" s="51"/>
      <c r="E339" s="142"/>
      <c r="F339" s="51"/>
      <c r="G339" s="86"/>
    </row>
    <row r="340" customFormat="false" ht="12.75" hidden="false" customHeight="false" outlineLevel="0" collapsed="false">
      <c r="A340" s="85" t="s">
        <v>33</v>
      </c>
      <c r="B340" s="56" t="n">
        <f aca="false">0.760939630187485*0.808</f>
        <v>0.614839221191488</v>
      </c>
      <c r="C340" s="86" t="n">
        <f aca="false">1.127+6.5</f>
        <v>7.627</v>
      </c>
      <c r="D340" s="51" t="n">
        <f aca="false">C340*B340/100</f>
        <v>0.0468937874002748</v>
      </c>
      <c r="E340" s="51" t="n">
        <f aca="false">B340*(($N$39-0.065)-0.0036)</f>
        <v>0.0281912430690955</v>
      </c>
      <c r="F340" s="51" t="n">
        <f aca="false">D340+E340</f>
        <v>0.0750850304693703</v>
      </c>
      <c r="G340" s="86" t="n">
        <f aca="false">F340/B340*100</f>
        <v>12.2121406509923</v>
      </c>
    </row>
    <row r="341" customFormat="false" ht="12.75" hidden="false" customHeight="false" outlineLevel="0" collapsed="false">
      <c r="A341" s="85" t="s">
        <v>46</v>
      </c>
      <c r="B341" s="56" t="n">
        <f aca="false">8.35111816*0.808</f>
        <v>6.74770347328</v>
      </c>
      <c r="C341" s="86" t="n">
        <f aca="false">0.66+6.5</f>
        <v>7.16</v>
      </c>
      <c r="D341" s="51" t="n">
        <f aca="false">C341*B341/100</f>
        <v>0.483135568686848</v>
      </c>
      <c r="E341" s="51" t="n">
        <f aca="false">B341*(($N$39-0.065)-0.00349)</f>
        <v>0.310133942343843</v>
      </c>
      <c r="F341" s="51" t="n">
        <f aca="false">D341+E341</f>
        <v>0.793269511030691</v>
      </c>
      <c r="G341" s="86" t="n">
        <f aca="false">F341/B341*100</f>
        <v>11.7561406509923</v>
      </c>
    </row>
    <row r="342" customFormat="false" ht="12.75" hidden="false" customHeight="false" outlineLevel="0" collapsed="false">
      <c r="A342" s="85" t="s">
        <v>48</v>
      </c>
      <c r="B342" s="56" t="n">
        <f aca="false">65.9938900732307*0.808</f>
        <v>53.3230631791704</v>
      </c>
      <c r="C342" s="86" t="n">
        <f aca="false">0.658+6.5</f>
        <v>7.158</v>
      </c>
      <c r="D342" s="51" t="n">
        <f aca="false">C342*B342/100</f>
        <v>3.81686486236502</v>
      </c>
      <c r="E342" s="51" t="n">
        <f aca="false">B342*(($N$39-0.065)-0.00347)</f>
        <v>2.45186944439575</v>
      </c>
      <c r="F342" s="51" t="n">
        <f aca="false">D342+E342</f>
        <v>6.26873430676077</v>
      </c>
      <c r="G342" s="86" t="n">
        <f aca="false">F342/B342*100</f>
        <v>11.7561406509923</v>
      </c>
    </row>
    <row r="343" customFormat="false" ht="12.75" hidden="false" customHeight="false" outlineLevel="0" collapsed="false">
      <c r="A343" s="85"/>
      <c r="B343" s="56"/>
      <c r="C343" s="86"/>
      <c r="D343" s="51"/>
      <c r="E343" s="142"/>
      <c r="F343" s="51"/>
      <c r="G343" s="86"/>
    </row>
    <row r="344" customFormat="false" ht="12.75" hidden="false" customHeight="false" outlineLevel="0" collapsed="false">
      <c r="A344" s="109" t="s">
        <v>59</v>
      </c>
      <c r="B344" s="56"/>
      <c r="C344" s="86"/>
      <c r="D344" s="51"/>
      <c r="E344" s="142"/>
      <c r="F344" s="51"/>
      <c r="G344" s="86"/>
    </row>
    <row r="345" customFormat="false" ht="12.75" hidden="false" customHeight="false" outlineLevel="0" collapsed="false">
      <c r="A345" s="85" t="s">
        <v>33</v>
      </c>
      <c r="B345" s="56" t="n">
        <f aca="false">1.28701811375148*0.808</f>
        <v>1.0399106359112</v>
      </c>
      <c r="C345" s="86" t="n">
        <f aca="false">0.87+6.5</f>
        <v>7.37</v>
      </c>
      <c r="D345" s="51" t="n">
        <f aca="false">C345*B345/100</f>
        <v>0.0766414138666551</v>
      </c>
      <c r="E345" s="51" t="n">
        <f aca="false">B345*(($N$40-0.065)-0.00285)</f>
        <v>0.014455802585329</v>
      </c>
      <c r="F345" s="51" t="n">
        <f aca="false">D345+E345</f>
        <v>0.0910972164519841</v>
      </c>
      <c r="G345" s="86" t="n">
        <f aca="false">F345/B345*100</f>
        <v>8.76010046499452</v>
      </c>
    </row>
    <row r="346" customFormat="false" ht="12.75" hidden="false" customHeight="false" outlineLevel="0" collapsed="false">
      <c r="A346" s="85" t="s">
        <v>46</v>
      </c>
      <c r="B346" s="56" t="n">
        <f aca="false">14.1246952*0.808</f>
        <v>11.4127537216</v>
      </c>
      <c r="C346" s="86" t="n">
        <f aca="false">0.59+6.5</f>
        <v>7.09</v>
      </c>
      <c r="D346" s="51" t="n">
        <f aca="false">C346*B346/100</f>
        <v>0.80916423886144</v>
      </c>
      <c r="E346" s="51" t="n">
        <f aca="false">B346*(($N$40-0.065)-0.00279)</f>
        <v>0.159333507775937</v>
      </c>
      <c r="F346" s="51" t="n">
        <f aca="false">D346+E346</f>
        <v>0.968497746637377</v>
      </c>
      <c r="G346" s="86" t="n">
        <f aca="false">F346/B346*100</f>
        <v>8.48610046499452</v>
      </c>
    </row>
    <row r="347" customFormat="false" ht="12.75" hidden="false" customHeight="false" outlineLevel="0" collapsed="false">
      <c r="A347" s="85" t="s">
        <v>48</v>
      </c>
      <c r="B347" s="56" t="n">
        <f aca="false">120.420365370344*0.808</f>
        <v>97.299655219238</v>
      </c>
      <c r="C347" s="86" t="n">
        <f aca="false">0.589+6.5</f>
        <v>7.089</v>
      </c>
      <c r="D347" s="51" t="n">
        <f aca="false">C347*B347/100</f>
        <v>6.89757255849178</v>
      </c>
      <c r="E347" s="51" t="n">
        <f aca="false">B347*(($N$40-0.065)-0.00278)</f>
        <v>1.35937393550604</v>
      </c>
      <c r="F347" s="51" t="n">
        <f aca="false">D347+E347</f>
        <v>8.25694649399781</v>
      </c>
      <c r="G347" s="86" t="n">
        <f aca="false">F347/B347*100</f>
        <v>8.48610046499452</v>
      </c>
    </row>
    <row r="348" customFormat="false" ht="12.75" hidden="false" customHeight="false" outlineLevel="0" collapsed="false">
      <c r="A348" s="85"/>
      <c r="B348" s="56"/>
      <c r="C348" s="86"/>
      <c r="D348" s="51"/>
      <c r="E348" s="142"/>
      <c r="F348" s="51"/>
      <c r="G348" s="86"/>
    </row>
    <row r="349" customFormat="false" ht="12.75" hidden="false" customHeight="false" outlineLevel="0" collapsed="false">
      <c r="A349" s="109" t="s">
        <v>60</v>
      </c>
      <c r="B349" s="56"/>
      <c r="C349" s="86"/>
      <c r="D349" s="51"/>
      <c r="E349" s="142"/>
      <c r="F349" s="51"/>
      <c r="G349" s="86"/>
    </row>
    <row r="350" customFormat="false" ht="12.75" hidden="false" customHeight="false" outlineLevel="0" collapsed="false">
      <c r="A350" s="85" t="s">
        <v>33</v>
      </c>
      <c r="B350" s="56" t="n">
        <f aca="false">0.258881036619072*0.808</f>
        <v>0.20917587758821</v>
      </c>
      <c r="C350" s="86" t="n">
        <f aca="false">1.194+6.5</f>
        <v>7.694</v>
      </c>
      <c r="D350" s="51" t="n">
        <f aca="false">C350*B350/100</f>
        <v>0.0160939920216369</v>
      </c>
      <c r="E350" s="51" t="n">
        <f aca="false">B350*(($N$38-0.065)-0.0051)</f>
        <v>0.0195374472638067</v>
      </c>
      <c r="F350" s="51" t="n">
        <f aca="false">D350+E350</f>
        <v>0.0356314392854436</v>
      </c>
      <c r="G350" s="86" t="n">
        <f aca="false">F350/B350*100</f>
        <v>17.034200929989</v>
      </c>
    </row>
    <row r="351" customFormat="false" ht="12.75" hidden="false" customHeight="false" outlineLevel="0" collapsed="false">
      <c r="A351" s="85" t="s">
        <v>46</v>
      </c>
      <c r="B351" s="56" t="n">
        <f aca="false">2.84115328*0.808</f>
        <v>2.29565185024</v>
      </c>
      <c r="C351" s="86" t="n">
        <f aca="false">0.804+6.5</f>
        <v>7.304</v>
      </c>
      <c r="D351" s="51" t="n">
        <f aca="false">C351*B351/100</f>
        <v>0.16767441114153</v>
      </c>
      <c r="E351" s="51" t="n">
        <f aca="false">B351*(($N$38-0.065)-0.00493)</f>
        <v>0.214808756279968</v>
      </c>
      <c r="F351" s="51" t="n">
        <f aca="false">D351+E351</f>
        <v>0.382483167421497</v>
      </c>
      <c r="G351" s="86" t="n">
        <f aca="false">F351/B351*100</f>
        <v>16.661200929989</v>
      </c>
    </row>
    <row r="352" customFormat="false" ht="12.75" hidden="false" customHeight="false" outlineLevel="0" collapsed="false">
      <c r="A352" s="85" t="s">
        <v>48</v>
      </c>
      <c r="B352" s="56" t="n">
        <f aca="false">25.4374714439381*0.808</f>
        <v>20.553476926702</v>
      </c>
      <c r="C352" s="86" t="n">
        <f aca="false">0.801+6.5</f>
        <v>7.301</v>
      </c>
      <c r="D352" s="51" t="n">
        <f aca="false">C352*B352/100</f>
        <v>1.50060935041851</v>
      </c>
      <c r="E352" s="51" t="n">
        <f aca="false">B352*(($N$38-0.065)-0.0049)</f>
        <v>1.92384673843824</v>
      </c>
      <c r="F352" s="51" t="n">
        <f aca="false">D352+E352</f>
        <v>3.42445608885675</v>
      </c>
      <c r="G352" s="86" t="n">
        <f aca="false">F352/B352*100</f>
        <v>16.661200929989</v>
      </c>
    </row>
    <row r="353" customFormat="false" ht="12.75" hidden="false" customHeight="false" outlineLevel="0" collapsed="false">
      <c r="A353" s="85"/>
      <c r="B353" s="56"/>
      <c r="C353" s="86"/>
      <c r="D353" s="51"/>
      <c r="E353" s="142"/>
      <c r="F353" s="51"/>
      <c r="G353" s="86"/>
    </row>
    <row r="354" customFormat="false" ht="12.75" hidden="false" customHeight="false" outlineLevel="0" collapsed="false">
      <c r="A354" s="109" t="s">
        <v>61</v>
      </c>
      <c r="B354" s="56"/>
      <c r="C354" s="86"/>
      <c r="D354" s="51"/>
      <c r="E354" s="142"/>
      <c r="F354" s="51"/>
      <c r="G354" s="86"/>
    </row>
    <row r="355" customFormat="false" ht="12.75" hidden="false" customHeight="false" outlineLevel="0" collapsed="false">
      <c r="A355" s="85" t="s">
        <v>33</v>
      </c>
      <c r="B355" s="56" t="n">
        <f aca="false">1.48289459764404*0.808</f>
        <v>1.19817883489638</v>
      </c>
      <c r="C355" s="86" t="n">
        <f aca="false">1.045+6.5</f>
        <v>7.545</v>
      </c>
      <c r="D355" s="51" t="n">
        <f aca="false">C355*B355/100</f>
        <v>0.0904025930929322</v>
      </c>
      <c r="E355" s="51" t="n">
        <f aca="false">B355*(($N$39-0.065)-0.00361)</f>
        <v>0.0549262030420713</v>
      </c>
      <c r="F355" s="51" t="n">
        <f aca="false">D355+E355</f>
        <v>0.145328796135004</v>
      </c>
      <c r="G355" s="86" t="n">
        <f aca="false">F355/B355*100</f>
        <v>12.1291406509923</v>
      </c>
    </row>
    <row r="356" customFormat="false" ht="12.75" hidden="false" customHeight="false" outlineLevel="0" collapsed="false">
      <c r="A356" s="85" t="s">
        <v>46</v>
      </c>
      <c r="B356" s="56" t="n">
        <f aca="false">16.2743896*0.808</f>
        <v>13.1497067968</v>
      </c>
      <c r="C356" s="86" t="n">
        <f aca="false">0.662+6.5</f>
        <v>7.162</v>
      </c>
      <c r="D356" s="51" t="n">
        <f aca="false">C356*B356/100</f>
        <v>0.941782000786816</v>
      </c>
      <c r="E356" s="51" t="n">
        <f aca="false">B356*(($N$39-0.065)-0.00351)</f>
        <v>0.604116025438089</v>
      </c>
      <c r="F356" s="51" t="n">
        <f aca="false">D356+E356</f>
        <v>1.54589802622491</v>
      </c>
      <c r="G356" s="86" t="n">
        <f aca="false">F356/B356*100</f>
        <v>11.7561406509923</v>
      </c>
    </row>
    <row r="357" customFormat="false" ht="12.75" hidden="false" customHeight="false" outlineLevel="0" collapsed="false">
      <c r="A357" s="85" t="s">
        <v>48</v>
      </c>
      <c r="B357" s="56" t="n">
        <f aca="false">120.994941736918*0.808</f>
        <v>97.7639129234297</v>
      </c>
      <c r="C357" s="86" t="n">
        <f aca="false">0.66+6.5</f>
        <v>7.16</v>
      </c>
      <c r="D357" s="51" t="n">
        <f aca="false">C357*B357/100</f>
        <v>6.99989616531757</v>
      </c>
      <c r="E357" s="51" t="n">
        <f aca="false">B357*(($N$39-0.065)-0.00349)</f>
        <v>4.49336694387449</v>
      </c>
      <c r="F357" s="51" t="n">
        <f aca="false">D357+E357</f>
        <v>11.4932631091921</v>
      </c>
      <c r="G357" s="86" t="n">
        <f aca="false">F357/B357*100</f>
        <v>11.7561406509923</v>
      </c>
    </row>
    <row r="358" customFormat="false" ht="12.75" hidden="false" customHeight="false" outlineLevel="0" collapsed="false">
      <c r="A358" s="85"/>
      <c r="B358" s="56"/>
      <c r="C358" s="86"/>
      <c r="D358" s="51"/>
      <c r="E358" s="142"/>
      <c r="F358" s="51"/>
      <c r="G358" s="86"/>
    </row>
    <row r="359" customFormat="false" ht="12.75" hidden="false" customHeight="false" outlineLevel="0" collapsed="false">
      <c r="A359" s="109" t="s">
        <v>62</v>
      </c>
      <c r="B359" s="56"/>
      <c r="C359" s="86"/>
      <c r="D359" s="51"/>
      <c r="E359" s="142"/>
      <c r="F359" s="51"/>
      <c r="G359" s="86"/>
    </row>
    <row r="360" customFormat="false" ht="12.75" hidden="false" customHeight="false" outlineLevel="0" collapsed="false">
      <c r="A360" s="85" t="s">
        <v>33</v>
      </c>
      <c r="B360" s="56" t="n">
        <f aca="false">1.59432019845689*0.808</f>
        <v>1.28821072035317</v>
      </c>
      <c r="C360" s="86" t="n">
        <f aca="false">0.875+6.5</f>
        <v>7.375</v>
      </c>
      <c r="D360" s="51" t="n">
        <f aca="false">C360*B360/100</f>
        <v>0.0950055406260461</v>
      </c>
      <c r="E360" s="51" t="n">
        <f aca="false">B360*(($N$40-0.065)-0.00288)</f>
        <v>0.017868776892128</v>
      </c>
      <c r="F360" s="51" t="n">
        <f aca="false">D360+E360</f>
        <v>0.112874317518174</v>
      </c>
      <c r="G360" s="86" t="n">
        <f aca="false">F360/B360*100</f>
        <v>8.76210046499452</v>
      </c>
    </row>
    <row r="361" customFormat="false" ht="12.75" hidden="false" customHeight="false" outlineLevel="0" collapsed="false">
      <c r="A361" s="85" t="s">
        <v>46</v>
      </c>
      <c r="B361" s="56" t="n">
        <f aca="false">17.49725712*0.808</f>
        <v>14.13778375296</v>
      </c>
      <c r="C361" s="86" t="n">
        <f aca="false">0.593+6.5</f>
        <v>7.093</v>
      </c>
      <c r="D361" s="51" t="n">
        <f aca="false">C361*B361/100</f>
        <v>1.00279300159745</v>
      </c>
      <c r="E361" s="51" t="n">
        <f aca="false">B361*(($N$40-0.065)-0.00282)</f>
        <v>0.196953531202405</v>
      </c>
      <c r="F361" s="51" t="n">
        <f aca="false">D361+E361</f>
        <v>1.19974653279986</v>
      </c>
      <c r="G361" s="86" t="n">
        <f aca="false">F361/B361*100</f>
        <v>8.48610046499452</v>
      </c>
    </row>
    <row r="362" customFormat="false" ht="12.75" hidden="false" customHeight="false" outlineLevel="0" collapsed="false">
      <c r="A362" s="85" t="s">
        <v>48</v>
      </c>
      <c r="B362" s="56" t="n">
        <f aca="false">157.117365386424*0.808</f>
        <v>126.950831232231</v>
      </c>
      <c r="C362" s="86" t="n">
        <f aca="false">0.592+6.5</f>
        <v>7.092</v>
      </c>
      <c r="D362" s="51" t="n">
        <f aca="false">C362*B362/100</f>
        <v>9.0033529509898</v>
      </c>
      <c r="E362" s="51" t="n">
        <f aca="false">B362*(($N$40-0.065)-0.00281)</f>
        <v>1.76982212852293</v>
      </c>
      <c r="F362" s="51" t="n">
        <f aca="false">D362+E362</f>
        <v>10.7731750795127</v>
      </c>
      <c r="G362" s="86" t="n">
        <f aca="false">F362/B362*100</f>
        <v>8.48610046499452</v>
      </c>
    </row>
    <row r="363" customFormat="false" ht="12.75" hidden="false" customHeight="false" outlineLevel="0" collapsed="false">
      <c r="A363" s="85"/>
      <c r="B363" s="56"/>
      <c r="C363" s="86"/>
      <c r="D363" s="51"/>
      <c r="E363" s="142"/>
      <c r="F363" s="51"/>
      <c r="G363" s="86"/>
    </row>
    <row r="364" customFormat="false" ht="13.5" hidden="false" customHeight="false" outlineLevel="0" collapsed="false">
      <c r="A364" s="61" t="s">
        <v>87</v>
      </c>
      <c r="B364" s="139" t="n">
        <f aca="false">SUM(B335:B362)</f>
        <v>495.61951592</v>
      </c>
      <c r="C364" s="63" t="n">
        <f aca="false">D364/B364*100</f>
        <v>7.94074962726553</v>
      </c>
      <c r="D364" s="141" t="n">
        <f aca="false">SUM(D324:D362)</f>
        <v>39.3559048630726</v>
      </c>
      <c r="E364" s="141" t="n">
        <f aca="false">SUM(E324:E362)</f>
        <v>17.4526549759758</v>
      </c>
      <c r="F364" s="141" t="n">
        <f aca="false">SUM(F324:F362)</f>
        <v>56.8085598390484</v>
      </c>
      <c r="G364" s="63" t="n">
        <f aca="false">F364/B364*100</f>
        <v>11.4621313354856</v>
      </c>
      <c r="H364" s="65" t="n">
        <f aca="false">(G364-C364)/C364</f>
        <v>0.443457088248821</v>
      </c>
    </row>
    <row r="365" customFormat="false" ht="13.5" hidden="false" customHeight="false" outlineLevel="0" collapsed="false">
      <c r="A365" s="83"/>
      <c r="B365" s="157"/>
      <c r="C365" s="158"/>
      <c r="D365" s="148"/>
      <c r="E365" s="148"/>
      <c r="F365" s="148"/>
      <c r="G365" s="159"/>
      <c r="H365" s="149"/>
    </row>
    <row r="366" customFormat="false" ht="12.75" hidden="false" customHeight="false" outlineLevel="0" collapsed="false">
      <c r="A366" s="83"/>
      <c r="B366" s="157"/>
      <c r="C366" s="159"/>
      <c r="D366" s="148"/>
      <c r="E366" s="148"/>
      <c r="F366" s="148"/>
      <c r="G366" s="159"/>
      <c r="H366" s="149"/>
    </row>
    <row r="367" customFormat="false" ht="12.75" hidden="false" customHeight="false" outlineLevel="0" collapsed="false">
      <c r="A367" s="83"/>
      <c r="B367" s="155"/>
      <c r="C367" s="155"/>
      <c r="D367" s="160"/>
      <c r="E367" s="161"/>
      <c r="F367" s="162"/>
      <c r="G367" s="155"/>
    </row>
    <row r="368" customFormat="false" ht="12.75" hidden="false" customHeight="false" outlineLevel="0" collapsed="false">
      <c r="A368" s="2"/>
      <c r="E368" s="152"/>
      <c r="H368" s="2" t="s">
        <v>88</v>
      </c>
    </row>
    <row r="369" customFormat="false" ht="20.25" hidden="false" customHeight="false" outlineLevel="0" collapsed="false">
      <c r="A369" s="3" t="s">
        <v>1</v>
      </c>
      <c r="B369" s="3"/>
      <c r="C369" s="3"/>
      <c r="D369" s="3"/>
      <c r="E369" s="3"/>
      <c r="F369" s="3"/>
      <c r="G369" s="3"/>
      <c r="H369" s="3"/>
    </row>
    <row r="370" customFormat="false" ht="20.25" hidden="false" customHeight="false" outlineLevel="0" collapsed="false">
      <c r="A370" s="3" t="s">
        <v>2</v>
      </c>
      <c r="B370" s="3"/>
      <c r="C370" s="3"/>
      <c r="D370" s="3"/>
      <c r="E370" s="3"/>
      <c r="F370" s="3"/>
      <c r="G370" s="3"/>
      <c r="H370" s="3"/>
    </row>
    <row r="371" customFormat="false" ht="20.25" hidden="false" customHeight="false" outlineLevel="0" collapsed="false">
      <c r="A371" s="3" t="s">
        <v>3</v>
      </c>
      <c r="B371" s="3"/>
      <c r="C371" s="3"/>
      <c r="D371" s="3"/>
      <c r="E371" s="3"/>
      <c r="F371" s="3"/>
      <c r="G371" s="3"/>
      <c r="H371" s="3"/>
    </row>
    <row r="372" customFormat="false" ht="13.5" hidden="false" customHeight="false" outlineLevel="0" collapsed="false">
      <c r="A372" s="2"/>
      <c r="E372" s="152"/>
    </row>
    <row r="373" customFormat="false" ht="64.5" hidden="false" customHeight="false" outlineLevel="0" collapsed="false">
      <c r="A373" s="37" t="s">
        <v>17</v>
      </c>
      <c r="B373" s="39" t="s">
        <v>18</v>
      </c>
      <c r="C373" s="39" t="s">
        <v>19</v>
      </c>
      <c r="D373" s="39" t="s">
        <v>20</v>
      </c>
      <c r="E373" s="39" t="s">
        <v>21</v>
      </c>
      <c r="F373" s="39" t="s">
        <v>22</v>
      </c>
      <c r="G373" s="39" t="s">
        <v>23</v>
      </c>
      <c r="H373" s="39" t="s">
        <v>24</v>
      </c>
    </row>
    <row r="374" customFormat="false" ht="12.75" hidden="false" customHeight="false" outlineLevel="0" collapsed="false">
      <c r="A374" s="83"/>
      <c r="B374" s="155"/>
      <c r="C374" s="155"/>
      <c r="D374" s="160"/>
      <c r="E374" s="161"/>
      <c r="F374" s="162"/>
      <c r="G374" s="155"/>
    </row>
    <row r="375" customFormat="false" ht="12.75" hidden="false" customHeight="false" outlineLevel="0" collapsed="false">
      <c r="A375" s="40" t="s">
        <v>89</v>
      </c>
      <c r="B375" s="163"/>
      <c r="C375" s="110"/>
      <c r="D375" s="164"/>
      <c r="E375" s="164"/>
      <c r="F375" s="164"/>
      <c r="G375" s="110"/>
      <c r="H375" s="124"/>
    </row>
    <row r="376" customFormat="false" ht="12.75" hidden="false" customHeight="false" outlineLevel="0" collapsed="false">
      <c r="A376" s="50" t="s">
        <v>27</v>
      </c>
      <c r="B376" s="163"/>
      <c r="C376" s="110"/>
      <c r="D376" s="162"/>
      <c r="E376" s="164"/>
      <c r="F376" s="164"/>
      <c r="G376" s="110"/>
      <c r="H376" s="124"/>
    </row>
    <row r="377" customFormat="false" ht="12.75" hidden="false" customHeight="false" outlineLevel="0" collapsed="false">
      <c r="A377" s="96" t="s">
        <v>28</v>
      </c>
      <c r="B377" s="163"/>
      <c r="C377" s="143" t="n">
        <f aca="false">D377/B400*100</f>
        <v>0.183221116527575</v>
      </c>
      <c r="D377" s="51" t="n">
        <v>0.23725917793968</v>
      </c>
      <c r="E377" s="49" t="n">
        <f aca="false">F377-D377</f>
        <v>0</v>
      </c>
      <c r="F377" s="49" t="n">
        <v>0.23725917793968</v>
      </c>
      <c r="G377" s="143" t="n">
        <f aca="false">F377/B400*100</f>
        <v>0.183221116527575</v>
      </c>
      <c r="H377" s="124"/>
    </row>
    <row r="378" customFormat="false" ht="12.75" hidden="false" customHeight="false" outlineLevel="0" collapsed="false">
      <c r="A378" s="96"/>
      <c r="B378" s="163"/>
      <c r="C378" s="110"/>
      <c r="D378" s="51"/>
      <c r="E378" s="49"/>
      <c r="F378" s="49"/>
      <c r="G378" s="110"/>
      <c r="H378" s="124"/>
    </row>
    <row r="379" customFormat="false" ht="12.75" hidden="false" customHeight="false" outlineLevel="0" collapsed="false">
      <c r="A379" s="96" t="s">
        <v>50</v>
      </c>
      <c r="B379" s="163"/>
      <c r="C379" s="110"/>
      <c r="D379" s="51"/>
      <c r="E379" s="49"/>
      <c r="F379" s="49"/>
      <c r="G379" s="110"/>
      <c r="H379" s="124"/>
    </row>
    <row r="380" customFormat="false" ht="12.75" hidden="false" customHeight="false" outlineLevel="0" collapsed="false">
      <c r="A380" s="85" t="s">
        <v>32</v>
      </c>
      <c r="B380" s="163"/>
      <c r="C380" s="143" t="n">
        <f aca="false">D380/(B386+B391+B396)*100</f>
        <v>1.02297</v>
      </c>
      <c r="D380" s="51" t="n">
        <v>1.2846729311333</v>
      </c>
      <c r="E380" s="49" t="n">
        <f aca="false">F380-D380</f>
        <v>-0.152886841238775</v>
      </c>
      <c r="F380" s="49" t="n">
        <v>1.13178608989452</v>
      </c>
      <c r="G380" s="143" t="n">
        <f aca="false">F380/(B386+B391+B396)*100</f>
        <v>0.901228</v>
      </c>
      <c r="H380" s="124"/>
    </row>
    <row r="381" customFormat="false" ht="12.75" hidden="false" customHeight="false" outlineLevel="0" collapsed="false">
      <c r="A381" s="85" t="s">
        <v>33</v>
      </c>
      <c r="B381" s="163"/>
      <c r="C381" s="143" t="n">
        <f aca="false">D381/(B387+B392+B397)*100</f>
        <v>0.428948</v>
      </c>
      <c r="D381" s="51" t="n">
        <v>0.0167748670239945</v>
      </c>
      <c r="E381" s="49" t="n">
        <f aca="false">F381-D381</f>
        <v>-0.00506213843112968</v>
      </c>
      <c r="F381" s="49" t="n">
        <v>0.0117127285928648</v>
      </c>
      <c r="G381" s="143" t="n">
        <f aca="false">F381/(B387+B392+B397)*100</f>
        <v>0.299504699337748</v>
      </c>
      <c r="H381" s="124"/>
    </row>
    <row r="382" customFormat="false" ht="12.75" hidden="false" customHeight="false" outlineLevel="0" collapsed="false">
      <c r="A382" s="85" t="s">
        <v>90</v>
      </c>
      <c r="B382" s="163"/>
      <c r="C382" s="143" t="n">
        <v>0</v>
      </c>
      <c r="D382" s="51" t="n">
        <v>0</v>
      </c>
      <c r="E382" s="49" t="n">
        <f aca="false">F382-D382</f>
        <v>0</v>
      </c>
      <c r="F382" s="49" t="n">
        <v>0</v>
      </c>
      <c r="G382" s="143" t="n">
        <v>0</v>
      </c>
      <c r="H382" s="124"/>
    </row>
    <row r="383" customFormat="false" ht="12.75" hidden="false" customHeight="false" outlineLevel="0" collapsed="false">
      <c r="A383" s="50"/>
      <c r="B383" s="163"/>
      <c r="C383" s="110"/>
      <c r="D383" s="124"/>
      <c r="E383" s="124"/>
      <c r="F383" s="124"/>
      <c r="G383" s="110"/>
      <c r="H383" s="124"/>
    </row>
    <row r="384" customFormat="false" ht="12.75" hidden="false" customHeight="false" outlineLevel="0" collapsed="false">
      <c r="A384" s="4" t="s">
        <v>31</v>
      </c>
      <c r="B384" s="58"/>
      <c r="C384" s="58"/>
      <c r="D384" s="48"/>
      <c r="E384" s="48"/>
      <c r="F384" s="48"/>
      <c r="G384" s="58"/>
      <c r="H384" s="42"/>
    </row>
    <row r="385" customFormat="false" ht="12.75" hidden="false" customHeight="false" outlineLevel="0" collapsed="false">
      <c r="A385" s="78" t="s">
        <v>91</v>
      </c>
      <c r="B385" s="58"/>
      <c r="C385" s="58"/>
      <c r="D385" s="48"/>
      <c r="E385" s="48"/>
      <c r="F385" s="48"/>
      <c r="G385" s="58"/>
      <c r="H385" s="42"/>
    </row>
    <row r="386" customFormat="false" ht="12.75" hidden="false" customHeight="false" outlineLevel="0" collapsed="false">
      <c r="A386" s="85" t="s">
        <v>32</v>
      </c>
      <c r="B386" s="90" t="n">
        <f aca="false">10.8684953073797*0.808</f>
        <v>8.7817442083628</v>
      </c>
      <c r="C386" s="53" t="n">
        <f aca="false">1.643+6.5</f>
        <v>8.143</v>
      </c>
      <c r="D386" s="49" t="n">
        <f aca="false">C386*B386/100</f>
        <v>0.715097430886983</v>
      </c>
      <c r="E386" s="49" t="n">
        <f aca="false">(($N$38-0.065)-0.00784)*B386</f>
        <v>0.796170575087846</v>
      </c>
      <c r="F386" s="49" t="n">
        <f aca="false">D386+E386</f>
        <v>1.51126800597483</v>
      </c>
      <c r="G386" s="53" t="n">
        <f aca="false">F386/B386*100</f>
        <v>17.209200929989</v>
      </c>
      <c r="H386" s="91"/>
    </row>
    <row r="387" customFormat="false" ht="12.75" hidden="false" customHeight="false" outlineLevel="0" collapsed="false">
      <c r="A387" s="85" t="s">
        <v>33</v>
      </c>
      <c r="B387" s="90" t="n">
        <f aca="false">0.364604962921131*0.808</f>
        <v>0.294600810040274</v>
      </c>
      <c r="C387" s="53" t="n">
        <f aca="false">1.614+6.5</f>
        <v>8.114</v>
      </c>
      <c r="D387" s="49" t="n">
        <f aca="false">C387*B387/100</f>
        <v>0.0239039097266678</v>
      </c>
      <c r="E387" s="49" t="n">
        <f aca="false">(($N$38-0.065)-0.00761)*B387</f>
        <v>0.0267768595659358</v>
      </c>
      <c r="F387" s="49" t="n">
        <f aca="false">D387+E387</f>
        <v>0.0506807692926036</v>
      </c>
      <c r="G387" s="53" t="n">
        <f aca="false">F387/B387*100</f>
        <v>17.203200929989</v>
      </c>
      <c r="H387" s="11"/>
    </row>
    <row r="388" customFormat="false" ht="12.75" hidden="false" customHeight="false" outlineLevel="0" collapsed="false">
      <c r="A388" s="85" t="s">
        <v>90</v>
      </c>
      <c r="B388" s="90" t="n">
        <v>0</v>
      </c>
      <c r="C388" s="53" t="n">
        <f aca="false">1.147+6.5</f>
        <v>7.647</v>
      </c>
      <c r="D388" s="49" t="n">
        <f aca="false">C388*B388/100</f>
        <v>0</v>
      </c>
      <c r="E388" s="49" t="n">
        <f aca="false">(($N$38-0.065)-0.00744)*B388</f>
        <v>0</v>
      </c>
      <c r="F388" s="49" t="n">
        <f aca="false">D388+E388</f>
        <v>0</v>
      </c>
      <c r="G388" s="53" t="n">
        <f aca="false">C388+(N38-0.065)*100</f>
        <v>17.497200929989</v>
      </c>
      <c r="H388" s="11"/>
    </row>
    <row r="389" customFormat="false" ht="12.75" hidden="false" customHeight="false" outlineLevel="0" collapsed="false">
      <c r="A389" s="85"/>
      <c r="B389" s="90"/>
      <c r="C389" s="53"/>
      <c r="D389" s="49"/>
      <c r="E389" s="134"/>
      <c r="F389" s="49"/>
      <c r="G389" s="53"/>
      <c r="H389" s="11"/>
    </row>
    <row r="390" customFormat="false" ht="12.75" hidden="false" customHeight="false" outlineLevel="0" collapsed="false">
      <c r="A390" s="109" t="s">
        <v>92</v>
      </c>
      <c r="B390" s="56"/>
      <c r="C390" s="53"/>
      <c r="D390" s="49"/>
      <c r="E390" s="134"/>
      <c r="F390" s="49"/>
      <c r="G390" s="53"/>
      <c r="H390" s="11"/>
    </row>
    <row r="391" customFormat="false" ht="12.75" hidden="false" customHeight="false" outlineLevel="0" collapsed="false">
      <c r="A391" s="85" t="s">
        <v>32</v>
      </c>
      <c r="B391" s="90" t="n">
        <f aca="false">51.2153439779168*0.808</f>
        <v>41.3819979341568</v>
      </c>
      <c r="C391" s="53" t="n">
        <f aca="false">1.324+6.5</f>
        <v>7.824</v>
      </c>
      <c r="D391" s="49" t="n">
        <f aca="false">C391*B391/100</f>
        <v>3.23772751836843</v>
      </c>
      <c r="E391" s="49" t="n">
        <f aca="false">(($N$39-0.065)-0.00567)*B391</f>
        <v>1.81176207374812</v>
      </c>
      <c r="F391" s="49" t="n">
        <f aca="false">D391+E391</f>
        <v>5.04948959211655</v>
      </c>
      <c r="G391" s="53" t="n">
        <f aca="false">F391/B391*100</f>
        <v>12.2021406509923</v>
      </c>
      <c r="H391" s="11"/>
    </row>
    <row r="392" customFormat="false" ht="12.75" hidden="false" customHeight="false" outlineLevel="0" collapsed="false">
      <c r="A392" s="85" t="s">
        <v>33</v>
      </c>
      <c r="B392" s="90" t="n">
        <f aca="false">1.74574010096571*0.808</f>
        <v>1.41055800158029</v>
      </c>
      <c r="C392" s="53" t="n">
        <f aca="false">1.3+6.5</f>
        <v>7.8</v>
      </c>
      <c r="D392" s="49" t="n">
        <f aca="false">C392*B392/100</f>
        <v>0.110023524123263</v>
      </c>
      <c r="E392" s="49" t="n">
        <f aca="false">(($N$39-0.065)-0.00553)*B392</f>
        <v>0.061953691393233</v>
      </c>
      <c r="F392" s="49" t="n">
        <f aca="false">D392+E392</f>
        <v>0.171977215516496</v>
      </c>
      <c r="G392" s="53" t="n">
        <f aca="false">F392/B392*100</f>
        <v>12.1921406509923</v>
      </c>
      <c r="H392" s="11"/>
    </row>
    <row r="393" customFormat="false" ht="12.75" hidden="false" customHeight="false" outlineLevel="0" collapsed="false">
      <c r="A393" s="85" t="s">
        <v>90</v>
      </c>
      <c r="B393" s="90" t="n">
        <v>0</v>
      </c>
      <c r="C393" s="53" t="n">
        <f aca="false">0.946+6.5</f>
        <v>7.446</v>
      </c>
      <c r="D393" s="49" t="n">
        <f aca="false">C393*B393/100</f>
        <v>0</v>
      </c>
      <c r="E393" s="49" t="n">
        <f aca="false">(($N$39-0.065)-0.00543)*B393</f>
        <v>0</v>
      </c>
      <c r="F393" s="49" t="n">
        <f aca="false">D393+E393</f>
        <v>0</v>
      </c>
      <c r="G393" s="53" t="n">
        <f aca="false">C393+(N39-0.065)*100</f>
        <v>12.3911406509923</v>
      </c>
      <c r="H393" s="11"/>
    </row>
    <row r="394" customFormat="false" ht="12.75" hidden="false" customHeight="false" outlineLevel="0" collapsed="false">
      <c r="A394" s="85"/>
      <c r="B394" s="90"/>
      <c r="C394" s="53"/>
      <c r="D394" s="49"/>
      <c r="E394" s="142"/>
      <c r="F394" s="49"/>
      <c r="G394" s="53"/>
    </row>
    <row r="395" customFormat="false" ht="12.75" hidden="false" customHeight="false" outlineLevel="0" collapsed="false">
      <c r="A395" s="109" t="s">
        <v>93</v>
      </c>
      <c r="B395" s="56"/>
      <c r="C395" s="53"/>
      <c r="D395" s="49"/>
      <c r="E395" s="142"/>
      <c r="F395" s="49"/>
      <c r="G395" s="53"/>
    </row>
    <row r="396" customFormat="false" ht="12.75" hidden="false" customHeight="false" outlineLevel="0" collapsed="false">
      <c r="A396" s="85" t="s">
        <v>32</v>
      </c>
      <c r="B396" s="90" t="n">
        <f aca="false">93.3402441631035*0.808</f>
        <v>75.4189172837876</v>
      </c>
      <c r="C396" s="53" t="n">
        <f aca="false">1.036+6.5</f>
        <v>7.536</v>
      </c>
      <c r="D396" s="49" t="n">
        <f aca="false">C396*B396/100</f>
        <v>5.68356960650624</v>
      </c>
      <c r="E396" s="49" t="n">
        <f aca="false">(($N$40-0.065)-0.00351)*B396</f>
        <v>0.998622234448462</v>
      </c>
      <c r="F396" s="49" t="n">
        <f aca="false">D396+E396</f>
        <v>6.6821918409547</v>
      </c>
      <c r="G396" s="53" t="n">
        <f aca="false">F396/B396*100</f>
        <v>8.86010046499452</v>
      </c>
    </row>
    <row r="397" customFormat="false" ht="12.75" hidden="false" customHeight="false" outlineLevel="0" collapsed="false">
      <c r="A397" s="85" t="s">
        <v>33</v>
      </c>
      <c r="B397" s="90" t="n">
        <f aca="false">2.72962948771316*0.808</f>
        <v>2.20554062607223</v>
      </c>
      <c r="C397" s="53" t="n">
        <f aca="false">1.024+6.5</f>
        <v>7.524</v>
      </c>
      <c r="D397" s="49" t="n">
        <f aca="false">C397*B397/100</f>
        <v>0.165944876705675</v>
      </c>
      <c r="E397" s="49" t="n">
        <f aca="false">(($N$40-0.065)-0.00346)*B397</f>
        <v>0.029313850716769</v>
      </c>
      <c r="F397" s="49" t="n">
        <f aca="false">D397+E397</f>
        <v>0.195258727422444</v>
      </c>
      <c r="G397" s="53" t="n">
        <f aca="false">F397/B397*100</f>
        <v>8.85310046499452</v>
      </c>
    </row>
    <row r="398" customFormat="false" ht="12.75" hidden="false" customHeight="false" outlineLevel="0" collapsed="false">
      <c r="A398" s="85" t="s">
        <v>90</v>
      </c>
      <c r="B398" s="56" t="n">
        <v>0</v>
      </c>
      <c r="C398" s="53" t="n">
        <f aca="false">0.745+6.5</f>
        <v>7.245</v>
      </c>
      <c r="D398" s="49" t="n">
        <f aca="false">C398*B398/100</f>
        <v>0</v>
      </c>
      <c r="E398" s="49" t="n">
        <f aca="false">(($N$40-0.065)-0.00342)*B398</f>
        <v>0</v>
      </c>
      <c r="F398" s="49" t="n">
        <f aca="false">D398+E398</f>
        <v>0</v>
      </c>
      <c r="G398" s="53" t="n">
        <f aca="false">C398+(N40-0.065)*100</f>
        <v>8.92010046499452</v>
      </c>
    </row>
    <row r="399" customFormat="false" ht="12.75" hidden="false" customHeight="false" outlineLevel="0" collapsed="false">
      <c r="A399" s="85"/>
      <c r="B399" s="58"/>
      <c r="C399" s="59"/>
      <c r="D399" s="47"/>
      <c r="E399" s="48"/>
      <c r="F399" s="51"/>
      <c r="G399" s="53"/>
    </row>
    <row r="400" customFormat="false" ht="13.5" hidden="false" customHeight="false" outlineLevel="0" collapsed="false">
      <c r="A400" s="61" t="s">
        <v>94</v>
      </c>
      <c r="B400" s="62" t="n">
        <f aca="false">SUM(B386:B398)</f>
        <v>129.493358864</v>
      </c>
      <c r="C400" s="63" t="n">
        <f aca="false">D400/B400*100</f>
        <v>8.86143810237078</v>
      </c>
      <c r="D400" s="165" t="n">
        <f aca="false">SUM(D377:D398)</f>
        <v>11.4749738424142</v>
      </c>
      <c r="E400" s="165" t="n">
        <f aca="false">SUM(E377:E398)</f>
        <v>3.56665030529046</v>
      </c>
      <c r="F400" s="165" t="n">
        <f aca="false">SUM(F377:F398)</f>
        <v>15.0416241477047</v>
      </c>
      <c r="G400" s="140" t="n">
        <f aca="false">F400/B400*100</f>
        <v>11.6157494713703</v>
      </c>
      <c r="H400" s="65" t="n">
        <f aca="false">(G400-C400)/C400</f>
        <v>0.310819907240858</v>
      </c>
    </row>
    <row r="401" customFormat="false" ht="13.5" hidden="false" customHeight="false" outlineLevel="0" collapsed="false">
      <c r="C401" s="81"/>
      <c r="D401" s="51"/>
      <c r="E401" s="142"/>
      <c r="F401" s="51"/>
      <c r="G401" s="81"/>
    </row>
    <row r="402" customFormat="false" ht="13.5" hidden="false" customHeight="false" outlineLevel="0" collapsed="false">
      <c r="A402" s="22"/>
      <c r="B402" s="22"/>
      <c r="C402" s="166"/>
      <c r="D402" s="167"/>
      <c r="E402" s="168"/>
      <c r="F402" s="167"/>
      <c r="G402" s="166"/>
      <c r="H402" s="22"/>
    </row>
    <row r="403" customFormat="false" ht="13.5" hidden="false" customHeight="false" outlineLevel="0" collapsed="false">
      <c r="A403" s="169" t="s">
        <v>95</v>
      </c>
      <c r="B403" s="170" t="n">
        <f aca="false">B34+B108+B152+B189+B240+B309+B364+B400</f>
        <v>5401.26369675494</v>
      </c>
      <c r="C403" s="171" t="n">
        <f aca="false">D403/B403*100</f>
        <v>10.0592813155354</v>
      </c>
      <c r="D403" s="172" t="n">
        <f aca="false">D34+D108+D152+D189+D240+D309+D364+D400</f>
        <v>543.328309850465</v>
      </c>
      <c r="E403" s="172" t="n">
        <f aca="false">E34+E108+E152+E189+E240+E309+E364+E400</f>
        <v>193.91906296538</v>
      </c>
      <c r="F403" s="172" t="n">
        <f aca="false">F34+F108+F152+F189+F240+F309+F364+F400</f>
        <v>737.247372815845</v>
      </c>
      <c r="G403" s="171" t="n">
        <f aca="false">F403/B403*100</f>
        <v>13.6495348904883</v>
      </c>
      <c r="H403" s="173" t="n">
        <f aca="false">(G403-C403)/C403</f>
        <v>0.356909550725877</v>
      </c>
    </row>
    <row r="404" customFormat="false" ht="12.75" hidden="false" customHeight="false" outlineLevel="0" collapsed="false">
      <c r="E404" s="152"/>
      <c r="N404" s="174" t="s">
        <v>96</v>
      </c>
    </row>
    <row r="405" customFormat="false" ht="12.75" hidden="false" customHeight="false" outlineLevel="0" collapsed="false">
      <c r="B405" s="155"/>
      <c r="E405" s="152"/>
      <c r="K405" s="2" t="s">
        <v>97</v>
      </c>
      <c r="N405" s="1" t="n">
        <f aca="false">(797.335589+904.351082)/(5232.756288+4250.880536)</f>
        <v>0.179433976920498</v>
      </c>
    </row>
    <row r="406" customFormat="false" ht="12.75" hidden="false" customHeight="false" outlineLevel="0" collapsed="false">
      <c r="C406" s="155"/>
      <c r="E406" s="152"/>
    </row>
    <row r="407" customFormat="false" ht="12.75" hidden="false" customHeight="false" outlineLevel="0" collapsed="false">
      <c r="A407" s="1" t="s">
        <v>98</v>
      </c>
      <c r="E407" s="152"/>
      <c r="K407" s="2" t="s">
        <v>99</v>
      </c>
      <c r="L407" s="56" t="n">
        <f aca="false">(3115.4512423+6684.732298)*N405</f>
        <v>1758.48590718683</v>
      </c>
    </row>
    <row r="408" customFormat="false" ht="12.75" hidden="false" customHeight="false" outlineLevel="0" collapsed="false">
      <c r="A408" s="11" t="s">
        <v>100</v>
      </c>
      <c r="E408" s="152"/>
      <c r="K408" s="2" t="s">
        <v>101</v>
      </c>
      <c r="L408" s="56" t="e">
        <f aca="false">#REF!/0.85*0.152</f>
        <v>#REF!</v>
      </c>
      <c r="N408" s="175" t="e">
        <f aca="false">L408/(#REF!+'Large C&amp;I (ABX1 43)'!L408)</f>
        <v>#REF!</v>
      </c>
    </row>
    <row r="409" customFormat="false" ht="12.75" hidden="false" customHeight="false" outlineLevel="0" collapsed="false">
      <c r="A409" s="176" t="s">
        <v>102</v>
      </c>
      <c r="E409" s="152"/>
      <c r="K409" s="2" t="s">
        <v>103</v>
      </c>
      <c r="L409" s="81" t="e">
        <f aca="false">L407-L408</f>
        <v>#REF!</v>
      </c>
      <c r="N409" s="175" t="e">
        <f aca="false">L409/6684.732298</f>
        <v>#REF!</v>
      </c>
    </row>
    <row r="410" customFormat="false" ht="12.75" hidden="false" customHeight="false" outlineLevel="0" collapsed="false">
      <c r="A410" s="176" t="s">
        <v>104</v>
      </c>
      <c r="E410" s="152"/>
      <c r="L410" s="81"/>
    </row>
    <row r="411" customFormat="false" ht="12.75" hidden="false" customHeight="false" outlineLevel="0" collapsed="false">
      <c r="E411" s="152"/>
    </row>
    <row r="412" customFormat="false" ht="12.75" hidden="false" customHeight="false" outlineLevel="0" collapsed="false">
      <c r="E412" s="152"/>
    </row>
    <row r="413" customFormat="false" ht="12.75" hidden="false" customHeight="false" outlineLevel="0" collapsed="false">
      <c r="E413" s="152"/>
    </row>
    <row r="414" customFormat="false" ht="12.75" hidden="false" customHeight="false" outlineLevel="0" collapsed="false">
      <c r="E414" s="152"/>
    </row>
    <row r="415" customFormat="false" ht="12.75" hidden="false" customHeight="false" outlineLevel="0" collapsed="false">
      <c r="E415" s="152"/>
    </row>
    <row r="416" customFormat="false" ht="12.75" hidden="false" customHeight="false" outlineLevel="0" collapsed="false">
      <c r="E416" s="152"/>
    </row>
    <row r="417" customFormat="false" ht="12.75" hidden="false" customHeight="false" outlineLevel="0" collapsed="false">
      <c r="E417" s="152"/>
    </row>
    <row r="418" customFormat="false" ht="12.75" hidden="false" customHeight="false" outlineLevel="0" collapsed="false">
      <c r="E418" s="152"/>
    </row>
    <row r="419" customFormat="false" ht="12.75" hidden="false" customHeight="false" outlineLevel="0" collapsed="false">
      <c r="E419" s="152"/>
    </row>
    <row r="420" customFormat="false" ht="12.75" hidden="false" customHeight="false" outlineLevel="0" collapsed="false">
      <c r="E420" s="152"/>
    </row>
    <row r="421" customFormat="false" ht="12.75" hidden="false" customHeight="false" outlineLevel="0" collapsed="false">
      <c r="E421" s="152"/>
    </row>
    <row r="422" customFormat="false" ht="12.75" hidden="false" customHeight="false" outlineLevel="0" collapsed="false">
      <c r="E422" s="152"/>
    </row>
    <row r="423" customFormat="false" ht="12.75" hidden="false" customHeight="false" outlineLevel="0" collapsed="false">
      <c r="E423" s="152"/>
    </row>
    <row r="424" customFormat="false" ht="12.75" hidden="false" customHeight="false" outlineLevel="0" collapsed="false">
      <c r="E424" s="152"/>
    </row>
    <row r="425" customFormat="false" ht="12.75" hidden="false" customHeight="false" outlineLevel="0" collapsed="false">
      <c r="E425" s="152"/>
    </row>
    <row r="426" customFormat="false" ht="12.75" hidden="false" customHeight="false" outlineLevel="0" collapsed="false">
      <c r="E426" s="152"/>
    </row>
    <row r="427" customFormat="false" ht="12.75" hidden="false" customHeight="false" outlineLevel="0" collapsed="false">
      <c r="E427" s="152"/>
    </row>
    <row r="428" customFormat="false" ht="12.75" hidden="false" customHeight="false" outlineLevel="0" collapsed="false">
      <c r="E428" s="152"/>
    </row>
    <row r="429" customFormat="false" ht="12.75" hidden="false" customHeight="false" outlineLevel="0" collapsed="false">
      <c r="E429" s="152"/>
    </row>
    <row r="430" customFormat="false" ht="12.75" hidden="false" customHeight="false" outlineLevel="0" collapsed="false">
      <c r="E430" s="152"/>
    </row>
    <row r="431" customFormat="false" ht="12.75" hidden="false" customHeight="false" outlineLevel="0" collapsed="false">
      <c r="E431" s="152"/>
    </row>
    <row r="432" customFormat="false" ht="12.75" hidden="false" customHeight="false" outlineLevel="0" collapsed="false">
      <c r="E432" s="152"/>
    </row>
    <row r="433" customFormat="false" ht="12.75" hidden="false" customHeight="false" outlineLevel="0" collapsed="false">
      <c r="E433" s="152"/>
    </row>
    <row r="434" customFormat="false" ht="12.75" hidden="false" customHeight="false" outlineLevel="0" collapsed="false">
      <c r="E434" s="152"/>
    </row>
    <row r="435" customFormat="false" ht="12.75" hidden="false" customHeight="false" outlineLevel="0" collapsed="false">
      <c r="E435" s="152"/>
    </row>
    <row r="436" customFormat="false" ht="12.75" hidden="false" customHeight="false" outlineLevel="0" collapsed="false">
      <c r="E436" s="152"/>
    </row>
    <row r="437" customFormat="false" ht="12.75" hidden="false" customHeight="false" outlineLevel="0" collapsed="false">
      <c r="E437" s="152"/>
    </row>
    <row r="438" customFormat="false" ht="12.75" hidden="false" customHeight="false" outlineLevel="0" collapsed="false">
      <c r="E438" s="152"/>
    </row>
    <row r="439" customFormat="false" ht="12.75" hidden="false" customHeight="false" outlineLevel="0" collapsed="false">
      <c r="E439" s="152"/>
    </row>
    <row r="440" customFormat="false" ht="12.75" hidden="false" customHeight="false" outlineLevel="0" collapsed="false">
      <c r="E440" s="152"/>
    </row>
    <row r="441" customFormat="false" ht="12.75" hidden="false" customHeight="false" outlineLevel="0" collapsed="false">
      <c r="E441" s="152"/>
    </row>
    <row r="442" customFormat="false" ht="12.75" hidden="false" customHeight="false" outlineLevel="0" collapsed="false">
      <c r="E442" s="152"/>
    </row>
    <row r="443" customFormat="false" ht="12.75" hidden="false" customHeight="false" outlineLevel="0" collapsed="false">
      <c r="E443" s="152"/>
    </row>
    <row r="444" customFormat="false" ht="12.75" hidden="false" customHeight="false" outlineLevel="0" collapsed="false">
      <c r="E444" s="152"/>
    </row>
    <row r="445" customFormat="false" ht="12.75" hidden="false" customHeight="false" outlineLevel="0" collapsed="false">
      <c r="E445" s="152"/>
    </row>
    <row r="446" customFormat="false" ht="12.75" hidden="false" customHeight="false" outlineLevel="0" collapsed="false">
      <c r="E446" s="152"/>
    </row>
    <row r="447" customFormat="false" ht="12.75" hidden="false" customHeight="false" outlineLevel="0" collapsed="false">
      <c r="E447" s="152"/>
    </row>
    <row r="448" customFormat="false" ht="12.75" hidden="false" customHeight="false" outlineLevel="0" collapsed="false">
      <c r="E448" s="152"/>
    </row>
    <row r="449" customFormat="false" ht="12.75" hidden="false" customHeight="false" outlineLevel="0" collapsed="false">
      <c r="E449" s="152"/>
    </row>
    <row r="450" customFormat="false" ht="12.75" hidden="false" customHeight="false" outlineLevel="0" collapsed="false">
      <c r="E450" s="152"/>
    </row>
    <row r="451" customFormat="false" ht="12.75" hidden="false" customHeight="false" outlineLevel="0" collapsed="false">
      <c r="E451" s="152"/>
    </row>
    <row r="452" customFormat="false" ht="12.75" hidden="false" customHeight="false" outlineLevel="0" collapsed="false">
      <c r="E452" s="152"/>
    </row>
    <row r="453" customFormat="false" ht="12.75" hidden="false" customHeight="false" outlineLevel="0" collapsed="false">
      <c r="E453" s="152"/>
    </row>
    <row r="454" customFormat="false" ht="12.75" hidden="false" customHeight="false" outlineLevel="0" collapsed="false">
      <c r="E454" s="152"/>
    </row>
    <row r="455" customFormat="false" ht="12.75" hidden="false" customHeight="false" outlineLevel="0" collapsed="false">
      <c r="E455" s="152"/>
    </row>
    <row r="456" customFormat="false" ht="12.75" hidden="false" customHeight="false" outlineLevel="0" collapsed="false">
      <c r="E456" s="152"/>
    </row>
    <row r="457" customFormat="false" ht="12.75" hidden="false" customHeight="false" outlineLevel="0" collapsed="false">
      <c r="E457" s="152"/>
    </row>
    <row r="458" customFormat="false" ht="12.75" hidden="false" customHeight="false" outlineLevel="0" collapsed="false">
      <c r="E458" s="152"/>
    </row>
    <row r="459" customFormat="false" ht="12.75" hidden="false" customHeight="false" outlineLevel="0" collapsed="false">
      <c r="E459" s="152"/>
    </row>
    <row r="460" customFormat="false" ht="12.75" hidden="false" customHeight="false" outlineLevel="0" collapsed="false">
      <c r="E460" s="152"/>
    </row>
    <row r="461" customFormat="false" ht="12.75" hidden="false" customHeight="false" outlineLevel="0" collapsed="false">
      <c r="E461" s="152"/>
    </row>
    <row r="462" customFormat="false" ht="12.75" hidden="false" customHeight="false" outlineLevel="0" collapsed="false">
      <c r="E462" s="152"/>
    </row>
    <row r="463" customFormat="false" ht="12.75" hidden="false" customHeight="false" outlineLevel="0" collapsed="false">
      <c r="E463" s="152"/>
    </row>
    <row r="464" customFormat="false" ht="12.75" hidden="false" customHeight="false" outlineLevel="0" collapsed="false">
      <c r="E464" s="152"/>
    </row>
    <row r="465" customFormat="false" ht="12.75" hidden="false" customHeight="false" outlineLevel="0" collapsed="false">
      <c r="E465" s="152"/>
    </row>
    <row r="466" customFormat="false" ht="12.75" hidden="false" customHeight="false" outlineLevel="0" collapsed="false">
      <c r="E466" s="152"/>
    </row>
    <row r="467" customFormat="false" ht="12.75" hidden="false" customHeight="false" outlineLevel="0" collapsed="false">
      <c r="E467" s="152"/>
    </row>
    <row r="468" customFormat="false" ht="12.75" hidden="false" customHeight="false" outlineLevel="0" collapsed="false">
      <c r="E468" s="152"/>
    </row>
    <row r="469" customFormat="false" ht="12.75" hidden="false" customHeight="false" outlineLevel="0" collapsed="false">
      <c r="E469" s="152"/>
    </row>
    <row r="470" customFormat="false" ht="12.75" hidden="false" customHeight="false" outlineLevel="0" collapsed="false">
      <c r="E470" s="152"/>
    </row>
    <row r="471" customFormat="false" ht="12.75" hidden="false" customHeight="false" outlineLevel="0" collapsed="false">
      <c r="E471" s="152"/>
    </row>
    <row r="472" customFormat="false" ht="12.75" hidden="false" customHeight="false" outlineLevel="0" collapsed="false">
      <c r="E472" s="152"/>
    </row>
    <row r="473" customFormat="false" ht="12.75" hidden="false" customHeight="false" outlineLevel="0" collapsed="false">
      <c r="E473" s="152"/>
    </row>
    <row r="474" customFormat="false" ht="12.75" hidden="false" customHeight="false" outlineLevel="0" collapsed="false">
      <c r="E474" s="152"/>
    </row>
    <row r="475" customFormat="false" ht="12.75" hidden="false" customHeight="false" outlineLevel="0" collapsed="false">
      <c r="E475" s="152"/>
    </row>
    <row r="476" customFormat="false" ht="12.75" hidden="false" customHeight="false" outlineLevel="0" collapsed="false">
      <c r="E476" s="152"/>
    </row>
    <row r="477" customFormat="false" ht="12.75" hidden="false" customHeight="false" outlineLevel="0" collapsed="false">
      <c r="E477" s="152"/>
    </row>
    <row r="478" customFormat="false" ht="12.75" hidden="false" customHeight="false" outlineLevel="0" collapsed="false">
      <c r="E478" s="152"/>
    </row>
    <row r="479" customFormat="false" ht="12.75" hidden="false" customHeight="false" outlineLevel="0" collapsed="false">
      <c r="E479" s="152"/>
    </row>
    <row r="480" customFormat="false" ht="12.75" hidden="false" customHeight="false" outlineLevel="0" collapsed="false">
      <c r="E480" s="152"/>
    </row>
    <row r="481" customFormat="false" ht="12.75" hidden="false" customHeight="false" outlineLevel="0" collapsed="false">
      <c r="E481" s="152"/>
    </row>
    <row r="482" customFormat="false" ht="12.75" hidden="false" customHeight="false" outlineLevel="0" collapsed="false">
      <c r="E482" s="152"/>
    </row>
    <row r="483" customFormat="false" ht="12.75" hidden="false" customHeight="false" outlineLevel="0" collapsed="false">
      <c r="E483" s="152"/>
    </row>
    <row r="484" customFormat="false" ht="12.75" hidden="false" customHeight="false" outlineLevel="0" collapsed="false">
      <c r="E484" s="152"/>
    </row>
    <row r="485" customFormat="false" ht="12.75" hidden="false" customHeight="false" outlineLevel="0" collapsed="false">
      <c r="E485" s="152"/>
    </row>
    <row r="486" customFormat="false" ht="12.75" hidden="false" customHeight="false" outlineLevel="0" collapsed="false">
      <c r="E486" s="152"/>
    </row>
    <row r="487" customFormat="false" ht="12.75" hidden="false" customHeight="false" outlineLevel="0" collapsed="false">
      <c r="E487" s="152"/>
    </row>
    <row r="488" customFormat="false" ht="12.75" hidden="false" customHeight="false" outlineLevel="0" collapsed="false">
      <c r="E488" s="152"/>
    </row>
    <row r="489" customFormat="false" ht="12.75" hidden="false" customHeight="false" outlineLevel="0" collapsed="false">
      <c r="E489" s="152"/>
    </row>
    <row r="490" customFormat="false" ht="12.75" hidden="false" customHeight="false" outlineLevel="0" collapsed="false">
      <c r="E490" s="152"/>
    </row>
    <row r="491" customFormat="false" ht="12.75" hidden="false" customHeight="false" outlineLevel="0" collapsed="false">
      <c r="E491" s="152"/>
    </row>
    <row r="492" customFormat="false" ht="12.75" hidden="false" customHeight="false" outlineLevel="0" collapsed="false">
      <c r="E492" s="152"/>
    </row>
    <row r="493" customFormat="false" ht="12.75" hidden="false" customHeight="false" outlineLevel="0" collapsed="false">
      <c r="E493" s="152"/>
    </row>
    <row r="494" customFormat="false" ht="12.75" hidden="false" customHeight="false" outlineLevel="0" collapsed="false">
      <c r="E494" s="152"/>
    </row>
    <row r="495" customFormat="false" ht="12.75" hidden="false" customHeight="false" outlineLevel="0" collapsed="false">
      <c r="E495" s="152"/>
    </row>
    <row r="496" customFormat="false" ht="12.75" hidden="false" customHeight="false" outlineLevel="0" collapsed="false">
      <c r="E496" s="152"/>
    </row>
    <row r="497" customFormat="false" ht="12.75" hidden="false" customHeight="false" outlineLevel="0" collapsed="false">
      <c r="E497" s="152"/>
    </row>
    <row r="498" customFormat="false" ht="12.75" hidden="false" customHeight="false" outlineLevel="0" collapsed="false">
      <c r="E498" s="152"/>
    </row>
    <row r="499" customFormat="false" ht="12.75" hidden="false" customHeight="false" outlineLevel="0" collapsed="false">
      <c r="E499" s="152"/>
    </row>
    <row r="500" customFormat="false" ht="12.75" hidden="false" customHeight="false" outlineLevel="0" collapsed="false">
      <c r="E500" s="152"/>
    </row>
    <row r="501" customFormat="false" ht="12.75" hidden="false" customHeight="false" outlineLevel="0" collapsed="false">
      <c r="E501" s="152"/>
    </row>
    <row r="502" customFormat="false" ht="12.75" hidden="false" customHeight="false" outlineLevel="0" collapsed="false">
      <c r="E502" s="152"/>
    </row>
    <row r="503" customFormat="false" ht="12.75" hidden="false" customHeight="false" outlineLevel="0" collapsed="false">
      <c r="E503" s="152"/>
    </row>
    <row r="504" customFormat="false" ht="12.75" hidden="false" customHeight="false" outlineLevel="0" collapsed="false">
      <c r="E504" s="152"/>
    </row>
    <row r="505" customFormat="false" ht="12.75" hidden="false" customHeight="false" outlineLevel="0" collapsed="false">
      <c r="E505" s="152"/>
    </row>
    <row r="506" customFormat="false" ht="12.75" hidden="false" customHeight="false" outlineLevel="0" collapsed="false">
      <c r="E506" s="152"/>
    </row>
    <row r="507" customFormat="false" ht="12.75" hidden="false" customHeight="false" outlineLevel="0" collapsed="false">
      <c r="E507" s="152"/>
    </row>
    <row r="508" customFormat="false" ht="12.75" hidden="false" customHeight="false" outlineLevel="0" collapsed="false">
      <c r="E508" s="152"/>
    </row>
    <row r="509" customFormat="false" ht="12.75" hidden="false" customHeight="false" outlineLevel="0" collapsed="false">
      <c r="E509" s="152"/>
    </row>
    <row r="510" customFormat="false" ht="12.75" hidden="false" customHeight="false" outlineLevel="0" collapsed="false">
      <c r="E510" s="152"/>
    </row>
    <row r="511" customFormat="false" ht="12.75" hidden="false" customHeight="false" outlineLevel="0" collapsed="false">
      <c r="E511" s="152"/>
    </row>
    <row r="512" customFormat="false" ht="12.75" hidden="false" customHeight="false" outlineLevel="0" collapsed="false">
      <c r="E512" s="152"/>
    </row>
    <row r="513" customFormat="false" ht="12.75" hidden="false" customHeight="false" outlineLevel="0" collapsed="false">
      <c r="E513" s="152"/>
    </row>
    <row r="514" customFormat="false" ht="12.75" hidden="false" customHeight="false" outlineLevel="0" collapsed="false">
      <c r="E514" s="152"/>
    </row>
    <row r="515" customFormat="false" ht="12.75" hidden="false" customHeight="false" outlineLevel="0" collapsed="false">
      <c r="E515" s="152"/>
    </row>
    <row r="516" customFormat="false" ht="12.75" hidden="false" customHeight="false" outlineLevel="0" collapsed="false">
      <c r="E516" s="152"/>
    </row>
    <row r="517" customFormat="false" ht="12.75" hidden="false" customHeight="false" outlineLevel="0" collapsed="false">
      <c r="E517" s="152"/>
    </row>
    <row r="518" customFormat="false" ht="12.75" hidden="false" customHeight="false" outlineLevel="0" collapsed="false">
      <c r="E518" s="152"/>
    </row>
    <row r="519" customFormat="false" ht="12.75" hidden="false" customHeight="false" outlineLevel="0" collapsed="false">
      <c r="E519" s="152"/>
    </row>
    <row r="520" customFormat="false" ht="12.75" hidden="false" customHeight="false" outlineLevel="0" collapsed="false">
      <c r="E520" s="152"/>
    </row>
    <row r="521" customFormat="false" ht="12.75" hidden="false" customHeight="false" outlineLevel="0" collapsed="false">
      <c r="E521" s="152"/>
    </row>
    <row r="522" customFormat="false" ht="12.75" hidden="false" customHeight="false" outlineLevel="0" collapsed="false">
      <c r="E522" s="152"/>
    </row>
    <row r="523" customFormat="false" ht="12.75" hidden="false" customHeight="false" outlineLevel="0" collapsed="false">
      <c r="E523" s="152"/>
    </row>
    <row r="524" customFormat="false" ht="12.75" hidden="false" customHeight="false" outlineLevel="0" collapsed="false">
      <c r="E524" s="152"/>
    </row>
    <row r="525" customFormat="false" ht="12.75" hidden="false" customHeight="false" outlineLevel="0" collapsed="false">
      <c r="E525" s="152"/>
    </row>
    <row r="526" customFormat="false" ht="12.75" hidden="false" customHeight="false" outlineLevel="0" collapsed="false">
      <c r="E526" s="152"/>
    </row>
    <row r="527" customFormat="false" ht="12.75" hidden="false" customHeight="false" outlineLevel="0" collapsed="false">
      <c r="E527" s="152"/>
    </row>
    <row r="528" customFormat="false" ht="12.75" hidden="false" customHeight="false" outlineLevel="0" collapsed="false">
      <c r="E528" s="152"/>
    </row>
    <row r="529" customFormat="false" ht="12.75" hidden="false" customHeight="false" outlineLevel="0" collapsed="false">
      <c r="E529" s="152"/>
    </row>
    <row r="530" customFormat="false" ht="12.75" hidden="false" customHeight="false" outlineLevel="0" collapsed="false">
      <c r="E530" s="152"/>
    </row>
    <row r="531" customFormat="false" ht="12.75" hidden="false" customHeight="false" outlineLevel="0" collapsed="false">
      <c r="E531" s="152"/>
    </row>
    <row r="532" customFormat="false" ht="12.75" hidden="false" customHeight="false" outlineLevel="0" collapsed="false">
      <c r="E532" s="152"/>
    </row>
    <row r="533" customFormat="false" ht="12.75" hidden="false" customHeight="false" outlineLevel="0" collapsed="false">
      <c r="E533" s="152"/>
    </row>
    <row r="534" customFormat="false" ht="12.75" hidden="false" customHeight="false" outlineLevel="0" collapsed="false">
      <c r="E534" s="152"/>
    </row>
    <row r="535" customFormat="false" ht="12.75" hidden="false" customHeight="false" outlineLevel="0" collapsed="false">
      <c r="E535" s="152"/>
    </row>
    <row r="536" customFormat="false" ht="12.75" hidden="false" customHeight="false" outlineLevel="0" collapsed="false">
      <c r="E536" s="152"/>
    </row>
    <row r="537" customFormat="false" ht="12.75" hidden="false" customHeight="false" outlineLevel="0" collapsed="false">
      <c r="E537" s="152"/>
    </row>
    <row r="538" customFormat="false" ht="12.75" hidden="false" customHeight="false" outlineLevel="0" collapsed="false">
      <c r="E538" s="152"/>
    </row>
    <row r="539" customFormat="false" ht="12.75" hidden="false" customHeight="false" outlineLevel="0" collapsed="false">
      <c r="E539" s="152"/>
    </row>
    <row r="540" customFormat="false" ht="12.75" hidden="false" customHeight="false" outlineLevel="0" collapsed="false">
      <c r="E540" s="152"/>
    </row>
    <row r="541" customFormat="false" ht="12.75" hidden="false" customHeight="false" outlineLevel="0" collapsed="false">
      <c r="E541" s="152"/>
    </row>
    <row r="542" customFormat="false" ht="12.75" hidden="false" customHeight="false" outlineLevel="0" collapsed="false">
      <c r="E542" s="152"/>
    </row>
    <row r="543" customFormat="false" ht="12.75" hidden="false" customHeight="false" outlineLevel="0" collapsed="false">
      <c r="E543" s="152"/>
    </row>
    <row r="544" customFormat="false" ht="12.75" hidden="false" customHeight="false" outlineLevel="0" collapsed="false">
      <c r="E544" s="152"/>
    </row>
    <row r="545" customFormat="false" ht="12.75" hidden="false" customHeight="false" outlineLevel="0" collapsed="false">
      <c r="E545" s="152"/>
    </row>
    <row r="546" customFormat="false" ht="12.75" hidden="false" customHeight="false" outlineLevel="0" collapsed="false">
      <c r="E546" s="152"/>
    </row>
    <row r="547" customFormat="false" ht="12.75" hidden="false" customHeight="false" outlineLevel="0" collapsed="false">
      <c r="E547" s="152"/>
    </row>
    <row r="548" customFormat="false" ht="12.75" hidden="false" customHeight="false" outlineLevel="0" collapsed="false">
      <c r="E548" s="152"/>
    </row>
    <row r="549" customFormat="false" ht="12.75" hidden="false" customHeight="false" outlineLevel="0" collapsed="false">
      <c r="E549" s="152"/>
    </row>
    <row r="550" customFormat="false" ht="12.75" hidden="false" customHeight="false" outlineLevel="0" collapsed="false">
      <c r="E550" s="152"/>
    </row>
    <row r="551" customFormat="false" ht="12.75" hidden="false" customHeight="false" outlineLevel="0" collapsed="false">
      <c r="E551" s="152"/>
    </row>
    <row r="552" customFormat="false" ht="12.75" hidden="false" customHeight="false" outlineLevel="0" collapsed="false">
      <c r="E552" s="152"/>
    </row>
    <row r="553" customFormat="false" ht="12.75" hidden="false" customHeight="false" outlineLevel="0" collapsed="false">
      <c r="E553" s="152"/>
    </row>
    <row r="554" customFormat="false" ht="12.75" hidden="false" customHeight="false" outlineLevel="0" collapsed="false">
      <c r="E554" s="152"/>
    </row>
    <row r="555" customFormat="false" ht="12.75" hidden="false" customHeight="false" outlineLevel="0" collapsed="false">
      <c r="E555" s="152"/>
    </row>
    <row r="556" customFormat="false" ht="12.75" hidden="false" customHeight="false" outlineLevel="0" collapsed="false">
      <c r="E556" s="152"/>
    </row>
    <row r="557" customFormat="false" ht="12.75" hidden="false" customHeight="false" outlineLevel="0" collapsed="false">
      <c r="E557" s="152"/>
    </row>
    <row r="558" customFormat="false" ht="12.75" hidden="false" customHeight="false" outlineLevel="0" collapsed="false">
      <c r="E558" s="152"/>
    </row>
    <row r="559" customFormat="false" ht="12.75" hidden="false" customHeight="false" outlineLevel="0" collapsed="false">
      <c r="E559" s="152"/>
    </row>
    <row r="560" customFormat="false" ht="12.75" hidden="false" customHeight="false" outlineLevel="0" collapsed="false">
      <c r="E560" s="152"/>
    </row>
    <row r="561" customFormat="false" ht="12.75" hidden="false" customHeight="false" outlineLevel="0" collapsed="false">
      <c r="E561" s="152"/>
    </row>
    <row r="562" customFormat="false" ht="12.75" hidden="false" customHeight="false" outlineLevel="0" collapsed="false">
      <c r="E562" s="152"/>
    </row>
    <row r="563" customFormat="false" ht="12.75" hidden="false" customHeight="false" outlineLevel="0" collapsed="false">
      <c r="E563" s="152"/>
    </row>
    <row r="564" customFormat="false" ht="12.75" hidden="false" customHeight="false" outlineLevel="0" collapsed="false">
      <c r="E564" s="152"/>
    </row>
    <row r="565" customFormat="false" ht="12.75" hidden="false" customHeight="false" outlineLevel="0" collapsed="false">
      <c r="E565" s="152"/>
    </row>
    <row r="566" customFormat="false" ht="12.75" hidden="false" customHeight="false" outlineLevel="0" collapsed="false">
      <c r="E566" s="152"/>
    </row>
    <row r="567" customFormat="false" ht="12.75" hidden="false" customHeight="false" outlineLevel="0" collapsed="false">
      <c r="E567" s="152"/>
    </row>
    <row r="568" customFormat="false" ht="12.75" hidden="false" customHeight="false" outlineLevel="0" collapsed="false">
      <c r="E568" s="152"/>
    </row>
    <row r="569" customFormat="false" ht="12.75" hidden="false" customHeight="false" outlineLevel="0" collapsed="false">
      <c r="E569" s="152"/>
    </row>
    <row r="570" customFormat="false" ht="12.75" hidden="false" customHeight="false" outlineLevel="0" collapsed="false">
      <c r="E570" s="152"/>
    </row>
    <row r="571" customFormat="false" ht="12.75" hidden="false" customHeight="false" outlineLevel="0" collapsed="false">
      <c r="E571" s="152"/>
    </row>
    <row r="572" customFormat="false" ht="12.75" hidden="false" customHeight="false" outlineLevel="0" collapsed="false">
      <c r="E572" s="152"/>
    </row>
    <row r="573" customFormat="false" ht="12.75" hidden="false" customHeight="false" outlineLevel="0" collapsed="false">
      <c r="E573" s="152"/>
    </row>
    <row r="574" customFormat="false" ht="12.75" hidden="false" customHeight="false" outlineLevel="0" collapsed="false">
      <c r="E574" s="152"/>
    </row>
    <row r="575" customFormat="false" ht="12.75" hidden="false" customHeight="false" outlineLevel="0" collapsed="false">
      <c r="E575" s="152"/>
    </row>
    <row r="576" customFormat="false" ht="12.75" hidden="false" customHeight="false" outlineLevel="0" collapsed="false">
      <c r="E576" s="152"/>
    </row>
    <row r="577" customFormat="false" ht="12.75" hidden="false" customHeight="false" outlineLevel="0" collapsed="false">
      <c r="E577" s="152"/>
    </row>
    <row r="578" customFormat="false" ht="12.75" hidden="false" customHeight="false" outlineLevel="0" collapsed="false">
      <c r="E578" s="152"/>
    </row>
    <row r="579" customFormat="false" ht="12.75" hidden="false" customHeight="false" outlineLevel="0" collapsed="false">
      <c r="E579" s="152"/>
    </row>
    <row r="580" customFormat="false" ht="12.75" hidden="false" customHeight="false" outlineLevel="0" collapsed="false">
      <c r="E580" s="152"/>
    </row>
    <row r="581" customFormat="false" ht="12.75" hidden="false" customHeight="false" outlineLevel="0" collapsed="false">
      <c r="E581" s="152"/>
    </row>
    <row r="582" customFormat="false" ht="12.75" hidden="false" customHeight="false" outlineLevel="0" collapsed="false">
      <c r="E582" s="152"/>
    </row>
    <row r="583" customFormat="false" ht="12.75" hidden="false" customHeight="false" outlineLevel="0" collapsed="false">
      <c r="E583" s="152"/>
    </row>
    <row r="584" customFormat="false" ht="12.75" hidden="false" customHeight="false" outlineLevel="0" collapsed="false">
      <c r="E584" s="152"/>
    </row>
    <row r="585" customFormat="false" ht="12.75" hidden="false" customHeight="false" outlineLevel="0" collapsed="false">
      <c r="E585" s="152"/>
    </row>
    <row r="586" customFormat="false" ht="12.75" hidden="false" customHeight="false" outlineLevel="0" collapsed="false">
      <c r="E586" s="152"/>
    </row>
    <row r="587" customFormat="false" ht="12.75" hidden="false" customHeight="false" outlineLevel="0" collapsed="false">
      <c r="E587" s="152"/>
    </row>
    <row r="588" customFormat="false" ht="12.75" hidden="false" customHeight="false" outlineLevel="0" collapsed="false">
      <c r="E588" s="152"/>
    </row>
    <row r="589" customFormat="false" ht="12.75" hidden="false" customHeight="false" outlineLevel="0" collapsed="false">
      <c r="E589" s="152"/>
    </row>
    <row r="590" customFormat="false" ht="12.75" hidden="false" customHeight="false" outlineLevel="0" collapsed="false">
      <c r="E590" s="152"/>
    </row>
    <row r="591" customFormat="false" ht="12.75" hidden="false" customHeight="false" outlineLevel="0" collapsed="false">
      <c r="E591" s="152"/>
    </row>
    <row r="592" customFormat="false" ht="12.75" hidden="false" customHeight="false" outlineLevel="0" collapsed="false">
      <c r="E592" s="152"/>
    </row>
    <row r="593" customFormat="false" ht="12.75" hidden="false" customHeight="false" outlineLevel="0" collapsed="false">
      <c r="E593" s="152"/>
    </row>
    <row r="594" customFormat="false" ht="12.75" hidden="false" customHeight="false" outlineLevel="0" collapsed="false">
      <c r="E594" s="152"/>
    </row>
    <row r="595" customFormat="false" ht="12.75" hidden="false" customHeight="false" outlineLevel="0" collapsed="false">
      <c r="E595" s="152"/>
    </row>
    <row r="596" customFormat="false" ht="12.75" hidden="false" customHeight="false" outlineLevel="0" collapsed="false">
      <c r="E596" s="152"/>
    </row>
    <row r="597" customFormat="false" ht="12.75" hidden="false" customHeight="false" outlineLevel="0" collapsed="false">
      <c r="E597" s="152"/>
    </row>
    <row r="598" customFormat="false" ht="12.75" hidden="false" customHeight="false" outlineLevel="0" collapsed="false">
      <c r="E598" s="152"/>
    </row>
    <row r="599" customFormat="false" ht="12.75" hidden="false" customHeight="false" outlineLevel="0" collapsed="false">
      <c r="E599" s="152"/>
    </row>
    <row r="600" customFormat="false" ht="12.75" hidden="false" customHeight="false" outlineLevel="0" collapsed="false">
      <c r="E600" s="152"/>
    </row>
    <row r="601" customFormat="false" ht="12.75" hidden="false" customHeight="false" outlineLevel="0" collapsed="false">
      <c r="E601" s="152"/>
    </row>
    <row r="602" customFormat="false" ht="12.75" hidden="false" customHeight="false" outlineLevel="0" collapsed="false">
      <c r="E602" s="152"/>
    </row>
    <row r="603" customFormat="false" ht="12.75" hidden="false" customHeight="false" outlineLevel="0" collapsed="false">
      <c r="E603" s="152"/>
    </row>
    <row r="604" customFormat="false" ht="12.75" hidden="false" customHeight="false" outlineLevel="0" collapsed="false">
      <c r="E604" s="152"/>
    </row>
    <row r="605" customFormat="false" ht="12.75" hidden="false" customHeight="false" outlineLevel="0" collapsed="false">
      <c r="E605" s="152"/>
    </row>
    <row r="606" customFormat="false" ht="12.75" hidden="false" customHeight="false" outlineLevel="0" collapsed="false">
      <c r="E606" s="152"/>
    </row>
    <row r="607" customFormat="false" ht="12.75" hidden="false" customHeight="false" outlineLevel="0" collapsed="false">
      <c r="E607" s="152"/>
    </row>
    <row r="608" customFormat="false" ht="12.75" hidden="false" customHeight="false" outlineLevel="0" collapsed="false">
      <c r="E608" s="152"/>
    </row>
    <row r="609" customFormat="false" ht="12.75" hidden="false" customHeight="false" outlineLevel="0" collapsed="false">
      <c r="E609" s="152"/>
    </row>
    <row r="610" customFormat="false" ht="12.75" hidden="false" customHeight="false" outlineLevel="0" collapsed="false">
      <c r="E610" s="152"/>
    </row>
    <row r="611" customFormat="false" ht="12.75" hidden="false" customHeight="false" outlineLevel="0" collapsed="false">
      <c r="E611" s="152"/>
    </row>
    <row r="612" customFormat="false" ht="12.75" hidden="false" customHeight="false" outlineLevel="0" collapsed="false">
      <c r="E612" s="152"/>
    </row>
    <row r="613" customFormat="false" ht="12.75" hidden="false" customHeight="false" outlineLevel="0" collapsed="false">
      <c r="E613" s="152"/>
    </row>
    <row r="614" customFormat="false" ht="12.75" hidden="false" customHeight="false" outlineLevel="0" collapsed="false">
      <c r="E614" s="152"/>
    </row>
    <row r="615" customFormat="false" ht="12.75" hidden="false" customHeight="false" outlineLevel="0" collapsed="false">
      <c r="E615" s="152"/>
    </row>
    <row r="616" customFormat="false" ht="12.75" hidden="false" customHeight="false" outlineLevel="0" collapsed="false">
      <c r="E616" s="152"/>
    </row>
    <row r="617" customFormat="false" ht="12.75" hidden="false" customHeight="false" outlineLevel="0" collapsed="false">
      <c r="E617" s="152"/>
    </row>
    <row r="618" customFormat="false" ht="12.75" hidden="false" customHeight="false" outlineLevel="0" collapsed="false">
      <c r="E618" s="152"/>
    </row>
    <row r="619" customFormat="false" ht="12.75" hidden="false" customHeight="false" outlineLevel="0" collapsed="false">
      <c r="E619" s="152"/>
    </row>
    <row r="620" customFormat="false" ht="12.75" hidden="false" customHeight="false" outlineLevel="0" collapsed="false">
      <c r="E620" s="152"/>
    </row>
    <row r="621" customFormat="false" ht="12.75" hidden="false" customHeight="false" outlineLevel="0" collapsed="false">
      <c r="E621" s="152"/>
    </row>
    <row r="622" customFormat="false" ht="12.75" hidden="false" customHeight="false" outlineLevel="0" collapsed="false">
      <c r="E622" s="152"/>
    </row>
    <row r="623" customFormat="false" ht="12.75" hidden="false" customHeight="false" outlineLevel="0" collapsed="false">
      <c r="E623" s="152"/>
    </row>
    <row r="624" customFormat="false" ht="12.75" hidden="false" customHeight="false" outlineLevel="0" collapsed="false">
      <c r="E624" s="152"/>
    </row>
    <row r="625" customFormat="false" ht="12.75" hidden="false" customHeight="false" outlineLevel="0" collapsed="false">
      <c r="E625" s="152"/>
    </row>
    <row r="626" customFormat="false" ht="12.75" hidden="false" customHeight="false" outlineLevel="0" collapsed="false">
      <c r="E626" s="152"/>
    </row>
    <row r="627" customFormat="false" ht="12.75" hidden="false" customHeight="false" outlineLevel="0" collapsed="false">
      <c r="E627" s="152"/>
    </row>
    <row r="628" customFormat="false" ht="12.75" hidden="false" customHeight="false" outlineLevel="0" collapsed="false">
      <c r="E628" s="152"/>
    </row>
    <row r="629" customFormat="false" ht="12.75" hidden="false" customHeight="false" outlineLevel="0" collapsed="false">
      <c r="E629" s="152"/>
    </row>
    <row r="630" customFormat="false" ht="12.75" hidden="false" customHeight="false" outlineLevel="0" collapsed="false">
      <c r="E630" s="152"/>
    </row>
    <row r="631" customFormat="false" ht="12.75" hidden="false" customHeight="false" outlineLevel="0" collapsed="false">
      <c r="E631" s="152"/>
    </row>
    <row r="632" customFormat="false" ht="12.75" hidden="false" customHeight="false" outlineLevel="0" collapsed="false">
      <c r="E632" s="152"/>
    </row>
    <row r="633" customFormat="false" ht="12.75" hidden="false" customHeight="false" outlineLevel="0" collapsed="false">
      <c r="E633" s="152"/>
    </row>
    <row r="634" customFormat="false" ht="12.75" hidden="false" customHeight="false" outlineLevel="0" collapsed="false">
      <c r="E634" s="152"/>
    </row>
    <row r="635" customFormat="false" ht="12.75" hidden="false" customHeight="false" outlineLevel="0" collapsed="false">
      <c r="E635" s="152"/>
    </row>
    <row r="636" customFormat="false" ht="12.75" hidden="false" customHeight="false" outlineLevel="0" collapsed="false">
      <c r="E636" s="152"/>
    </row>
    <row r="637" customFormat="false" ht="12.75" hidden="false" customHeight="false" outlineLevel="0" collapsed="false">
      <c r="E637" s="152"/>
    </row>
    <row r="638" customFormat="false" ht="12.75" hidden="false" customHeight="false" outlineLevel="0" collapsed="false">
      <c r="E638" s="152"/>
    </row>
    <row r="639" customFormat="false" ht="12.75" hidden="false" customHeight="false" outlineLevel="0" collapsed="false">
      <c r="E639" s="152"/>
    </row>
    <row r="640" customFormat="false" ht="12.75" hidden="false" customHeight="false" outlineLevel="0" collapsed="false">
      <c r="E640" s="152"/>
    </row>
    <row r="641" customFormat="false" ht="12.75" hidden="false" customHeight="false" outlineLevel="0" collapsed="false">
      <c r="E641" s="152"/>
    </row>
    <row r="642" customFormat="false" ht="12.75" hidden="false" customHeight="false" outlineLevel="0" collapsed="false">
      <c r="E642" s="152"/>
    </row>
    <row r="643" customFormat="false" ht="12.75" hidden="false" customHeight="false" outlineLevel="0" collapsed="false">
      <c r="E643" s="152"/>
    </row>
    <row r="644" customFormat="false" ht="12.75" hidden="false" customHeight="false" outlineLevel="0" collapsed="false">
      <c r="E644" s="152"/>
    </row>
    <row r="645" customFormat="false" ht="12.75" hidden="false" customHeight="false" outlineLevel="0" collapsed="false">
      <c r="E645" s="152"/>
    </row>
    <row r="646" customFormat="false" ht="12.75" hidden="false" customHeight="false" outlineLevel="0" collapsed="false">
      <c r="E646" s="152"/>
    </row>
    <row r="647" customFormat="false" ht="12.75" hidden="false" customHeight="false" outlineLevel="0" collapsed="false">
      <c r="E647" s="152"/>
    </row>
    <row r="648" customFormat="false" ht="12.75" hidden="false" customHeight="false" outlineLevel="0" collapsed="false">
      <c r="E648" s="152"/>
    </row>
    <row r="649" customFormat="false" ht="12.75" hidden="false" customHeight="false" outlineLevel="0" collapsed="false">
      <c r="E649" s="152"/>
    </row>
    <row r="650" customFormat="false" ht="12.75" hidden="false" customHeight="false" outlineLevel="0" collapsed="false">
      <c r="E650" s="152"/>
    </row>
    <row r="651" customFormat="false" ht="12.75" hidden="false" customHeight="false" outlineLevel="0" collapsed="false">
      <c r="E651" s="152"/>
    </row>
    <row r="652" customFormat="false" ht="12.75" hidden="false" customHeight="false" outlineLevel="0" collapsed="false">
      <c r="E652" s="152"/>
    </row>
    <row r="653" customFormat="false" ht="12.75" hidden="false" customHeight="false" outlineLevel="0" collapsed="false">
      <c r="E653" s="152"/>
    </row>
    <row r="654" customFormat="false" ht="12.75" hidden="false" customHeight="false" outlineLevel="0" collapsed="false">
      <c r="E654" s="152"/>
    </row>
    <row r="655" customFormat="false" ht="12.75" hidden="false" customHeight="false" outlineLevel="0" collapsed="false">
      <c r="E655" s="152"/>
    </row>
    <row r="656" customFormat="false" ht="12.75" hidden="false" customHeight="false" outlineLevel="0" collapsed="false">
      <c r="E656" s="152"/>
    </row>
    <row r="657" customFormat="false" ht="12.75" hidden="false" customHeight="false" outlineLevel="0" collapsed="false">
      <c r="E657" s="152"/>
    </row>
    <row r="658" customFormat="false" ht="12.75" hidden="false" customHeight="false" outlineLevel="0" collapsed="false">
      <c r="E658" s="152"/>
    </row>
    <row r="659" customFormat="false" ht="12.75" hidden="false" customHeight="false" outlineLevel="0" collapsed="false">
      <c r="E659" s="152"/>
    </row>
    <row r="660" customFormat="false" ht="12.75" hidden="false" customHeight="false" outlineLevel="0" collapsed="false">
      <c r="E660" s="152"/>
    </row>
    <row r="661" customFormat="false" ht="12.75" hidden="false" customHeight="false" outlineLevel="0" collapsed="false">
      <c r="E661" s="152"/>
    </row>
    <row r="662" customFormat="false" ht="12.75" hidden="false" customHeight="false" outlineLevel="0" collapsed="false">
      <c r="E662" s="152"/>
    </row>
    <row r="663" customFormat="false" ht="12.75" hidden="false" customHeight="false" outlineLevel="0" collapsed="false">
      <c r="E663" s="152"/>
    </row>
    <row r="664" customFormat="false" ht="12.75" hidden="false" customHeight="false" outlineLevel="0" collapsed="false">
      <c r="E664" s="152"/>
    </row>
    <row r="665" customFormat="false" ht="12.75" hidden="false" customHeight="false" outlineLevel="0" collapsed="false">
      <c r="E665" s="152"/>
    </row>
    <row r="666" customFormat="false" ht="12.75" hidden="false" customHeight="false" outlineLevel="0" collapsed="false">
      <c r="E666" s="152"/>
    </row>
    <row r="667" customFormat="false" ht="12.75" hidden="false" customHeight="false" outlineLevel="0" collapsed="false">
      <c r="E667" s="152"/>
    </row>
    <row r="668" customFormat="false" ht="12.75" hidden="false" customHeight="false" outlineLevel="0" collapsed="false">
      <c r="E668" s="152"/>
    </row>
    <row r="669" customFormat="false" ht="12.75" hidden="false" customHeight="false" outlineLevel="0" collapsed="false">
      <c r="E669" s="152"/>
    </row>
    <row r="670" customFormat="false" ht="12.75" hidden="false" customHeight="false" outlineLevel="0" collapsed="false">
      <c r="E670" s="152"/>
    </row>
    <row r="671" customFormat="false" ht="12.75" hidden="false" customHeight="false" outlineLevel="0" collapsed="false">
      <c r="E671" s="152"/>
    </row>
    <row r="672" customFormat="false" ht="12.75" hidden="false" customHeight="false" outlineLevel="0" collapsed="false">
      <c r="E672" s="152"/>
    </row>
    <row r="673" customFormat="false" ht="12.75" hidden="false" customHeight="false" outlineLevel="0" collapsed="false">
      <c r="E673" s="152"/>
    </row>
    <row r="674" customFormat="false" ht="12.75" hidden="false" customHeight="false" outlineLevel="0" collapsed="false">
      <c r="E674" s="152"/>
    </row>
    <row r="675" customFormat="false" ht="12.75" hidden="false" customHeight="false" outlineLevel="0" collapsed="false">
      <c r="E675" s="152"/>
    </row>
    <row r="676" customFormat="false" ht="12.75" hidden="false" customHeight="false" outlineLevel="0" collapsed="false">
      <c r="E676" s="152"/>
    </row>
    <row r="677" customFormat="false" ht="12.75" hidden="false" customHeight="false" outlineLevel="0" collapsed="false">
      <c r="E677" s="152"/>
    </row>
    <row r="678" customFormat="false" ht="12.75" hidden="false" customHeight="false" outlineLevel="0" collapsed="false">
      <c r="E678" s="152"/>
    </row>
    <row r="679" customFormat="false" ht="12.75" hidden="false" customHeight="false" outlineLevel="0" collapsed="false">
      <c r="E679" s="152"/>
    </row>
    <row r="680" customFormat="false" ht="12.75" hidden="false" customHeight="false" outlineLevel="0" collapsed="false">
      <c r="E680" s="152"/>
    </row>
    <row r="681" customFormat="false" ht="12.75" hidden="false" customHeight="false" outlineLevel="0" collapsed="false">
      <c r="E681" s="152"/>
    </row>
    <row r="682" customFormat="false" ht="12.75" hidden="false" customHeight="false" outlineLevel="0" collapsed="false">
      <c r="E682" s="152"/>
    </row>
    <row r="683" customFormat="false" ht="12.75" hidden="false" customHeight="false" outlineLevel="0" collapsed="false">
      <c r="E683" s="152"/>
    </row>
    <row r="684" customFormat="false" ht="12.75" hidden="false" customHeight="false" outlineLevel="0" collapsed="false">
      <c r="E684" s="152"/>
    </row>
    <row r="685" customFormat="false" ht="12.75" hidden="false" customHeight="false" outlineLevel="0" collapsed="false">
      <c r="E685" s="152"/>
    </row>
    <row r="686" customFormat="false" ht="12.75" hidden="false" customHeight="false" outlineLevel="0" collapsed="false">
      <c r="E686" s="152"/>
    </row>
    <row r="687" customFormat="false" ht="12.75" hidden="false" customHeight="false" outlineLevel="0" collapsed="false">
      <c r="E687" s="152"/>
    </row>
    <row r="688" customFormat="false" ht="12.75" hidden="false" customHeight="false" outlineLevel="0" collapsed="false">
      <c r="E688" s="152"/>
    </row>
    <row r="689" customFormat="false" ht="12.75" hidden="false" customHeight="false" outlineLevel="0" collapsed="false">
      <c r="E689" s="152"/>
    </row>
    <row r="690" customFormat="false" ht="12.75" hidden="false" customHeight="false" outlineLevel="0" collapsed="false">
      <c r="E690" s="152"/>
    </row>
    <row r="691" customFormat="false" ht="12.75" hidden="false" customHeight="false" outlineLevel="0" collapsed="false">
      <c r="E691" s="152"/>
    </row>
    <row r="692" customFormat="false" ht="12.75" hidden="false" customHeight="false" outlineLevel="0" collapsed="false">
      <c r="E692" s="152"/>
    </row>
    <row r="693" customFormat="false" ht="12.75" hidden="false" customHeight="false" outlineLevel="0" collapsed="false">
      <c r="E693" s="152"/>
    </row>
    <row r="694" customFormat="false" ht="12.75" hidden="false" customHeight="false" outlineLevel="0" collapsed="false">
      <c r="E694" s="152"/>
    </row>
    <row r="695" customFormat="false" ht="12.75" hidden="false" customHeight="false" outlineLevel="0" collapsed="false">
      <c r="E695" s="152"/>
    </row>
    <row r="696" customFormat="false" ht="12.75" hidden="false" customHeight="false" outlineLevel="0" collapsed="false">
      <c r="E696" s="152"/>
    </row>
    <row r="697" customFormat="false" ht="12.75" hidden="false" customHeight="false" outlineLevel="0" collapsed="false">
      <c r="E697" s="152"/>
    </row>
    <row r="698" customFormat="false" ht="12.75" hidden="false" customHeight="false" outlineLevel="0" collapsed="false">
      <c r="E698" s="152"/>
    </row>
    <row r="699" customFormat="false" ht="12.75" hidden="false" customHeight="false" outlineLevel="0" collapsed="false">
      <c r="E699" s="152"/>
    </row>
    <row r="700" customFormat="false" ht="12.75" hidden="false" customHeight="false" outlineLevel="0" collapsed="false">
      <c r="E700" s="152"/>
    </row>
    <row r="701" customFormat="false" ht="12.75" hidden="false" customHeight="false" outlineLevel="0" collapsed="false">
      <c r="E701" s="152"/>
    </row>
    <row r="702" customFormat="false" ht="12.75" hidden="false" customHeight="false" outlineLevel="0" collapsed="false">
      <c r="E702" s="152"/>
    </row>
    <row r="703" customFormat="false" ht="12.75" hidden="false" customHeight="false" outlineLevel="0" collapsed="false">
      <c r="E703" s="152"/>
    </row>
    <row r="704" customFormat="false" ht="12.75" hidden="false" customHeight="false" outlineLevel="0" collapsed="false">
      <c r="E704" s="152"/>
    </row>
    <row r="705" customFormat="false" ht="12.75" hidden="false" customHeight="false" outlineLevel="0" collapsed="false">
      <c r="E705" s="152"/>
    </row>
    <row r="706" customFormat="false" ht="12.75" hidden="false" customHeight="false" outlineLevel="0" collapsed="false">
      <c r="E706" s="152"/>
    </row>
    <row r="707" customFormat="false" ht="12.75" hidden="false" customHeight="false" outlineLevel="0" collapsed="false">
      <c r="E707" s="152"/>
    </row>
    <row r="708" customFormat="false" ht="12.75" hidden="false" customHeight="false" outlineLevel="0" collapsed="false">
      <c r="E708" s="152"/>
    </row>
    <row r="709" customFormat="false" ht="12.75" hidden="false" customHeight="false" outlineLevel="0" collapsed="false">
      <c r="E709" s="152"/>
    </row>
    <row r="710" customFormat="false" ht="12.75" hidden="false" customHeight="false" outlineLevel="0" collapsed="false">
      <c r="E710" s="152"/>
    </row>
    <row r="711" customFormat="false" ht="12.75" hidden="false" customHeight="false" outlineLevel="0" collapsed="false">
      <c r="E711" s="152"/>
    </row>
    <row r="712" customFormat="false" ht="12.75" hidden="false" customHeight="false" outlineLevel="0" collapsed="false">
      <c r="E712" s="152"/>
    </row>
    <row r="713" customFormat="false" ht="12.75" hidden="false" customHeight="false" outlineLevel="0" collapsed="false">
      <c r="E713" s="152"/>
    </row>
    <row r="714" customFormat="false" ht="12.75" hidden="false" customHeight="false" outlineLevel="0" collapsed="false">
      <c r="E714" s="152"/>
    </row>
    <row r="715" customFormat="false" ht="12.75" hidden="false" customHeight="false" outlineLevel="0" collapsed="false">
      <c r="E715" s="152"/>
    </row>
    <row r="716" customFormat="false" ht="12.75" hidden="false" customHeight="false" outlineLevel="0" collapsed="false">
      <c r="E716" s="152"/>
    </row>
    <row r="717" customFormat="false" ht="12.75" hidden="false" customHeight="false" outlineLevel="0" collapsed="false">
      <c r="E717" s="152"/>
    </row>
    <row r="718" customFormat="false" ht="12.75" hidden="false" customHeight="false" outlineLevel="0" collapsed="false">
      <c r="E718" s="152"/>
    </row>
    <row r="719" customFormat="false" ht="12.75" hidden="false" customHeight="false" outlineLevel="0" collapsed="false">
      <c r="E719" s="152"/>
    </row>
    <row r="720" customFormat="false" ht="12.75" hidden="false" customHeight="false" outlineLevel="0" collapsed="false">
      <c r="E720" s="152"/>
    </row>
    <row r="721" customFormat="false" ht="12.75" hidden="false" customHeight="false" outlineLevel="0" collapsed="false">
      <c r="E721" s="152"/>
    </row>
    <row r="722" customFormat="false" ht="12.75" hidden="false" customHeight="false" outlineLevel="0" collapsed="false">
      <c r="E722" s="152"/>
    </row>
    <row r="723" customFormat="false" ht="12.75" hidden="false" customHeight="false" outlineLevel="0" collapsed="false">
      <c r="E723" s="152"/>
    </row>
    <row r="724" customFormat="false" ht="12.75" hidden="false" customHeight="false" outlineLevel="0" collapsed="false">
      <c r="E724" s="152"/>
    </row>
    <row r="725" customFormat="false" ht="12.75" hidden="false" customHeight="false" outlineLevel="0" collapsed="false">
      <c r="E725" s="152"/>
    </row>
    <row r="726" customFormat="false" ht="12.75" hidden="false" customHeight="false" outlineLevel="0" collapsed="false">
      <c r="E726" s="152"/>
    </row>
    <row r="727" customFormat="false" ht="12.75" hidden="false" customHeight="false" outlineLevel="0" collapsed="false">
      <c r="E727" s="152"/>
    </row>
    <row r="728" customFormat="false" ht="12.75" hidden="false" customHeight="false" outlineLevel="0" collapsed="false">
      <c r="E728" s="152"/>
    </row>
    <row r="729" customFormat="false" ht="12.75" hidden="false" customHeight="false" outlineLevel="0" collapsed="false">
      <c r="E729" s="152"/>
    </row>
    <row r="730" customFormat="false" ht="12.75" hidden="false" customHeight="false" outlineLevel="0" collapsed="false">
      <c r="E730" s="152"/>
    </row>
    <row r="731" customFormat="false" ht="12.75" hidden="false" customHeight="false" outlineLevel="0" collapsed="false">
      <c r="E731" s="152"/>
    </row>
    <row r="732" customFormat="false" ht="12.75" hidden="false" customHeight="false" outlineLevel="0" collapsed="false">
      <c r="E732" s="152"/>
    </row>
    <row r="733" customFormat="false" ht="12.75" hidden="false" customHeight="false" outlineLevel="0" collapsed="false">
      <c r="E733" s="152"/>
    </row>
    <row r="734" customFormat="false" ht="12.75" hidden="false" customHeight="false" outlineLevel="0" collapsed="false">
      <c r="E734" s="152"/>
    </row>
    <row r="735" customFormat="false" ht="12.75" hidden="false" customHeight="false" outlineLevel="0" collapsed="false">
      <c r="E735" s="152"/>
    </row>
    <row r="736" customFormat="false" ht="12.75" hidden="false" customHeight="false" outlineLevel="0" collapsed="false">
      <c r="E736" s="152"/>
    </row>
    <row r="737" customFormat="false" ht="12.75" hidden="false" customHeight="false" outlineLevel="0" collapsed="false">
      <c r="E737" s="152"/>
    </row>
    <row r="738" customFormat="false" ht="12.75" hidden="false" customHeight="false" outlineLevel="0" collapsed="false">
      <c r="E738" s="152"/>
    </row>
    <row r="739" customFormat="false" ht="12.75" hidden="false" customHeight="false" outlineLevel="0" collapsed="false">
      <c r="E739" s="152"/>
    </row>
    <row r="740" customFormat="false" ht="12.75" hidden="false" customHeight="false" outlineLevel="0" collapsed="false">
      <c r="E740" s="152"/>
    </row>
    <row r="741" customFormat="false" ht="12.75" hidden="false" customHeight="false" outlineLevel="0" collapsed="false">
      <c r="E741" s="152"/>
    </row>
    <row r="742" customFormat="false" ht="12.75" hidden="false" customHeight="false" outlineLevel="0" collapsed="false">
      <c r="E742" s="152"/>
    </row>
    <row r="743" customFormat="false" ht="12.75" hidden="false" customHeight="false" outlineLevel="0" collapsed="false">
      <c r="E743" s="152"/>
    </row>
    <row r="744" customFormat="false" ht="12.75" hidden="false" customHeight="false" outlineLevel="0" collapsed="false">
      <c r="E744" s="152"/>
    </row>
    <row r="745" customFormat="false" ht="12.75" hidden="false" customHeight="false" outlineLevel="0" collapsed="false">
      <c r="E745" s="152"/>
    </row>
    <row r="746" customFormat="false" ht="12.75" hidden="false" customHeight="false" outlineLevel="0" collapsed="false">
      <c r="E746" s="152"/>
    </row>
    <row r="747" customFormat="false" ht="12.75" hidden="false" customHeight="false" outlineLevel="0" collapsed="false">
      <c r="E747" s="152"/>
    </row>
    <row r="748" customFormat="false" ht="12.75" hidden="false" customHeight="false" outlineLevel="0" collapsed="false">
      <c r="E748" s="152"/>
    </row>
    <row r="749" customFormat="false" ht="12.75" hidden="false" customHeight="false" outlineLevel="0" collapsed="false">
      <c r="E749" s="152"/>
    </row>
    <row r="750" customFormat="false" ht="12.75" hidden="false" customHeight="false" outlineLevel="0" collapsed="false">
      <c r="E750" s="152"/>
    </row>
    <row r="751" customFormat="false" ht="12.75" hidden="false" customHeight="false" outlineLevel="0" collapsed="false">
      <c r="E751" s="152"/>
    </row>
    <row r="752" customFormat="false" ht="12.75" hidden="false" customHeight="false" outlineLevel="0" collapsed="false">
      <c r="E752" s="152"/>
    </row>
    <row r="753" customFormat="false" ht="12.75" hidden="false" customHeight="false" outlineLevel="0" collapsed="false">
      <c r="E753" s="152"/>
    </row>
    <row r="754" customFormat="false" ht="12.75" hidden="false" customHeight="false" outlineLevel="0" collapsed="false">
      <c r="E754" s="152"/>
    </row>
    <row r="755" customFormat="false" ht="12.75" hidden="false" customHeight="false" outlineLevel="0" collapsed="false">
      <c r="E755" s="152"/>
    </row>
    <row r="756" customFormat="false" ht="12.75" hidden="false" customHeight="false" outlineLevel="0" collapsed="false">
      <c r="E756" s="152"/>
    </row>
    <row r="757" customFormat="false" ht="12.75" hidden="false" customHeight="false" outlineLevel="0" collapsed="false">
      <c r="E757" s="152"/>
    </row>
    <row r="758" customFormat="false" ht="12.75" hidden="false" customHeight="false" outlineLevel="0" collapsed="false">
      <c r="E758" s="152"/>
    </row>
    <row r="759" customFormat="false" ht="12.75" hidden="false" customHeight="false" outlineLevel="0" collapsed="false">
      <c r="E759" s="152"/>
    </row>
    <row r="760" customFormat="false" ht="12.75" hidden="false" customHeight="false" outlineLevel="0" collapsed="false">
      <c r="E760" s="152"/>
    </row>
    <row r="761" customFormat="false" ht="12.75" hidden="false" customHeight="false" outlineLevel="0" collapsed="false">
      <c r="E761" s="152"/>
    </row>
    <row r="762" customFormat="false" ht="12.75" hidden="false" customHeight="false" outlineLevel="0" collapsed="false">
      <c r="E762" s="152"/>
    </row>
    <row r="763" customFormat="false" ht="12.75" hidden="false" customHeight="false" outlineLevel="0" collapsed="false">
      <c r="E763" s="152"/>
    </row>
    <row r="764" customFormat="false" ht="12.75" hidden="false" customHeight="false" outlineLevel="0" collapsed="false">
      <c r="E764" s="152"/>
    </row>
    <row r="765" customFormat="false" ht="12.75" hidden="false" customHeight="false" outlineLevel="0" collapsed="false">
      <c r="E765" s="152"/>
    </row>
    <row r="766" customFormat="false" ht="12.75" hidden="false" customHeight="false" outlineLevel="0" collapsed="false">
      <c r="E766" s="152"/>
    </row>
    <row r="767" customFormat="false" ht="12.75" hidden="false" customHeight="false" outlineLevel="0" collapsed="false">
      <c r="E767" s="152"/>
    </row>
    <row r="768" customFormat="false" ht="12.75" hidden="false" customHeight="false" outlineLevel="0" collapsed="false">
      <c r="E768" s="152"/>
    </row>
    <row r="769" customFormat="false" ht="12.75" hidden="false" customHeight="false" outlineLevel="0" collapsed="false">
      <c r="E769" s="152"/>
    </row>
    <row r="770" customFormat="false" ht="12.75" hidden="false" customHeight="false" outlineLevel="0" collapsed="false">
      <c r="E770" s="152"/>
    </row>
    <row r="771" customFormat="false" ht="12.75" hidden="false" customHeight="false" outlineLevel="0" collapsed="false">
      <c r="E771" s="152"/>
    </row>
    <row r="772" customFormat="false" ht="12.75" hidden="false" customHeight="false" outlineLevel="0" collapsed="false">
      <c r="E772" s="152"/>
    </row>
    <row r="773" customFormat="false" ht="12.75" hidden="false" customHeight="false" outlineLevel="0" collapsed="false">
      <c r="E773" s="152"/>
    </row>
    <row r="774" customFormat="false" ht="12.75" hidden="false" customHeight="false" outlineLevel="0" collapsed="false">
      <c r="E774" s="152"/>
    </row>
    <row r="775" customFormat="false" ht="12.75" hidden="false" customHeight="false" outlineLevel="0" collapsed="false">
      <c r="E775" s="152"/>
    </row>
    <row r="776" customFormat="false" ht="12.75" hidden="false" customHeight="false" outlineLevel="0" collapsed="false">
      <c r="E776" s="152"/>
    </row>
    <row r="777" customFormat="false" ht="12.75" hidden="false" customHeight="false" outlineLevel="0" collapsed="false">
      <c r="E777" s="152"/>
    </row>
    <row r="778" customFormat="false" ht="12.75" hidden="false" customHeight="false" outlineLevel="0" collapsed="false">
      <c r="E778" s="152"/>
    </row>
    <row r="779" customFormat="false" ht="12.75" hidden="false" customHeight="false" outlineLevel="0" collapsed="false">
      <c r="E779" s="152"/>
    </row>
    <row r="780" customFormat="false" ht="12.75" hidden="false" customHeight="false" outlineLevel="0" collapsed="false">
      <c r="E780" s="152"/>
    </row>
    <row r="781" customFormat="false" ht="12.75" hidden="false" customHeight="false" outlineLevel="0" collapsed="false">
      <c r="E781" s="152"/>
    </row>
    <row r="782" customFormat="false" ht="12.75" hidden="false" customHeight="false" outlineLevel="0" collapsed="false">
      <c r="E782" s="152"/>
    </row>
    <row r="783" customFormat="false" ht="12.75" hidden="false" customHeight="false" outlineLevel="0" collapsed="false">
      <c r="E783" s="152"/>
    </row>
    <row r="784" customFormat="false" ht="12.75" hidden="false" customHeight="false" outlineLevel="0" collapsed="false">
      <c r="E784" s="152"/>
    </row>
    <row r="785" customFormat="false" ht="12.75" hidden="false" customHeight="false" outlineLevel="0" collapsed="false">
      <c r="E785" s="152"/>
    </row>
    <row r="786" customFormat="false" ht="12.75" hidden="false" customHeight="false" outlineLevel="0" collapsed="false">
      <c r="E786" s="152"/>
    </row>
    <row r="787" customFormat="false" ht="12.75" hidden="false" customHeight="false" outlineLevel="0" collapsed="false">
      <c r="E787" s="152"/>
    </row>
    <row r="788" customFormat="false" ht="12.75" hidden="false" customHeight="false" outlineLevel="0" collapsed="false">
      <c r="E788" s="152"/>
    </row>
    <row r="789" customFormat="false" ht="12.75" hidden="false" customHeight="false" outlineLevel="0" collapsed="false">
      <c r="E789" s="152"/>
    </row>
    <row r="790" customFormat="false" ht="12.75" hidden="false" customHeight="false" outlineLevel="0" collapsed="false">
      <c r="E790" s="152"/>
    </row>
    <row r="791" customFormat="false" ht="12.75" hidden="false" customHeight="false" outlineLevel="0" collapsed="false">
      <c r="E791" s="152"/>
    </row>
    <row r="792" customFormat="false" ht="12.75" hidden="false" customHeight="false" outlineLevel="0" collapsed="false">
      <c r="E792" s="152"/>
    </row>
    <row r="793" customFormat="false" ht="12.75" hidden="false" customHeight="false" outlineLevel="0" collapsed="false">
      <c r="E793" s="152"/>
    </row>
    <row r="794" customFormat="false" ht="12.75" hidden="false" customHeight="false" outlineLevel="0" collapsed="false">
      <c r="E794" s="152"/>
    </row>
    <row r="795" customFormat="false" ht="12.75" hidden="false" customHeight="false" outlineLevel="0" collapsed="false">
      <c r="E795" s="152"/>
    </row>
    <row r="796" customFormat="false" ht="12.75" hidden="false" customHeight="false" outlineLevel="0" collapsed="false">
      <c r="E796" s="152"/>
    </row>
    <row r="797" customFormat="false" ht="12.75" hidden="false" customHeight="false" outlineLevel="0" collapsed="false">
      <c r="E797" s="152"/>
    </row>
    <row r="798" customFormat="false" ht="12.75" hidden="false" customHeight="false" outlineLevel="0" collapsed="false">
      <c r="E798" s="152"/>
    </row>
    <row r="799" customFormat="false" ht="12.75" hidden="false" customHeight="false" outlineLevel="0" collapsed="false">
      <c r="E799" s="152"/>
    </row>
    <row r="800" customFormat="false" ht="12.75" hidden="false" customHeight="false" outlineLevel="0" collapsed="false">
      <c r="E800" s="152"/>
    </row>
    <row r="801" customFormat="false" ht="12.75" hidden="false" customHeight="false" outlineLevel="0" collapsed="false">
      <c r="E801" s="152"/>
    </row>
    <row r="802" customFormat="false" ht="12.75" hidden="false" customHeight="false" outlineLevel="0" collapsed="false">
      <c r="E802" s="152"/>
    </row>
    <row r="803" customFormat="false" ht="12.75" hidden="false" customHeight="false" outlineLevel="0" collapsed="false">
      <c r="E803" s="152"/>
    </row>
    <row r="804" customFormat="false" ht="12.75" hidden="false" customHeight="false" outlineLevel="0" collapsed="false">
      <c r="E804" s="152"/>
    </row>
    <row r="805" customFormat="false" ht="12.75" hidden="false" customHeight="false" outlineLevel="0" collapsed="false">
      <c r="E805" s="152"/>
    </row>
    <row r="806" customFormat="false" ht="12.75" hidden="false" customHeight="false" outlineLevel="0" collapsed="false">
      <c r="E806" s="152"/>
    </row>
    <row r="807" customFormat="false" ht="12.75" hidden="false" customHeight="false" outlineLevel="0" collapsed="false">
      <c r="E807" s="152"/>
    </row>
    <row r="808" customFormat="false" ht="12.75" hidden="false" customHeight="false" outlineLevel="0" collapsed="false">
      <c r="E808" s="152"/>
    </row>
    <row r="809" customFormat="false" ht="12.75" hidden="false" customHeight="false" outlineLevel="0" collapsed="false">
      <c r="E809" s="152"/>
    </row>
    <row r="810" customFormat="false" ht="12.75" hidden="false" customHeight="false" outlineLevel="0" collapsed="false">
      <c r="E810" s="152"/>
    </row>
    <row r="811" customFormat="false" ht="12.75" hidden="false" customHeight="false" outlineLevel="0" collapsed="false">
      <c r="E811" s="152"/>
    </row>
    <row r="812" customFormat="false" ht="12.75" hidden="false" customHeight="false" outlineLevel="0" collapsed="false">
      <c r="E812" s="152"/>
    </row>
    <row r="813" customFormat="false" ht="12.75" hidden="false" customHeight="false" outlineLevel="0" collapsed="false">
      <c r="E813" s="152"/>
    </row>
    <row r="814" customFormat="false" ht="12.75" hidden="false" customHeight="false" outlineLevel="0" collapsed="false">
      <c r="E814" s="152"/>
    </row>
    <row r="815" customFormat="false" ht="12.75" hidden="false" customHeight="false" outlineLevel="0" collapsed="false">
      <c r="E815" s="152"/>
    </row>
    <row r="816" customFormat="false" ht="12.75" hidden="false" customHeight="false" outlineLevel="0" collapsed="false">
      <c r="E816" s="152"/>
    </row>
    <row r="817" customFormat="false" ht="12.75" hidden="false" customHeight="false" outlineLevel="0" collapsed="false">
      <c r="E817" s="152"/>
    </row>
    <row r="818" customFormat="false" ht="12.75" hidden="false" customHeight="false" outlineLevel="0" collapsed="false">
      <c r="E818" s="152"/>
    </row>
    <row r="819" customFormat="false" ht="12.75" hidden="false" customHeight="false" outlineLevel="0" collapsed="false">
      <c r="E819" s="152"/>
    </row>
    <row r="820" customFormat="false" ht="12.75" hidden="false" customHeight="false" outlineLevel="0" collapsed="false">
      <c r="E820" s="152"/>
    </row>
    <row r="821" customFormat="false" ht="12.75" hidden="false" customHeight="false" outlineLevel="0" collapsed="false">
      <c r="E821" s="152"/>
    </row>
    <row r="822" customFormat="false" ht="12.75" hidden="false" customHeight="false" outlineLevel="0" collapsed="false">
      <c r="E822" s="152"/>
    </row>
    <row r="823" customFormat="false" ht="12.75" hidden="false" customHeight="false" outlineLevel="0" collapsed="false">
      <c r="E823" s="152"/>
    </row>
    <row r="824" customFormat="false" ht="12.75" hidden="false" customHeight="false" outlineLevel="0" collapsed="false">
      <c r="E824" s="152"/>
    </row>
    <row r="825" customFormat="false" ht="12.75" hidden="false" customHeight="false" outlineLevel="0" collapsed="false">
      <c r="E825" s="152"/>
    </row>
    <row r="826" customFormat="false" ht="12.75" hidden="false" customHeight="false" outlineLevel="0" collapsed="false">
      <c r="E826" s="152"/>
    </row>
    <row r="827" customFormat="false" ht="12.75" hidden="false" customHeight="false" outlineLevel="0" collapsed="false">
      <c r="E827" s="152"/>
    </row>
    <row r="828" customFormat="false" ht="12.75" hidden="false" customHeight="false" outlineLevel="0" collapsed="false">
      <c r="E828" s="152"/>
    </row>
    <row r="829" customFormat="false" ht="12.75" hidden="false" customHeight="false" outlineLevel="0" collapsed="false">
      <c r="E829" s="152"/>
    </row>
    <row r="830" customFormat="false" ht="12.75" hidden="false" customHeight="false" outlineLevel="0" collapsed="false">
      <c r="E830" s="152"/>
    </row>
    <row r="831" customFormat="false" ht="12.75" hidden="false" customHeight="false" outlineLevel="0" collapsed="false">
      <c r="E831" s="152"/>
    </row>
    <row r="832" customFormat="false" ht="12.75" hidden="false" customHeight="false" outlineLevel="0" collapsed="false">
      <c r="E832" s="152"/>
    </row>
    <row r="833" customFormat="false" ht="12.75" hidden="false" customHeight="false" outlineLevel="0" collapsed="false">
      <c r="E833" s="152"/>
    </row>
    <row r="834" customFormat="false" ht="12.75" hidden="false" customHeight="false" outlineLevel="0" collapsed="false">
      <c r="E834" s="152"/>
    </row>
    <row r="835" customFormat="false" ht="12.75" hidden="false" customHeight="false" outlineLevel="0" collapsed="false">
      <c r="E835" s="152"/>
    </row>
    <row r="836" customFormat="false" ht="12.75" hidden="false" customHeight="false" outlineLevel="0" collapsed="false">
      <c r="E836" s="152"/>
    </row>
    <row r="837" customFormat="false" ht="12.75" hidden="false" customHeight="false" outlineLevel="0" collapsed="false">
      <c r="E837" s="152"/>
    </row>
    <row r="838" customFormat="false" ht="12.75" hidden="false" customHeight="false" outlineLevel="0" collapsed="false">
      <c r="E838" s="152"/>
    </row>
    <row r="839" customFormat="false" ht="12.75" hidden="false" customHeight="false" outlineLevel="0" collapsed="false">
      <c r="E839" s="152"/>
    </row>
    <row r="840" customFormat="false" ht="12.75" hidden="false" customHeight="false" outlineLevel="0" collapsed="false">
      <c r="E840" s="152"/>
    </row>
    <row r="841" customFormat="false" ht="12.75" hidden="false" customHeight="false" outlineLevel="0" collapsed="false">
      <c r="E841" s="152"/>
    </row>
    <row r="842" customFormat="false" ht="12.75" hidden="false" customHeight="false" outlineLevel="0" collapsed="false">
      <c r="E842" s="152"/>
    </row>
    <row r="843" customFormat="false" ht="12.75" hidden="false" customHeight="false" outlineLevel="0" collapsed="false">
      <c r="E843" s="152"/>
    </row>
    <row r="844" customFormat="false" ht="12.75" hidden="false" customHeight="false" outlineLevel="0" collapsed="false">
      <c r="E844" s="152"/>
    </row>
    <row r="845" customFormat="false" ht="12.75" hidden="false" customHeight="false" outlineLevel="0" collapsed="false">
      <c r="E845" s="152"/>
    </row>
    <row r="846" customFormat="false" ht="12.75" hidden="false" customHeight="false" outlineLevel="0" collapsed="false">
      <c r="E846" s="152"/>
    </row>
    <row r="847" customFormat="false" ht="12.75" hidden="false" customHeight="false" outlineLevel="0" collapsed="false">
      <c r="E847" s="152"/>
    </row>
    <row r="848" customFormat="false" ht="12.75" hidden="false" customHeight="false" outlineLevel="0" collapsed="false">
      <c r="E848" s="152"/>
    </row>
    <row r="849" customFormat="false" ht="12.75" hidden="false" customHeight="false" outlineLevel="0" collapsed="false">
      <c r="E849" s="152"/>
    </row>
    <row r="850" customFormat="false" ht="12.75" hidden="false" customHeight="false" outlineLevel="0" collapsed="false">
      <c r="E850" s="152"/>
    </row>
    <row r="851" customFormat="false" ht="12.75" hidden="false" customHeight="false" outlineLevel="0" collapsed="false">
      <c r="E851" s="152"/>
    </row>
    <row r="852" customFormat="false" ht="12.75" hidden="false" customHeight="false" outlineLevel="0" collapsed="false">
      <c r="E852" s="152"/>
    </row>
    <row r="853" customFormat="false" ht="12.75" hidden="false" customHeight="false" outlineLevel="0" collapsed="false">
      <c r="E853" s="152"/>
    </row>
    <row r="854" customFormat="false" ht="12.75" hidden="false" customHeight="false" outlineLevel="0" collapsed="false">
      <c r="E854" s="152"/>
    </row>
    <row r="855" customFormat="false" ht="12.75" hidden="false" customHeight="false" outlineLevel="0" collapsed="false">
      <c r="E855" s="152"/>
    </row>
    <row r="856" customFormat="false" ht="12.75" hidden="false" customHeight="false" outlineLevel="0" collapsed="false">
      <c r="E856" s="152"/>
    </row>
    <row r="857" customFormat="false" ht="12.75" hidden="false" customHeight="false" outlineLevel="0" collapsed="false">
      <c r="E857" s="152"/>
    </row>
    <row r="858" customFormat="false" ht="12.75" hidden="false" customHeight="false" outlineLevel="0" collapsed="false">
      <c r="E858" s="152"/>
    </row>
    <row r="859" customFormat="false" ht="12.75" hidden="false" customHeight="false" outlineLevel="0" collapsed="false">
      <c r="E859" s="152"/>
    </row>
    <row r="860" customFormat="false" ht="12.75" hidden="false" customHeight="false" outlineLevel="0" collapsed="false">
      <c r="E860" s="152"/>
    </row>
    <row r="861" customFormat="false" ht="12.75" hidden="false" customHeight="false" outlineLevel="0" collapsed="false">
      <c r="E861" s="152"/>
    </row>
    <row r="862" customFormat="false" ht="12.75" hidden="false" customHeight="false" outlineLevel="0" collapsed="false">
      <c r="E862" s="152"/>
    </row>
    <row r="863" customFormat="false" ht="12.75" hidden="false" customHeight="false" outlineLevel="0" collapsed="false">
      <c r="E863" s="152"/>
    </row>
    <row r="864" customFormat="false" ht="12.75" hidden="false" customHeight="false" outlineLevel="0" collapsed="false">
      <c r="E864" s="152"/>
    </row>
    <row r="865" customFormat="false" ht="12.75" hidden="false" customHeight="false" outlineLevel="0" collapsed="false">
      <c r="E865" s="152"/>
    </row>
    <row r="866" customFormat="false" ht="12.75" hidden="false" customHeight="false" outlineLevel="0" collapsed="false">
      <c r="E866" s="152"/>
    </row>
    <row r="867" customFormat="false" ht="12.75" hidden="false" customHeight="false" outlineLevel="0" collapsed="false">
      <c r="E867" s="152"/>
    </row>
    <row r="868" customFormat="false" ht="12.75" hidden="false" customHeight="false" outlineLevel="0" collapsed="false">
      <c r="E868" s="152"/>
    </row>
    <row r="869" customFormat="false" ht="12.75" hidden="false" customHeight="false" outlineLevel="0" collapsed="false">
      <c r="E869" s="152"/>
    </row>
    <row r="870" customFormat="false" ht="12.75" hidden="false" customHeight="false" outlineLevel="0" collapsed="false">
      <c r="E870" s="152"/>
    </row>
    <row r="871" customFormat="false" ht="12.75" hidden="false" customHeight="false" outlineLevel="0" collapsed="false">
      <c r="E871" s="152"/>
    </row>
    <row r="872" customFormat="false" ht="12.75" hidden="false" customHeight="false" outlineLevel="0" collapsed="false">
      <c r="E872" s="152"/>
    </row>
    <row r="873" customFormat="false" ht="12.75" hidden="false" customHeight="false" outlineLevel="0" collapsed="false">
      <c r="E873" s="152"/>
    </row>
    <row r="874" customFormat="false" ht="12.75" hidden="false" customHeight="false" outlineLevel="0" collapsed="false">
      <c r="E874" s="152"/>
    </row>
    <row r="875" customFormat="false" ht="12.75" hidden="false" customHeight="false" outlineLevel="0" collapsed="false">
      <c r="E875" s="152"/>
    </row>
    <row r="876" customFormat="false" ht="12.75" hidden="false" customHeight="false" outlineLevel="0" collapsed="false">
      <c r="E876" s="152"/>
    </row>
    <row r="877" customFormat="false" ht="12.75" hidden="false" customHeight="false" outlineLevel="0" collapsed="false">
      <c r="E877" s="152"/>
    </row>
    <row r="878" customFormat="false" ht="12.75" hidden="false" customHeight="false" outlineLevel="0" collapsed="false">
      <c r="E878" s="152"/>
    </row>
    <row r="879" customFormat="false" ht="12.75" hidden="false" customHeight="false" outlineLevel="0" collapsed="false">
      <c r="E879" s="152"/>
    </row>
    <row r="880" customFormat="false" ht="12.75" hidden="false" customHeight="false" outlineLevel="0" collapsed="false">
      <c r="E880" s="152"/>
    </row>
    <row r="881" customFormat="false" ht="12.75" hidden="false" customHeight="false" outlineLevel="0" collapsed="false">
      <c r="E881" s="152"/>
    </row>
    <row r="882" customFormat="false" ht="12.75" hidden="false" customHeight="false" outlineLevel="0" collapsed="false">
      <c r="E882" s="152"/>
    </row>
    <row r="883" customFormat="false" ht="12.75" hidden="false" customHeight="false" outlineLevel="0" collapsed="false">
      <c r="E883" s="152"/>
    </row>
    <row r="884" customFormat="false" ht="12.75" hidden="false" customHeight="false" outlineLevel="0" collapsed="false">
      <c r="E884" s="152"/>
    </row>
    <row r="885" customFormat="false" ht="12.75" hidden="false" customHeight="false" outlineLevel="0" collapsed="false">
      <c r="E885" s="152"/>
    </row>
    <row r="886" customFormat="false" ht="12.75" hidden="false" customHeight="false" outlineLevel="0" collapsed="false">
      <c r="E886" s="152"/>
    </row>
    <row r="887" customFormat="false" ht="12.75" hidden="false" customHeight="false" outlineLevel="0" collapsed="false">
      <c r="E887" s="152"/>
    </row>
    <row r="888" customFormat="false" ht="12.75" hidden="false" customHeight="false" outlineLevel="0" collapsed="false">
      <c r="E888" s="152"/>
    </row>
    <row r="889" customFormat="false" ht="12.75" hidden="false" customHeight="false" outlineLevel="0" collapsed="false">
      <c r="E889" s="152"/>
    </row>
    <row r="890" customFormat="false" ht="12.75" hidden="false" customHeight="false" outlineLevel="0" collapsed="false">
      <c r="E890" s="152"/>
    </row>
    <row r="891" customFormat="false" ht="12.75" hidden="false" customHeight="false" outlineLevel="0" collapsed="false">
      <c r="E891" s="152"/>
    </row>
    <row r="892" customFormat="false" ht="12.75" hidden="false" customHeight="false" outlineLevel="0" collapsed="false">
      <c r="E892" s="152"/>
    </row>
    <row r="893" customFormat="false" ht="12.75" hidden="false" customHeight="false" outlineLevel="0" collapsed="false">
      <c r="E893" s="152"/>
    </row>
    <row r="894" customFormat="false" ht="12.75" hidden="false" customHeight="false" outlineLevel="0" collapsed="false">
      <c r="E894" s="152"/>
    </row>
    <row r="895" customFormat="false" ht="12.75" hidden="false" customHeight="false" outlineLevel="0" collapsed="false">
      <c r="E895" s="152"/>
    </row>
    <row r="896" customFormat="false" ht="12.75" hidden="false" customHeight="false" outlineLevel="0" collapsed="false">
      <c r="E896" s="152"/>
    </row>
    <row r="897" customFormat="false" ht="12.75" hidden="false" customHeight="false" outlineLevel="0" collapsed="false">
      <c r="E897" s="152"/>
    </row>
    <row r="898" customFormat="false" ht="12.75" hidden="false" customHeight="false" outlineLevel="0" collapsed="false">
      <c r="E898" s="152"/>
    </row>
    <row r="899" customFormat="false" ht="12.75" hidden="false" customHeight="false" outlineLevel="0" collapsed="false">
      <c r="E899" s="152"/>
    </row>
    <row r="900" customFormat="false" ht="12.75" hidden="false" customHeight="false" outlineLevel="0" collapsed="false">
      <c r="E900" s="152"/>
    </row>
    <row r="901" customFormat="false" ht="12.75" hidden="false" customHeight="false" outlineLevel="0" collapsed="false">
      <c r="E901" s="152"/>
    </row>
    <row r="902" customFormat="false" ht="12.75" hidden="false" customHeight="false" outlineLevel="0" collapsed="false">
      <c r="E902" s="152"/>
    </row>
    <row r="903" customFormat="false" ht="12.75" hidden="false" customHeight="false" outlineLevel="0" collapsed="false">
      <c r="E903" s="152"/>
    </row>
    <row r="904" customFormat="false" ht="12.75" hidden="false" customHeight="false" outlineLevel="0" collapsed="false">
      <c r="E904" s="152"/>
    </row>
    <row r="905" customFormat="false" ht="12.75" hidden="false" customHeight="false" outlineLevel="0" collapsed="false">
      <c r="E905" s="152"/>
    </row>
    <row r="906" customFormat="false" ht="12.75" hidden="false" customHeight="false" outlineLevel="0" collapsed="false">
      <c r="E906" s="152"/>
    </row>
    <row r="907" customFormat="false" ht="12.75" hidden="false" customHeight="false" outlineLevel="0" collapsed="false">
      <c r="E907" s="152"/>
    </row>
    <row r="908" customFormat="false" ht="12.75" hidden="false" customHeight="false" outlineLevel="0" collapsed="false">
      <c r="E908" s="152"/>
    </row>
    <row r="909" customFormat="false" ht="12.75" hidden="false" customHeight="false" outlineLevel="0" collapsed="false">
      <c r="E909" s="152"/>
    </row>
    <row r="910" customFormat="false" ht="12.75" hidden="false" customHeight="false" outlineLevel="0" collapsed="false">
      <c r="E910" s="152"/>
    </row>
    <row r="911" customFormat="false" ht="12.75" hidden="false" customHeight="false" outlineLevel="0" collapsed="false">
      <c r="E911" s="152"/>
    </row>
    <row r="912" customFormat="false" ht="12.75" hidden="false" customHeight="false" outlineLevel="0" collapsed="false">
      <c r="E912" s="152"/>
    </row>
    <row r="913" customFormat="false" ht="12.75" hidden="false" customHeight="false" outlineLevel="0" collapsed="false">
      <c r="E913" s="152"/>
    </row>
    <row r="914" customFormat="false" ht="12.75" hidden="false" customHeight="false" outlineLevel="0" collapsed="false">
      <c r="E914" s="152"/>
    </row>
    <row r="915" customFormat="false" ht="12.75" hidden="false" customHeight="false" outlineLevel="0" collapsed="false">
      <c r="E915" s="152"/>
    </row>
    <row r="916" customFormat="false" ht="12.75" hidden="false" customHeight="false" outlineLevel="0" collapsed="false">
      <c r="E916" s="152"/>
    </row>
    <row r="917" customFormat="false" ht="12.75" hidden="false" customHeight="false" outlineLevel="0" collapsed="false">
      <c r="E917" s="152"/>
    </row>
    <row r="918" customFormat="false" ht="12.75" hidden="false" customHeight="false" outlineLevel="0" collapsed="false">
      <c r="E918" s="152"/>
    </row>
    <row r="919" customFormat="false" ht="12.75" hidden="false" customHeight="false" outlineLevel="0" collapsed="false">
      <c r="E919" s="152"/>
    </row>
    <row r="920" customFormat="false" ht="12.75" hidden="false" customHeight="false" outlineLevel="0" collapsed="false">
      <c r="E920" s="152"/>
    </row>
    <row r="921" customFormat="false" ht="12.75" hidden="false" customHeight="false" outlineLevel="0" collapsed="false">
      <c r="E921" s="152"/>
    </row>
    <row r="922" customFormat="false" ht="12.75" hidden="false" customHeight="false" outlineLevel="0" collapsed="false">
      <c r="E922" s="152"/>
    </row>
    <row r="923" customFormat="false" ht="12.75" hidden="false" customHeight="false" outlineLevel="0" collapsed="false">
      <c r="E923" s="152"/>
    </row>
    <row r="924" customFormat="false" ht="12.75" hidden="false" customHeight="false" outlineLevel="0" collapsed="false">
      <c r="E924" s="152"/>
    </row>
    <row r="925" customFormat="false" ht="12.75" hidden="false" customHeight="false" outlineLevel="0" collapsed="false">
      <c r="E925" s="152"/>
    </row>
    <row r="926" customFormat="false" ht="12.75" hidden="false" customHeight="false" outlineLevel="0" collapsed="false">
      <c r="E926" s="152"/>
    </row>
    <row r="927" customFormat="false" ht="12.75" hidden="false" customHeight="false" outlineLevel="0" collapsed="false">
      <c r="E927" s="152"/>
    </row>
    <row r="928" customFormat="false" ht="12.75" hidden="false" customHeight="false" outlineLevel="0" collapsed="false">
      <c r="E928" s="152"/>
    </row>
    <row r="929" customFormat="false" ht="12.75" hidden="false" customHeight="false" outlineLevel="0" collapsed="false">
      <c r="E929" s="152"/>
    </row>
    <row r="930" customFormat="false" ht="12.75" hidden="false" customHeight="false" outlineLevel="0" collapsed="false">
      <c r="E930" s="152"/>
    </row>
    <row r="931" customFormat="false" ht="12.75" hidden="false" customHeight="false" outlineLevel="0" collapsed="false">
      <c r="E931" s="152"/>
    </row>
    <row r="932" customFormat="false" ht="12.75" hidden="false" customHeight="false" outlineLevel="0" collapsed="false">
      <c r="E932" s="152"/>
    </row>
    <row r="933" customFormat="false" ht="12.75" hidden="false" customHeight="false" outlineLevel="0" collapsed="false">
      <c r="E933" s="152"/>
    </row>
    <row r="934" customFormat="false" ht="12.75" hidden="false" customHeight="false" outlineLevel="0" collapsed="false">
      <c r="E934" s="152"/>
    </row>
    <row r="935" customFormat="false" ht="12.75" hidden="false" customHeight="false" outlineLevel="0" collapsed="false">
      <c r="E935" s="152"/>
    </row>
    <row r="936" customFormat="false" ht="12.75" hidden="false" customHeight="false" outlineLevel="0" collapsed="false">
      <c r="E936" s="152"/>
    </row>
    <row r="937" customFormat="false" ht="12.75" hidden="false" customHeight="false" outlineLevel="0" collapsed="false">
      <c r="E937" s="152"/>
    </row>
    <row r="938" customFormat="false" ht="12.75" hidden="false" customHeight="false" outlineLevel="0" collapsed="false">
      <c r="E938" s="152"/>
    </row>
    <row r="939" customFormat="false" ht="12.75" hidden="false" customHeight="false" outlineLevel="0" collapsed="false">
      <c r="E939" s="152"/>
    </row>
    <row r="940" customFormat="false" ht="12.75" hidden="false" customHeight="false" outlineLevel="0" collapsed="false">
      <c r="E940" s="152"/>
    </row>
    <row r="941" customFormat="false" ht="12.75" hidden="false" customHeight="false" outlineLevel="0" collapsed="false">
      <c r="E941" s="152"/>
    </row>
    <row r="942" customFormat="false" ht="12.75" hidden="false" customHeight="false" outlineLevel="0" collapsed="false">
      <c r="E942" s="152"/>
    </row>
    <row r="943" customFormat="false" ht="12.75" hidden="false" customHeight="false" outlineLevel="0" collapsed="false">
      <c r="E943" s="152"/>
    </row>
    <row r="944" customFormat="false" ht="12.75" hidden="false" customHeight="false" outlineLevel="0" collapsed="false">
      <c r="E944" s="152"/>
    </row>
    <row r="945" customFormat="false" ht="12.75" hidden="false" customHeight="false" outlineLevel="0" collapsed="false">
      <c r="E945" s="152"/>
    </row>
    <row r="946" customFormat="false" ht="12.75" hidden="false" customHeight="false" outlineLevel="0" collapsed="false">
      <c r="E946" s="152"/>
    </row>
    <row r="947" customFormat="false" ht="12.75" hidden="false" customHeight="false" outlineLevel="0" collapsed="false">
      <c r="E947" s="152"/>
    </row>
    <row r="948" customFormat="false" ht="12.75" hidden="false" customHeight="false" outlineLevel="0" collapsed="false">
      <c r="E948" s="152"/>
    </row>
    <row r="949" customFormat="false" ht="12.75" hidden="false" customHeight="false" outlineLevel="0" collapsed="false">
      <c r="E949" s="152"/>
    </row>
    <row r="950" customFormat="false" ht="12.75" hidden="false" customHeight="false" outlineLevel="0" collapsed="false">
      <c r="E950" s="152"/>
    </row>
    <row r="951" customFormat="false" ht="12.75" hidden="false" customHeight="false" outlineLevel="0" collapsed="false">
      <c r="E951" s="152"/>
    </row>
    <row r="952" customFormat="false" ht="12.75" hidden="false" customHeight="false" outlineLevel="0" collapsed="false">
      <c r="E952" s="152"/>
    </row>
    <row r="953" customFormat="false" ht="12.75" hidden="false" customHeight="false" outlineLevel="0" collapsed="false">
      <c r="E953" s="152"/>
    </row>
    <row r="954" customFormat="false" ht="12.75" hidden="false" customHeight="false" outlineLevel="0" collapsed="false">
      <c r="E954" s="152"/>
    </row>
    <row r="955" customFormat="false" ht="12.75" hidden="false" customHeight="false" outlineLevel="0" collapsed="false">
      <c r="E955" s="152"/>
    </row>
    <row r="956" customFormat="false" ht="12.75" hidden="false" customHeight="false" outlineLevel="0" collapsed="false">
      <c r="E956" s="152"/>
    </row>
    <row r="957" customFormat="false" ht="12.75" hidden="false" customHeight="false" outlineLevel="0" collapsed="false">
      <c r="E957" s="152"/>
    </row>
    <row r="958" customFormat="false" ht="12.75" hidden="false" customHeight="false" outlineLevel="0" collapsed="false">
      <c r="E958" s="152"/>
    </row>
    <row r="959" customFormat="false" ht="12.75" hidden="false" customHeight="false" outlineLevel="0" collapsed="false">
      <c r="E959" s="152"/>
    </row>
    <row r="960" customFormat="false" ht="12.75" hidden="false" customHeight="false" outlineLevel="0" collapsed="false">
      <c r="E960" s="152"/>
    </row>
    <row r="961" customFormat="false" ht="12.75" hidden="false" customHeight="false" outlineLevel="0" collapsed="false">
      <c r="E961" s="152"/>
    </row>
    <row r="962" customFormat="false" ht="12.75" hidden="false" customHeight="false" outlineLevel="0" collapsed="false">
      <c r="E962" s="152"/>
    </row>
    <row r="963" customFormat="false" ht="12.75" hidden="false" customHeight="false" outlineLevel="0" collapsed="false">
      <c r="E963" s="152"/>
    </row>
    <row r="964" customFormat="false" ht="12.75" hidden="false" customHeight="false" outlineLevel="0" collapsed="false">
      <c r="E964" s="152"/>
    </row>
    <row r="965" customFormat="false" ht="12.75" hidden="false" customHeight="false" outlineLevel="0" collapsed="false">
      <c r="E965" s="152"/>
    </row>
    <row r="966" customFormat="false" ht="12.75" hidden="false" customHeight="false" outlineLevel="0" collapsed="false">
      <c r="E966" s="152"/>
    </row>
    <row r="967" customFormat="false" ht="12.75" hidden="false" customHeight="false" outlineLevel="0" collapsed="false">
      <c r="E967" s="152"/>
    </row>
    <row r="968" customFormat="false" ht="12.75" hidden="false" customHeight="false" outlineLevel="0" collapsed="false">
      <c r="E968" s="152"/>
    </row>
    <row r="969" customFormat="false" ht="12.75" hidden="false" customHeight="false" outlineLevel="0" collapsed="false">
      <c r="E969" s="152"/>
    </row>
    <row r="970" customFormat="false" ht="12.75" hidden="false" customHeight="false" outlineLevel="0" collapsed="false">
      <c r="E970" s="152"/>
    </row>
    <row r="971" customFormat="false" ht="12.75" hidden="false" customHeight="false" outlineLevel="0" collapsed="false">
      <c r="E971" s="152"/>
    </row>
    <row r="972" customFormat="false" ht="12.75" hidden="false" customHeight="false" outlineLevel="0" collapsed="false">
      <c r="E972" s="152"/>
    </row>
    <row r="973" customFormat="false" ht="12.75" hidden="false" customHeight="false" outlineLevel="0" collapsed="false">
      <c r="E973" s="152"/>
    </row>
    <row r="974" customFormat="false" ht="12.75" hidden="false" customHeight="false" outlineLevel="0" collapsed="false">
      <c r="E974" s="152"/>
    </row>
    <row r="975" customFormat="false" ht="12.75" hidden="false" customHeight="false" outlineLevel="0" collapsed="false">
      <c r="E975" s="152"/>
    </row>
    <row r="976" customFormat="false" ht="12.75" hidden="false" customHeight="false" outlineLevel="0" collapsed="false">
      <c r="E976" s="152"/>
    </row>
    <row r="977" customFormat="false" ht="12.75" hidden="false" customHeight="false" outlineLevel="0" collapsed="false">
      <c r="E977" s="152"/>
    </row>
    <row r="978" customFormat="false" ht="12.75" hidden="false" customHeight="false" outlineLevel="0" collapsed="false">
      <c r="E978" s="152"/>
    </row>
    <row r="979" customFormat="false" ht="12.75" hidden="false" customHeight="false" outlineLevel="0" collapsed="false">
      <c r="E979" s="152"/>
    </row>
    <row r="980" customFormat="false" ht="12.75" hidden="false" customHeight="false" outlineLevel="0" collapsed="false">
      <c r="E980" s="152"/>
    </row>
    <row r="981" customFormat="false" ht="12.75" hidden="false" customHeight="false" outlineLevel="0" collapsed="false">
      <c r="E981" s="152"/>
    </row>
    <row r="982" customFormat="false" ht="12.75" hidden="false" customHeight="false" outlineLevel="0" collapsed="false">
      <c r="E982" s="152"/>
    </row>
    <row r="983" customFormat="false" ht="12.75" hidden="false" customHeight="false" outlineLevel="0" collapsed="false">
      <c r="E983" s="152"/>
    </row>
    <row r="984" customFormat="false" ht="12.75" hidden="false" customHeight="false" outlineLevel="0" collapsed="false">
      <c r="E984" s="152"/>
    </row>
    <row r="985" customFormat="false" ht="12.75" hidden="false" customHeight="false" outlineLevel="0" collapsed="false">
      <c r="E985" s="152"/>
    </row>
    <row r="986" customFormat="false" ht="12.75" hidden="false" customHeight="false" outlineLevel="0" collapsed="false">
      <c r="E986" s="152"/>
    </row>
    <row r="987" customFormat="false" ht="12.75" hidden="false" customHeight="false" outlineLevel="0" collapsed="false">
      <c r="E987" s="152"/>
    </row>
    <row r="988" customFormat="false" ht="12.75" hidden="false" customHeight="false" outlineLevel="0" collapsed="false">
      <c r="E988" s="152"/>
    </row>
    <row r="989" customFormat="false" ht="12.75" hidden="false" customHeight="false" outlineLevel="0" collapsed="false">
      <c r="E989" s="152"/>
    </row>
    <row r="990" customFormat="false" ht="12.75" hidden="false" customHeight="false" outlineLevel="0" collapsed="false">
      <c r="E990" s="152"/>
    </row>
    <row r="991" customFormat="false" ht="12.75" hidden="false" customHeight="false" outlineLevel="0" collapsed="false">
      <c r="E991" s="152"/>
    </row>
    <row r="992" customFormat="false" ht="12.75" hidden="false" customHeight="false" outlineLevel="0" collapsed="false">
      <c r="E992" s="152"/>
    </row>
    <row r="993" customFormat="false" ht="12.75" hidden="false" customHeight="false" outlineLevel="0" collapsed="false">
      <c r="E993" s="152"/>
    </row>
    <row r="994" customFormat="false" ht="12.75" hidden="false" customHeight="false" outlineLevel="0" collapsed="false">
      <c r="E994" s="152"/>
    </row>
    <row r="995" customFormat="false" ht="12.75" hidden="false" customHeight="false" outlineLevel="0" collapsed="false">
      <c r="E995" s="152"/>
    </row>
    <row r="996" customFormat="false" ht="12.75" hidden="false" customHeight="false" outlineLevel="0" collapsed="false">
      <c r="E996" s="152"/>
    </row>
    <row r="997" customFormat="false" ht="12.75" hidden="false" customHeight="false" outlineLevel="0" collapsed="false">
      <c r="E997" s="152"/>
    </row>
    <row r="998" customFormat="false" ht="12.75" hidden="false" customHeight="false" outlineLevel="0" collapsed="false">
      <c r="E998" s="152"/>
    </row>
    <row r="999" customFormat="false" ht="12.75" hidden="false" customHeight="false" outlineLevel="0" collapsed="false">
      <c r="E999" s="152"/>
    </row>
    <row r="1000" customFormat="false" ht="12.75" hidden="false" customHeight="false" outlineLevel="0" collapsed="false">
      <c r="E1000" s="152"/>
    </row>
    <row r="1001" customFormat="false" ht="12.75" hidden="false" customHeight="false" outlineLevel="0" collapsed="false">
      <c r="E1001" s="152"/>
    </row>
    <row r="1002" customFormat="false" ht="12.75" hidden="false" customHeight="false" outlineLevel="0" collapsed="false">
      <c r="E1002" s="152"/>
    </row>
    <row r="1003" customFormat="false" ht="12.75" hidden="false" customHeight="false" outlineLevel="0" collapsed="false">
      <c r="E1003" s="152"/>
    </row>
    <row r="1004" customFormat="false" ht="12.75" hidden="false" customHeight="false" outlineLevel="0" collapsed="false">
      <c r="E1004" s="152"/>
    </row>
    <row r="1005" customFormat="false" ht="12.75" hidden="false" customHeight="false" outlineLevel="0" collapsed="false">
      <c r="E1005" s="152"/>
    </row>
    <row r="1006" customFormat="false" ht="12.75" hidden="false" customHeight="false" outlineLevel="0" collapsed="false">
      <c r="E1006" s="152"/>
    </row>
    <row r="1007" customFormat="false" ht="12.75" hidden="false" customHeight="false" outlineLevel="0" collapsed="false">
      <c r="E1007" s="152"/>
    </row>
    <row r="1008" customFormat="false" ht="12.75" hidden="false" customHeight="false" outlineLevel="0" collapsed="false">
      <c r="E1008" s="152"/>
    </row>
    <row r="1009" customFormat="false" ht="12.75" hidden="false" customHeight="false" outlineLevel="0" collapsed="false">
      <c r="E1009" s="152"/>
    </row>
    <row r="1010" customFormat="false" ht="12.75" hidden="false" customHeight="false" outlineLevel="0" collapsed="false">
      <c r="E1010" s="152"/>
    </row>
    <row r="1011" customFormat="false" ht="12.75" hidden="false" customHeight="false" outlineLevel="0" collapsed="false">
      <c r="E1011" s="152"/>
    </row>
    <row r="1012" customFormat="false" ht="12.75" hidden="false" customHeight="false" outlineLevel="0" collapsed="false">
      <c r="E1012" s="152"/>
    </row>
    <row r="1013" customFormat="false" ht="12.75" hidden="false" customHeight="false" outlineLevel="0" collapsed="false">
      <c r="E1013" s="152"/>
    </row>
    <row r="1014" customFormat="false" ht="12.75" hidden="false" customHeight="false" outlineLevel="0" collapsed="false">
      <c r="E1014" s="152"/>
    </row>
    <row r="1015" customFormat="false" ht="12.75" hidden="false" customHeight="false" outlineLevel="0" collapsed="false">
      <c r="E1015" s="152"/>
    </row>
    <row r="1016" customFormat="false" ht="12.75" hidden="false" customHeight="false" outlineLevel="0" collapsed="false">
      <c r="E1016" s="152"/>
    </row>
    <row r="1017" customFormat="false" ht="12.75" hidden="false" customHeight="false" outlineLevel="0" collapsed="false">
      <c r="E1017" s="152"/>
    </row>
    <row r="1018" customFormat="false" ht="12.75" hidden="false" customHeight="false" outlineLevel="0" collapsed="false">
      <c r="E1018" s="152"/>
    </row>
    <row r="1019" customFormat="false" ht="12.75" hidden="false" customHeight="false" outlineLevel="0" collapsed="false">
      <c r="E1019" s="152"/>
    </row>
    <row r="1020" customFormat="false" ht="12.75" hidden="false" customHeight="false" outlineLevel="0" collapsed="false">
      <c r="E1020" s="152"/>
    </row>
    <row r="1021" customFormat="false" ht="12.75" hidden="false" customHeight="false" outlineLevel="0" collapsed="false">
      <c r="E1021" s="152"/>
    </row>
    <row r="1022" customFormat="false" ht="12.75" hidden="false" customHeight="false" outlineLevel="0" collapsed="false">
      <c r="E1022" s="152"/>
    </row>
    <row r="1023" customFormat="false" ht="12.75" hidden="false" customHeight="false" outlineLevel="0" collapsed="false">
      <c r="E1023" s="152"/>
    </row>
    <row r="1024" customFormat="false" ht="12.75" hidden="false" customHeight="false" outlineLevel="0" collapsed="false">
      <c r="E1024" s="152"/>
    </row>
    <row r="1025" customFormat="false" ht="12.75" hidden="false" customHeight="false" outlineLevel="0" collapsed="false">
      <c r="E1025" s="152"/>
    </row>
    <row r="1026" customFormat="false" ht="12.75" hidden="false" customHeight="false" outlineLevel="0" collapsed="false">
      <c r="E1026" s="152"/>
    </row>
    <row r="1027" customFormat="false" ht="12.75" hidden="false" customHeight="false" outlineLevel="0" collapsed="false">
      <c r="E1027" s="152"/>
    </row>
    <row r="1028" customFormat="false" ht="12.75" hidden="false" customHeight="false" outlineLevel="0" collapsed="false">
      <c r="E1028" s="152"/>
    </row>
    <row r="1029" customFormat="false" ht="12.75" hidden="false" customHeight="false" outlineLevel="0" collapsed="false">
      <c r="E1029" s="152"/>
    </row>
    <row r="1030" customFormat="false" ht="12.75" hidden="false" customHeight="false" outlineLevel="0" collapsed="false">
      <c r="E1030" s="152"/>
    </row>
    <row r="1031" customFormat="false" ht="12.75" hidden="false" customHeight="false" outlineLevel="0" collapsed="false">
      <c r="E1031" s="152"/>
    </row>
    <row r="1032" customFormat="false" ht="12.75" hidden="false" customHeight="false" outlineLevel="0" collapsed="false">
      <c r="E1032" s="152"/>
    </row>
    <row r="1033" customFormat="false" ht="12.75" hidden="false" customHeight="false" outlineLevel="0" collapsed="false">
      <c r="E1033" s="152"/>
    </row>
    <row r="1034" customFormat="false" ht="12.75" hidden="false" customHeight="false" outlineLevel="0" collapsed="false">
      <c r="E1034" s="152"/>
    </row>
    <row r="1035" customFormat="false" ht="12.75" hidden="false" customHeight="false" outlineLevel="0" collapsed="false">
      <c r="E1035" s="152"/>
    </row>
    <row r="1036" customFormat="false" ht="12.75" hidden="false" customHeight="false" outlineLevel="0" collapsed="false">
      <c r="E1036" s="152"/>
    </row>
    <row r="1037" customFormat="false" ht="12.75" hidden="false" customHeight="false" outlineLevel="0" collapsed="false">
      <c r="E1037" s="152"/>
    </row>
    <row r="1038" customFormat="false" ht="12.75" hidden="false" customHeight="false" outlineLevel="0" collapsed="false">
      <c r="E1038" s="152"/>
    </row>
    <row r="1039" customFormat="false" ht="12.75" hidden="false" customHeight="false" outlineLevel="0" collapsed="false">
      <c r="E1039" s="152"/>
    </row>
    <row r="1040" customFormat="false" ht="12.75" hidden="false" customHeight="false" outlineLevel="0" collapsed="false">
      <c r="E1040" s="152"/>
    </row>
    <row r="1041" customFormat="false" ht="12.75" hidden="false" customHeight="false" outlineLevel="0" collapsed="false">
      <c r="E1041" s="152"/>
    </row>
    <row r="1042" customFormat="false" ht="12.75" hidden="false" customHeight="false" outlineLevel="0" collapsed="false">
      <c r="E1042" s="152"/>
    </row>
    <row r="1043" customFormat="false" ht="12.75" hidden="false" customHeight="false" outlineLevel="0" collapsed="false">
      <c r="E1043" s="152"/>
    </row>
    <row r="1044" customFormat="false" ht="12.75" hidden="false" customHeight="false" outlineLevel="0" collapsed="false">
      <c r="E1044" s="152"/>
    </row>
    <row r="1045" customFormat="false" ht="12.75" hidden="false" customHeight="false" outlineLevel="0" collapsed="false">
      <c r="E1045" s="152"/>
    </row>
    <row r="1046" customFormat="false" ht="12.75" hidden="false" customHeight="false" outlineLevel="0" collapsed="false">
      <c r="E1046" s="152"/>
    </row>
    <row r="1047" customFormat="false" ht="12.75" hidden="false" customHeight="false" outlineLevel="0" collapsed="false">
      <c r="E1047" s="152"/>
    </row>
    <row r="1048" customFormat="false" ht="12.75" hidden="false" customHeight="false" outlineLevel="0" collapsed="false">
      <c r="E1048" s="152"/>
    </row>
    <row r="1049" customFormat="false" ht="12.75" hidden="false" customHeight="false" outlineLevel="0" collapsed="false">
      <c r="E1049" s="152"/>
    </row>
    <row r="1050" customFormat="false" ht="12.75" hidden="false" customHeight="false" outlineLevel="0" collapsed="false">
      <c r="E1050" s="152"/>
    </row>
    <row r="1051" customFormat="false" ht="12.75" hidden="false" customHeight="false" outlineLevel="0" collapsed="false">
      <c r="E1051" s="152"/>
    </row>
    <row r="1052" customFormat="false" ht="12.75" hidden="false" customHeight="false" outlineLevel="0" collapsed="false">
      <c r="E1052" s="152"/>
    </row>
    <row r="1053" customFormat="false" ht="12.75" hidden="false" customHeight="false" outlineLevel="0" collapsed="false">
      <c r="E1053" s="152"/>
    </row>
    <row r="1054" customFormat="false" ht="12.75" hidden="false" customHeight="false" outlineLevel="0" collapsed="false">
      <c r="E1054" s="152"/>
    </row>
    <row r="1055" customFormat="false" ht="12.75" hidden="false" customHeight="false" outlineLevel="0" collapsed="false">
      <c r="E1055" s="152"/>
    </row>
    <row r="1056" customFormat="false" ht="12.75" hidden="false" customHeight="false" outlineLevel="0" collapsed="false">
      <c r="E1056" s="152"/>
    </row>
    <row r="1057" customFormat="false" ht="12.75" hidden="false" customHeight="false" outlineLevel="0" collapsed="false">
      <c r="E1057" s="152"/>
    </row>
    <row r="1058" customFormat="false" ht="12.75" hidden="false" customHeight="false" outlineLevel="0" collapsed="false">
      <c r="E1058" s="152"/>
    </row>
    <row r="1059" customFormat="false" ht="12.75" hidden="false" customHeight="false" outlineLevel="0" collapsed="false">
      <c r="E1059" s="152"/>
    </row>
    <row r="1060" customFormat="false" ht="12.75" hidden="false" customHeight="false" outlineLevel="0" collapsed="false">
      <c r="E1060" s="152"/>
    </row>
    <row r="1061" customFormat="false" ht="12.75" hidden="false" customHeight="false" outlineLevel="0" collapsed="false">
      <c r="E1061" s="152"/>
    </row>
    <row r="1062" customFormat="false" ht="12.75" hidden="false" customHeight="false" outlineLevel="0" collapsed="false">
      <c r="E1062" s="152"/>
    </row>
    <row r="1063" customFormat="false" ht="12.75" hidden="false" customHeight="false" outlineLevel="0" collapsed="false">
      <c r="E1063" s="152"/>
    </row>
    <row r="1064" customFormat="false" ht="12.75" hidden="false" customHeight="false" outlineLevel="0" collapsed="false">
      <c r="E1064" s="152"/>
    </row>
    <row r="1065" customFormat="false" ht="12.75" hidden="false" customHeight="false" outlineLevel="0" collapsed="false">
      <c r="E1065" s="152"/>
    </row>
    <row r="1066" customFormat="false" ht="12.75" hidden="false" customHeight="false" outlineLevel="0" collapsed="false">
      <c r="E1066" s="152"/>
    </row>
    <row r="1067" customFormat="false" ht="12.75" hidden="false" customHeight="false" outlineLevel="0" collapsed="false">
      <c r="E1067" s="152"/>
    </row>
    <row r="1068" customFormat="false" ht="12.75" hidden="false" customHeight="false" outlineLevel="0" collapsed="false">
      <c r="E1068" s="152"/>
    </row>
    <row r="1069" customFormat="false" ht="12.75" hidden="false" customHeight="false" outlineLevel="0" collapsed="false">
      <c r="E1069" s="152"/>
    </row>
    <row r="1070" customFormat="false" ht="12.75" hidden="false" customHeight="false" outlineLevel="0" collapsed="false">
      <c r="E1070" s="152"/>
    </row>
    <row r="1071" customFormat="false" ht="12.75" hidden="false" customHeight="false" outlineLevel="0" collapsed="false">
      <c r="E1071" s="152"/>
    </row>
    <row r="1072" customFormat="false" ht="12.75" hidden="false" customHeight="false" outlineLevel="0" collapsed="false">
      <c r="E1072" s="152"/>
    </row>
    <row r="1073" customFormat="false" ht="12.75" hidden="false" customHeight="false" outlineLevel="0" collapsed="false">
      <c r="E1073" s="152"/>
    </row>
    <row r="1074" customFormat="false" ht="12.75" hidden="false" customHeight="false" outlineLevel="0" collapsed="false">
      <c r="E1074" s="152"/>
    </row>
    <row r="1075" customFormat="false" ht="12.75" hidden="false" customHeight="false" outlineLevel="0" collapsed="false">
      <c r="E1075" s="152"/>
    </row>
    <row r="1076" customFormat="false" ht="12.75" hidden="false" customHeight="false" outlineLevel="0" collapsed="false">
      <c r="E1076" s="152"/>
    </row>
    <row r="1077" customFormat="false" ht="12.75" hidden="false" customHeight="false" outlineLevel="0" collapsed="false">
      <c r="E1077" s="152"/>
    </row>
    <row r="1078" customFormat="false" ht="12.75" hidden="false" customHeight="false" outlineLevel="0" collapsed="false">
      <c r="E1078" s="152"/>
    </row>
    <row r="1079" customFormat="false" ht="12.75" hidden="false" customHeight="false" outlineLevel="0" collapsed="false">
      <c r="E1079" s="152"/>
    </row>
    <row r="1080" customFormat="false" ht="12.75" hidden="false" customHeight="false" outlineLevel="0" collapsed="false">
      <c r="E1080" s="152"/>
    </row>
    <row r="1081" customFormat="false" ht="12.75" hidden="false" customHeight="false" outlineLevel="0" collapsed="false">
      <c r="E1081" s="152"/>
    </row>
    <row r="1082" customFormat="false" ht="12.75" hidden="false" customHeight="false" outlineLevel="0" collapsed="false">
      <c r="E1082" s="152"/>
    </row>
    <row r="1083" customFormat="false" ht="12.75" hidden="false" customHeight="false" outlineLevel="0" collapsed="false">
      <c r="E1083" s="152"/>
    </row>
    <row r="1084" customFormat="false" ht="12.75" hidden="false" customHeight="false" outlineLevel="0" collapsed="false">
      <c r="E1084" s="152"/>
    </row>
    <row r="1085" customFormat="false" ht="12.75" hidden="false" customHeight="false" outlineLevel="0" collapsed="false">
      <c r="E1085" s="152"/>
    </row>
    <row r="1086" customFormat="false" ht="12.75" hidden="false" customHeight="false" outlineLevel="0" collapsed="false">
      <c r="E1086" s="152"/>
    </row>
    <row r="1087" customFormat="false" ht="12.75" hidden="false" customHeight="false" outlineLevel="0" collapsed="false">
      <c r="E1087" s="152"/>
    </row>
    <row r="1088" customFormat="false" ht="12.75" hidden="false" customHeight="false" outlineLevel="0" collapsed="false">
      <c r="E1088" s="152"/>
    </row>
    <row r="1089" customFormat="false" ht="12.75" hidden="false" customHeight="false" outlineLevel="0" collapsed="false">
      <c r="E1089" s="152"/>
    </row>
    <row r="1090" customFormat="false" ht="12.75" hidden="false" customHeight="false" outlineLevel="0" collapsed="false">
      <c r="E1090" s="152"/>
    </row>
    <row r="1091" customFormat="false" ht="12.75" hidden="false" customHeight="false" outlineLevel="0" collapsed="false">
      <c r="E1091" s="152"/>
    </row>
    <row r="1092" customFormat="false" ht="12.75" hidden="false" customHeight="false" outlineLevel="0" collapsed="false">
      <c r="E1092" s="152"/>
    </row>
    <row r="1093" customFormat="false" ht="12.75" hidden="false" customHeight="false" outlineLevel="0" collapsed="false">
      <c r="E1093" s="152"/>
    </row>
    <row r="1094" customFormat="false" ht="12.75" hidden="false" customHeight="false" outlineLevel="0" collapsed="false">
      <c r="E1094" s="152"/>
    </row>
    <row r="1095" customFormat="false" ht="12.75" hidden="false" customHeight="false" outlineLevel="0" collapsed="false">
      <c r="E1095" s="152"/>
    </row>
    <row r="1096" customFormat="false" ht="12.75" hidden="false" customHeight="false" outlineLevel="0" collapsed="false">
      <c r="E1096" s="152"/>
    </row>
    <row r="1097" customFormat="false" ht="12.75" hidden="false" customHeight="false" outlineLevel="0" collapsed="false">
      <c r="E1097" s="152"/>
    </row>
    <row r="1098" customFormat="false" ht="12.75" hidden="false" customHeight="false" outlineLevel="0" collapsed="false">
      <c r="E1098" s="152"/>
    </row>
    <row r="1099" customFormat="false" ht="12.75" hidden="false" customHeight="false" outlineLevel="0" collapsed="false">
      <c r="E1099" s="152"/>
    </row>
    <row r="1100" customFormat="false" ht="12.75" hidden="false" customHeight="false" outlineLevel="0" collapsed="false">
      <c r="E1100" s="152"/>
    </row>
    <row r="1101" customFormat="false" ht="12.75" hidden="false" customHeight="false" outlineLevel="0" collapsed="false">
      <c r="E1101" s="152"/>
    </row>
    <row r="1102" customFormat="false" ht="12.75" hidden="false" customHeight="false" outlineLevel="0" collapsed="false">
      <c r="E1102" s="152"/>
    </row>
    <row r="1103" customFormat="false" ht="12.75" hidden="false" customHeight="false" outlineLevel="0" collapsed="false">
      <c r="E1103" s="152"/>
    </row>
    <row r="1104" customFormat="false" ht="12.75" hidden="false" customHeight="false" outlineLevel="0" collapsed="false">
      <c r="E1104" s="152"/>
    </row>
    <row r="1105" customFormat="false" ht="12.75" hidden="false" customHeight="false" outlineLevel="0" collapsed="false">
      <c r="E1105" s="152"/>
    </row>
    <row r="1106" customFormat="false" ht="12.75" hidden="false" customHeight="false" outlineLevel="0" collapsed="false">
      <c r="E1106" s="152"/>
    </row>
    <row r="1107" customFormat="false" ht="12.75" hidden="false" customHeight="false" outlineLevel="0" collapsed="false">
      <c r="E1107" s="152"/>
    </row>
    <row r="1108" customFormat="false" ht="12.75" hidden="false" customHeight="false" outlineLevel="0" collapsed="false">
      <c r="E1108" s="152"/>
    </row>
    <row r="1109" customFormat="false" ht="12.75" hidden="false" customHeight="false" outlineLevel="0" collapsed="false">
      <c r="E1109" s="152"/>
    </row>
    <row r="1110" customFormat="false" ht="12.75" hidden="false" customHeight="false" outlineLevel="0" collapsed="false">
      <c r="E1110" s="152"/>
    </row>
    <row r="1111" customFormat="false" ht="12.75" hidden="false" customHeight="false" outlineLevel="0" collapsed="false">
      <c r="E1111" s="152"/>
    </row>
    <row r="1112" customFormat="false" ht="12.75" hidden="false" customHeight="false" outlineLevel="0" collapsed="false">
      <c r="E1112" s="152"/>
    </row>
    <row r="1113" customFormat="false" ht="12.75" hidden="false" customHeight="false" outlineLevel="0" collapsed="false">
      <c r="E1113" s="152"/>
    </row>
    <row r="1114" customFormat="false" ht="12.75" hidden="false" customHeight="false" outlineLevel="0" collapsed="false">
      <c r="E1114" s="152"/>
    </row>
    <row r="1115" customFormat="false" ht="12.75" hidden="false" customHeight="false" outlineLevel="0" collapsed="false">
      <c r="E1115" s="152"/>
    </row>
    <row r="1116" customFormat="false" ht="12.75" hidden="false" customHeight="false" outlineLevel="0" collapsed="false">
      <c r="E1116" s="152"/>
    </row>
    <row r="1117" customFormat="false" ht="12.75" hidden="false" customHeight="false" outlineLevel="0" collapsed="false">
      <c r="E1117" s="152"/>
    </row>
    <row r="1118" customFormat="false" ht="12.75" hidden="false" customHeight="false" outlineLevel="0" collapsed="false">
      <c r="E1118" s="152"/>
    </row>
    <row r="1119" customFormat="false" ht="12.75" hidden="false" customHeight="false" outlineLevel="0" collapsed="false">
      <c r="E1119" s="152"/>
    </row>
    <row r="1120" customFormat="false" ht="12.75" hidden="false" customHeight="false" outlineLevel="0" collapsed="false">
      <c r="E1120" s="152"/>
    </row>
    <row r="1121" customFormat="false" ht="12.75" hidden="false" customHeight="false" outlineLevel="0" collapsed="false">
      <c r="E1121" s="152"/>
    </row>
    <row r="1122" customFormat="false" ht="12.75" hidden="false" customHeight="false" outlineLevel="0" collapsed="false">
      <c r="E1122" s="152"/>
    </row>
    <row r="1123" customFormat="false" ht="12.75" hidden="false" customHeight="false" outlineLevel="0" collapsed="false">
      <c r="E1123" s="152"/>
    </row>
    <row r="1124" customFormat="false" ht="12.75" hidden="false" customHeight="false" outlineLevel="0" collapsed="false">
      <c r="E1124" s="152"/>
    </row>
    <row r="1125" customFormat="false" ht="12.75" hidden="false" customHeight="false" outlineLevel="0" collapsed="false">
      <c r="E1125" s="152"/>
    </row>
    <row r="1126" customFormat="false" ht="12.75" hidden="false" customHeight="false" outlineLevel="0" collapsed="false">
      <c r="E1126" s="152"/>
    </row>
    <row r="1127" customFormat="false" ht="12.75" hidden="false" customHeight="false" outlineLevel="0" collapsed="false">
      <c r="E1127" s="152"/>
    </row>
    <row r="1128" customFormat="false" ht="12.75" hidden="false" customHeight="false" outlineLevel="0" collapsed="false">
      <c r="E1128" s="152"/>
    </row>
    <row r="1129" customFormat="false" ht="12.75" hidden="false" customHeight="false" outlineLevel="0" collapsed="false">
      <c r="E1129" s="152"/>
    </row>
    <row r="1130" customFormat="false" ht="12.75" hidden="false" customHeight="false" outlineLevel="0" collapsed="false">
      <c r="E1130" s="152"/>
    </row>
    <row r="1131" customFormat="false" ht="12.75" hidden="false" customHeight="false" outlineLevel="0" collapsed="false">
      <c r="E1131" s="152"/>
    </row>
    <row r="1132" customFormat="false" ht="12.75" hidden="false" customHeight="false" outlineLevel="0" collapsed="false">
      <c r="E1132" s="152"/>
    </row>
    <row r="1133" customFormat="false" ht="12.75" hidden="false" customHeight="false" outlineLevel="0" collapsed="false">
      <c r="E1133" s="152"/>
    </row>
    <row r="1134" customFormat="false" ht="12.75" hidden="false" customHeight="false" outlineLevel="0" collapsed="false">
      <c r="E1134" s="152"/>
    </row>
    <row r="1135" customFormat="false" ht="12.75" hidden="false" customHeight="false" outlineLevel="0" collapsed="false">
      <c r="E1135" s="152"/>
    </row>
    <row r="1136" customFormat="false" ht="12.75" hidden="false" customHeight="false" outlineLevel="0" collapsed="false">
      <c r="E1136" s="152"/>
    </row>
    <row r="1137" customFormat="false" ht="12.75" hidden="false" customHeight="false" outlineLevel="0" collapsed="false">
      <c r="E1137" s="152"/>
    </row>
    <row r="1138" customFormat="false" ht="12.75" hidden="false" customHeight="false" outlineLevel="0" collapsed="false">
      <c r="E1138" s="152"/>
    </row>
    <row r="1139" customFormat="false" ht="12.75" hidden="false" customHeight="false" outlineLevel="0" collapsed="false">
      <c r="E1139" s="152"/>
    </row>
    <row r="1140" customFormat="false" ht="12.75" hidden="false" customHeight="false" outlineLevel="0" collapsed="false">
      <c r="E1140" s="152"/>
    </row>
    <row r="1141" customFormat="false" ht="12.75" hidden="false" customHeight="false" outlineLevel="0" collapsed="false">
      <c r="E1141" s="152"/>
    </row>
    <row r="1142" customFormat="false" ht="12.75" hidden="false" customHeight="false" outlineLevel="0" collapsed="false">
      <c r="E1142" s="152"/>
    </row>
    <row r="1143" customFormat="false" ht="12.75" hidden="false" customHeight="false" outlineLevel="0" collapsed="false">
      <c r="E1143" s="152"/>
    </row>
    <row r="1144" customFormat="false" ht="12.75" hidden="false" customHeight="false" outlineLevel="0" collapsed="false">
      <c r="E1144" s="152"/>
    </row>
    <row r="1145" customFormat="false" ht="12.75" hidden="false" customHeight="false" outlineLevel="0" collapsed="false">
      <c r="E1145" s="152"/>
    </row>
    <row r="1146" customFormat="false" ht="12.75" hidden="false" customHeight="false" outlineLevel="0" collapsed="false">
      <c r="E1146" s="152"/>
    </row>
    <row r="1147" customFormat="false" ht="12.75" hidden="false" customHeight="false" outlineLevel="0" collapsed="false">
      <c r="E1147" s="152"/>
    </row>
    <row r="1148" customFormat="false" ht="12.75" hidden="false" customHeight="false" outlineLevel="0" collapsed="false">
      <c r="E1148" s="152"/>
    </row>
    <row r="1149" customFormat="false" ht="12.75" hidden="false" customHeight="false" outlineLevel="0" collapsed="false">
      <c r="E1149" s="152"/>
    </row>
    <row r="1150" customFormat="false" ht="12.75" hidden="false" customHeight="false" outlineLevel="0" collapsed="false">
      <c r="E1150" s="152"/>
    </row>
    <row r="1151" customFormat="false" ht="12.75" hidden="false" customHeight="false" outlineLevel="0" collapsed="false">
      <c r="E1151" s="152"/>
    </row>
    <row r="1152" customFormat="false" ht="12.75" hidden="false" customHeight="false" outlineLevel="0" collapsed="false">
      <c r="E1152" s="152"/>
    </row>
    <row r="1153" customFormat="false" ht="12.75" hidden="false" customHeight="false" outlineLevel="0" collapsed="false">
      <c r="E1153" s="152"/>
    </row>
    <row r="1154" customFormat="false" ht="12.75" hidden="false" customHeight="false" outlineLevel="0" collapsed="false">
      <c r="E1154" s="152"/>
    </row>
    <row r="1155" customFormat="false" ht="12.75" hidden="false" customHeight="false" outlineLevel="0" collapsed="false">
      <c r="E1155" s="152"/>
    </row>
    <row r="1156" customFormat="false" ht="12.75" hidden="false" customHeight="false" outlineLevel="0" collapsed="false">
      <c r="E1156" s="152"/>
    </row>
    <row r="1157" customFormat="false" ht="12.75" hidden="false" customHeight="false" outlineLevel="0" collapsed="false">
      <c r="E1157" s="152"/>
    </row>
    <row r="1158" customFormat="false" ht="12.75" hidden="false" customHeight="false" outlineLevel="0" collapsed="false">
      <c r="E1158" s="152"/>
    </row>
    <row r="1159" customFormat="false" ht="12.75" hidden="false" customHeight="false" outlineLevel="0" collapsed="false">
      <c r="E1159" s="152"/>
    </row>
    <row r="1160" customFormat="false" ht="12.75" hidden="false" customHeight="false" outlineLevel="0" collapsed="false">
      <c r="E1160" s="152"/>
    </row>
    <row r="1161" customFormat="false" ht="12.75" hidden="false" customHeight="false" outlineLevel="0" collapsed="false">
      <c r="E1161" s="152"/>
    </row>
    <row r="1162" customFormat="false" ht="12.75" hidden="false" customHeight="false" outlineLevel="0" collapsed="false">
      <c r="E1162" s="152"/>
    </row>
    <row r="1163" customFormat="false" ht="12.75" hidden="false" customHeight="false" outlineLevel="0" collapsed="false">
      <c r="E1163" s="152"/>
    </row>
    <row r="1164" customFormat="false" ht="12.75" hidden="false" customHeight="false" outlineLevel="0" collapsed="false">
      <c r="E1164" s="152"/>
    </row>
    <row r="1165" customFormat="false" ht="12.75" hidden="false" customHeight="false" outlineLevel="0" collapsed="false">
      <c r="E1165" s="152"/>
    </row>
    <row r="1166" customFormat="false" ht="12.75" hidden="false" customHeight="false" outlineLevel="0" collapsed="false">
      <c r="E1166" s="152"/>
    </row>
    <row r="1167" customFormat="false" ht="12.75" hidden="false" customHeight="false" outlineLevel="0" collapsed="false">
      <c r="E1167" s="152"/>
    </row>
    <row r="1168" customFormat="false" ht="12.75" hidden="false" customHeight="false" outlineLevel="0" collapsed="false">
      <c r="E1168" s="152"/>
    </row>
    <row r="1169" customFormat="false" ht="12.75" hidden="false" customHeight="false" outlineLevel="0" collapsed="false">
      <c r="E1169" s="152"/>
    </row>
    <row r="1170" customFormat="false" ht="12.75" hidden="false" customHeight="false" outlineLevel="0" collapsed="false">
      <c r="E1170" s="152"/>
    </row>
    <row r="1171" customFormat="false" ht="12.75" hidden="false" customHeight="false" outlineLevel="0" collapsed="false">
      <c r="E1171" s="152"/>
    </row>
    <row r="1172" customFormat="false" ht="12.75" hidden="false" customHeight="false" outlineLevel="0" collapsed="false">
      <c r="E1172" s="152"/>
    </row>
    <row r="1173" customFormat="false" ht="12.75" hidden="false" customHeight="false" outlineLevel="0" collapsed="false">
      <c r="E1173" s="152"/>
    </row>
    <row r="1174" customFormat="false" ht="12.75" hidden="false" customHeight="false" outlineLevel="0" collapsed="false">
      <c r="E1174" s="152"/>
    </row>
    <row r="1175" customFormat="false" ht="12.75" hidden="false" customHeight="false" outlineLevel="0" collapsed="false">
      <c r="E1175" s="152"/>
    </row>
    <row r="1176" customFormat="false" ht="12.75" hidden="false" customHeight="false" outlineLevel="0" collapsed="false">
      <c r="E1176" s="152"/>
    </row>
    <row r="1177" customFormat="false" ht="12.75" hidden="false" customHeight="false" outlineLevel="0" collapsed="false">
      <c r="E1177" s="152"/>
    </row>
    <row r="1178" customFormat="false" ht="12.75" hidden="false" customHeight="false" outlineLevel="0" collapsed="false">
      <c r="E1178" s="152"/>
    </row>
    <row r="1179" customFormat="false" ht="12.75" hidden="false" customHeight="false" outlineLevel="0" collapsed="false">
      <c r="E1179" s="152"/>
    </row>
    <row r="1180" customFormat="false" ht="12.75" hidden="false" customHeight="false" outlineLevel="0" collapsed="false">
      <c r="E1180" s="152"/>
    </row>
    <row r="1181" customFormat="false" ht="12.75" hidden="false" customHeight="false" outlineLevel="0" collapsed="false">
      <c r="E1181" s="152"/>
    </row>
    <row r="1182" customFormat="false" ht="12.75" hidden="false" customHeight="false" outlineLevel="0" collapsed="false">
      <c r="E1182" s="152"/>
    </row>
    <row r="1183" customFormat="false" ht="12.75" hidden="false" customHeight="false" outlineLevel="0" collapsed="false">
      <c r="E1183" s="152"/>
    </row>
    <row r="1184" customFormat="false" ht="12.75" hidden="false" customHeight="false" outlineLevel="0" collapsed="false">
      <c r="E1184" s="152"/>
    </row>
    <row r="1185" customFormat="false" ht="12.75" hidden="false" customHeight="false" outlineLevel="0" collapsed="false">
      <c r="E1185" s="152"/>
    </row>
    <row r="1186" customFormat="false" ht="12.75" hidden="false" customHeight="false" outlineLevel="0" collapsed="false">
      <c r="E1186" s="152"/>
    </row>
    <row r="1187" customFormat="false" ht="12.75" hidden="false" customHeight="false" outlineLevel="0" collapsed="false">
      <c r="E1187" s="152"/>
    </row>
    <row r="1188" customFormat="false" ht="12.75" hidden="false" customHeight="false" outlineLevel="0" collapsed="false">
      <c r="E1188" s="152"/>
    </row>
    <row r="1189" customFormat="false" ht="12.75" hidden="false" customHeight="false" outlineLevel="0" collapsed="false">
      <c r="E1189" s="152"/>
    </row>
    <row r="1190" customFormat="false" ht="12.75" hidden="false" customHeight="false" outlineLevel="0" collapsed="false">
      <c r="E1190" s="152"/>
    </row>
    <row r="1191" customFormat="false" ht="12.75" hidden="false" customHeight="false" outlineLevel="0" collapsed="false">
      <c r="E1191" s="152"/>
    </row>
    <row r="1192" customFormat="false" ht="12.75" hidden="false" customHeight="false" outlineLevel="0" collapsed="false">
      <c r="E1192" s="152"/>
    </row>
    <row r="1193" customFormat="false" ht="12.75" hidden="false" customHeight="false" outlineLevel="0" collapsed="false">
      <c r="E1193" s="152"/>
    </row>
    <row r="1194" customFormat="false" ht="12.75" hidden="false" customHeight="false" outlineLevel="0" collapsed="false">
      <c r="E1194" s="152"/>
    </row>
    <row r="1195" customFormat="false" ht="12.75" hidden="false" customHeight="false" outlineLevel="0" collapsed="false">
      <c r="E1195" s="152"/>
    </row>
    <row r="1196" customFormat="false" ht="12.75" hidden="false" customHeight="false" outlineLevel="0" collapsed="false">
      <c r="E1196" s="152"/>
    </row>
    <row r="1197" customFormat="false" ht="12.75" hidden="false" customHeight="false" outlineLevel="0" collapsed="false">
      <c r="E1197" s="152"/>
    </row>
    <row r="1198" customFormat="false" ht="12.75" hidden="false" customHeight="false" outlineLevel="0" collapsed="false">
      <c r="E1198" s="152"/>
    </row>
    <row r="1199" customFormat="false" ht="12.75" hidden="false" customHeight="false" outlineLevel="0" collapsed="false">
      <c r="E1199" s="152"/>
    </row>
    <row r="1200" customFormat="false" ht="12.75" hidden="false" customHeight="false" outlineLevel="0" collapsed="false">
      <c r="E1200" s="152"/>
    </row>
    <row r="1201" customFormat="false" ht="12.75" hidden="false" customHeight="false" outlineLevel="0" collapsed="false">
      <c r="E1201" s="152"/>
    </row>
    <row r="1202" customFormat="false" ht="12.75" hidden="false" customHeight="false" outlineLevel="0" collapsed="false">
      <c r="E1202" s="152"/>
    </row>
    <row r="1203" customFormat="false" ht="12.75" hidden="false" customHeight="false" outlineLevel="0" collapsed="false">
      <c r="E1203" s="152"/>
    </row>
    <row r="1204" customFormat="false" ht="12.75" hidden="false" customHeight="false" outlineLevel="0" collapsed="false">
      <c r="E1204" s="152"/>
    </row>
    <row r="1205" customFormat="false" ht="12.75" hidden="false" customHeight="false" outlineLevel="0" collapsed="false">
      <c r="E1205" s="152"/>
    </row>
    <row r="1206" customFormat="false" ht="12.75" hidden="false" customHeight="false" outlineLevel="0" collapsed="false">
      <c r="E1206" s="152"/>
    </row>
    <row r="1207" customFormat="false" ht="12.75" hidden="false" customHeight="false" outlineLevel="0" collapsed="false">
      <c r="E1207" s="152"/>
    </row>
    <row r="1208" customFormat="false" ht="12.75" hidden="false" customHeight="false" outlineLevel="0" collapsed="false">
      <c r="E1208" s="152"/>
    </row>
    <row r="1209" customFormat="false" ht="12.75" hidden="false" customHeight="false" outlineLevel="0" collapsed="false">
      <c r="E1209" s="152"/>
    </row>
    <row r="1210" customFormat="false" ht="12.75" hidden="false" customHeight="false" outlineLevel="0" collapsed="false">
      <c r="E1210" s="152"/>
    </row>
    <row r="1211" customFormat="false" ht="12.75" hidden="false" customHeight="false" outlineLevel="0" collapsed="false">
      <c r="E1211" s="152"/>
    </row>
    <row r="1212" customFormat="false" ht="12.75" hidden="false" customHeight="false" outlineLevel="0" collapsed="false">
      <c r="E1212" s="152"/>
    </row>
    <row r="1213" customFormat="false" ht="12.75" hidden="false" customHeight="false" outlineLevel="0" collapsed="false">
      <c r="E1213" s="152"/>
    </row>
    <row r="1214" customFormat="false" ht="12.75" hidden="false" customHeight="false" outlineLevel="0" collapsed="false">
      <c r="E1214" s="152"/>
    </row>
    <row r="1215" customFormat="false" ht="12.75" hidden="false" customHeight="false" outlineLevel="0" collapsed="false">
      <c r="E1215" s="152"/>
    </row>
    <row r="1216" customFormat="false" ht="12.75" hidden="false" customHeight="false" outlineLevel="0" collapsed="false">
      <c r="E1216" s="152"/>
    </row>
    <row r="1217" customFormat="false" ht="12.75" hidden="false" customHeight="false" outlineLevel="0" collapsed="false">
      <c r="E1217" s="152"/>
    </row>
    <row r="1218" customFormat="false" ht="12.75" hidden="false" customHeight="false" outlineLevel="0" collapsed="false">
      <c r="E1218" s="152"/>
    </row>
    <row r="1219" customFormat="false" ht="12.75" hidden="false" customHeight="false" outlineLevel="0" collapsed="false">
      <c r="E1219" s="152"/>
    </row>
    <row r="1220" customFormat="false" ht="12.75" hidden="false" customHeight="false" outlineLevel="0" collapsed="false">
      <c r="E1220" s="152"/>
    </row>
    <row r="1221" customFormat="false" ht="12.75" hidden="false" customHeight="false" outlineLevel="0" collapsed="false">
      <c r="E1221" s="152"/>
    </row>
    <row r="1222" customFormat="false" ht="12.75" hidden="false" customHeight="false" outlineLevel="0" collapsed="false">
      <c r="E1222" s="152"/>
    </row>
    <row r="1223" customFormat="false" ht="12.75" hidden="false" customHeight="false" outlineLevel="0" collapsed="false">
      <c r="E1223" s="152"/>
    </row>
    <row r="1224" customFormat="false" ht="12.75" hidden="false" customHeight="false" outlineLevel="0" collapsed="false">
      <c r="E1224" s="152"/>
    </row>
    <row r="1225" customFormat="false" ht="12.75" hidden="false" customHeight="false" outlineLevel="0" collapsed="false">
      <c r="E1225" s="152"/>
    </row>
    <row r="1226" customFormat="false" ht="12.75" hidden="false" customHeight="false" outlineLevel="0" collapsed="false">
      <c r="E1226" s="152"/>
    </row>
    <row r="1227" customFormat="false" ht="12.75" hidden="false" customHeight="false" outlineLevel="0" collapsed="false">
      <c r="E1227" s="152"/>
    </row>
    <row r="1228" customFormat="false" ht="12.75" hidden="false" customHeight="false" outlineLevel="0" collapsed="false">
      <c r="E1228" s="152"/>
    </row>
    <row r="1229" customFormat="false" ht="12.75" hidden="false" customHeight="false" outlineLevel="0" collapsed="false">
      <c r="E1229" s="152"/>
    </row>
    <row r="1230" customFormat="false" ht="12.75" hidden="false" customHeight="false" outlineLevel="0" collapsed="false">
      <c r="E1230" s="152"/>
    </row>
    <row r="1231" customFormat="false" ht="12.75" hidden="false" customHeight="false" outlineLevel="0" collapsed="false">
      <c r="E1231" s="152"/>
    </row>
    <row r="1232" customFormat="false" ht="12.75" hidden="false" customHeight="false" outlineLevel="0" collapsed="false">
      <c r="E1232" s="152"/>
    </row>
    <row r="1233" customFormat="false" ht="12.75" hidden="false" customHeight="false" outlineLevel="0" collapsed="false">
      <c r="E1233" s="152"/>
    </row>
    <row r="1234" customFormat="false" ht="12.75" hidden="false" customHeight="false" outlineLevel="0" collapsed="false">
      <c r="E1234" s="152"/>
    </row>
    <row r="1235" customFormat="false" ht="12.75" hidden="false" customHeight="false" outlineLevel="0" collapsed="false">
      <c r="E1235" s="152"/>
    </row>
    <row r="1236" customFormat="false" ht="12.75" hidden="false" customHeight="false" outlineLevel="0" collapsed="false">
      <c r="E1236" s="152"/>
    </row>
    <row r="1237" customFormat="false" ht="12.75" hidden="false" customHeight="false" outlineLevel="0" collapsed="false">
      <c r="E1237" s="152"/>
    </row>
    <row r="1238" customFormat="false" ht="12.75" hidden="false" customHeight="false" outlineLevel="0" collapsed="false">
      <c r="E1238" s="152"/>
    </row>
    <row r="1239" customFormat="false" ht="12.75" hidden="false" customHeight="false" outlineLevel="0" collapsed="false">
      <c r="E1239" s="152"/>
    </row>
    <row r="1240" customFormat="false" ht="12.75" hidden="false" customHeight="false" outlineLevel="0" collapsed="false">
      <c r="E1240" s="152"/>
    </row>
    <row r="1241" customFormat="false" ht="12.75" hidden="false" customHeight="false" outlineLevel="0" collapsed="false">
      <c r="E1241" s="152"/>
    </row>
    <row r="1242" customFormat="false" ht="12.75" hidden="false" customHeight="false" outlineLevel="0" collapsed="false">
      <c r="E1242" s="152"/>
    </row>
    <row r="1243" customFormat="false" ht="12.75" hidden="false" customHeight="false" outlineLevel="0" collapsed="false">
      <c r="E1243" s="152"/>
    </row>
    <row r="1244" customFormat="false" ht="12.75" hidden="false" customHeight="false" outlineLevel="0" collapsed="false">
      <c r="E1244" s="152"/>
    </row>
    <row r="1245" customFormat="false" ht="12.75" hidden="false" customHeight="false" outlineLevel="0" collapsed="false">
      <c r="E1245" s="152"/>
    </row>
    <row r="1246" customFormat="false" ht="12.75" hidden="false" customHeight="false" outlineLevel="0" collapsed="false">
      <c r="E1246" s="152"/>
    </row>
    <row r="1247" customFormat="false" ht="12.75" hidden="false" customHeight="false" outlineLevel="0" collapsed="false">
      <c r="E1247" s="152"/>
    </row>
    <row r="1248" customFormat="false" ht="12.75" hidden="false" customHeight="false" outlineLevel="0" collapsed="false">
      <c r="E1248" s="152"/>
    </row>
    <row r="1249" customFormat="false" ht="12.75" hidden="false" customHeight="false" outlineLevel="0" collapsed="false">
      <c r="E1249" s="152"/>
    </row>
    <row r="1250" customFormat="false" ht="12.75" hidden="false" customHeight="false" outlineLevel="0" collapsed="false">
      <c r="E1250" s="152"/>
    </row>
    <row r="1251" customFormat="false" ht="12.75" hidden="false" customHeight="false" outlineLevel="0" collapsed="false">
      <c r="E1251" s="152"/>
    </row>
    <row r="1252" customFormat="false" ht="12.75" hidden="false" customHeight="false" outlineLevel="0" collapsed="false">
      <c r="E1252" s="152"/>
    </row>
    <row r="1253" customFormat="false" ht="12.75" hidden="false" customHeight="false" outlineLevel="0" collapsed="false">
      <c r="E1253" s="152"/>
    </row>
    <row r="1254" customFormat="false" ht="12.75" hidden="false" customHeight="false" outlineLevel="0" collapsed="false">
      <c r="E1254" s="152"/>
    </row>
    <row r="1255" customFormat="false" ht="12.75" hidden="false" customHeight="false" outlineLevel="0" collapsed="false">
      <c r="E1255" s="152"/>
    </row>
    <row r="1256" customFormat="false" ht="12.75" hidden="false" customHeight="false" outlineLevel="0" collapsed="false">
      <c r="E1256" s="152"/>
    </row>
    <row r="1257" customFormat="false" ht="12.75" hidden="false" customHeight="false" outlineLevel="0" collapsed="false">
      <c r="E1257" s="152"/>
    </row>
    <row r="1258" customFormat="false" ht="12.75" hidden="false" customHeight="false" outlineLevel="0" collapsed="false">
      <c r="E1258" s="152"/>
    </row>
    <row r="1259" customFormat="false" ht="12.75" hidden="false" customHeight="false" outlineLevel="0" collapsed="false">
      <c r="E1259" s="152"/>
    </row>
    <row r="1260" customFormat="false" ht="12.75" hidden="false" customHeight="false" outlineLevel="0" collapsed="false">
      <c r="E1260" s="152"/>
    </row>
    <row r="1261" customFormat="false" ht="12.75" hidden="false" customHeight="false" outlineLevel="0" collapsed="false">
      <c r="E1261" s="152"/>
    </row>
    <row r="1262" customFormat="false" ht="12.75" hidden="false" customHeight="false" outlineLevel="0" collapsed="false">
      <c r="E1262" s="152"/>
    </row>
    <row r="1263" customFormat="false" ht="12.75" hidden="false" customHeight="false" outlineLevel="0" collapsed="false">
      <c r="E1263" s="152"/>
    </row>
    <row r="1264" customFormat="false" ht="12.75" hidden="false" customHeight="false" outlineLevel="0" collapsed="false">
      <c r="E1264" s="152"/>
    </row>
    <row r="1265" customFormat="false" ht="12.75" hidden="false" customHeight="false" outlineLevel="0" collapsed="false">
      <c r="E1265" s="152"/>
    </row>
    <row r="1266" customFormat="false" ht="12.75" hidden="false" customHeight="false" outlineLevel="0" collapsed="false">
      <c r="E1266" s="152"/>
    </row>
    <row r="1267" customFormat="false" ht="12.75" hidden="false" customHeight="false" outlineLevel="0" collapsed="false">
      <c r="E1267" s="152"/>
    </row>
    <row r="1268" customFormat="false" ht="12.75" hidden="false" customHeight="false" outlineLevel="0" collapsed="false">
      <c r="E1268" s="152"/>
    </row>
    <row r="1269" customFormat="false" ht="12.75" hidden="false" customHeight="false" outlineLevel="0" collapsed="false">
      <c r="E1269" s="152"/>
    </row>
    <row r="1270" customFormat="false" ht="12.75" hidden="false" customHeight="false" outlineLevel="0" collapsed="false">
      <c r="E1270" s="152"/>
    </row>
    <row r="1271" customFormat="false" ht="12.75" hidden="false" customHeight="false" outlineLevel="0" collapsed="false">
      <c r="E1271" s="152"/>
    </row>
    <row r="1272" customFormat="false" ht="12.75" hidden="false" customHeight="false" outlineLevel="0" collapsed="false">
      <c r="E1272" s="152"/>
    </row>
    <row r="1273" customFormat="false" ht="12.75" hidden="false" customHeight="false" outlineLevel="0" collapsed="false">
      <c r="E1273" s="152"/>
    </row>
    <row r="1274" customFormat="false" ht="12.75" hidden="false" customHeight="false" outlineLevel="0" collapsed="false">
      <c r="E1274" s="152"/>
    </row>
    <row r="1275" customFormat="false" ht="12.75" hidden="false" customHeight="false" outlineLevel="0" collapsed="false">
      <c r="E1275" s="152"/>
    </row>
    <row r="1276" customFormat="false" ht="12.75" hidden="false" customHeight="false" outlineLevel="0" collapsed="false">
      <c r="E1276" s="152"/>
    </row>
    <row r="1277" customFormat="false" ht="12.75" hidden="false" customHeight="false" outlineLevel="0" collapsed="false">
      <c r="E1277" s="152"/>
    </row>
    <row r="1278" customFormat="false" ht="12.75" hidden="false" customHeight="false" outlineLevel="0" collapsed="false">
      <c r="E1278" s="152"/>
    </row>
    <row r="1279" customFormat="false" ht="12.75" hidden="false" customHeight="false" outlineLevel="0" collapsed="false">
      <c r="E1279" s="152"/>
    </row>
    <row r="1280" customFormat="false" ht="12.75" hidden="false" customHeight="false" outlineLevel="0" collapsed="false">
      <c r="E1280" s="152"/>
    </row>
    <row r="1281" customFormat="false" ht="12.75" hidden="false" customHeight="false" outlineLevel="0" collapsed="false">
      <c r="E1281" s="152"/>
    </row>
    <row r="1282" customFormat="false" ht="12.75" hidden="false" customHeight="false" outlineLevel="0" collapsed="false">
      <c r="E1282" s="152"/>
    </row>
    <row r="1283" customFormat="false" ht="12.75" hidden="false" customHeight="false" outlineLevel="0" collapsed="false">
      <c r="E1283" s="152"/>
    </row>
    <row r="1284" customFormat="false" ht="12.75" hidden="false" customHeight="false" outlineLevel="0" collapsed="false">
      <c r="E1284" s="152"/>
    </row>
    <row r="1285" customFormat="false" ht="12.75" hidden="false" customHeight="false" outlineLevel="0" collapsed="false">
      <c r="E1285" s="152"/>
    </row>
    <row r="1286" customFormat="false" ht="12.75" hidden="false" customHeight="false" outlineLevel="0" collapsed="false">
      <c r="E1286" s="152"/>
    </row>
    <row r="1287" customFormat="false" ht="12.75" hidden="false" customHeight="false" outlineLevel="0" collapsed="false">
      <c r="E1287" s="152"/>
    </row>
    <row r="1288" customFormat="false" ht="12.75" hidden="false" customHeight="false" outlineLevel="0" collapsed="false">
      <c r="E1288" s="152"/>
    </row>
    <row r="1289" customFormat="false" ht="12.75" hidden="false" customHeight="false" outlineLevel="0" collapsed="false">
      <c r="E1289" s="152"/>
    </row>
    <row r="1290" customFormat="false" ht="12.75" hidden="false" customHeight="false" outlineLevel="0" collapsed="false">
      <c r="E1290" s="152"/>
    </row>
    <row r="1291" customFormat="false" ht="12.75" hidden="false" customHeight="false" outlineLevel="0" collapsed="false">
      <c r="E1291" s="152"/>
    </row>
    <row r="1292" customFormat="false" ht="12.75" hidden="false" customHeight="false" outlineLevel="0" collapsed="false">
      <c r="E1292" s="152"/>
    </row>
    <row r="1293" customFormat="false" ht="12.75" hidden="false" customHeight="false" outlineLevel="0" collapsed="false">
      <c r="E1293" s="152"/>
    </row>
    <row r="1294" customFormat="false" ht="12.75" hidden="false" customHeight="false" outlineLevel="0" collapsed="false">
      <c r="E1294" s="152"/>
    </row>
    <row r="1295" customFormat="false" ht="12.75" hidden="false" customHeight="false" outlineLevel="0" collapsed="false">
      <c r="E1295" s="152"/>
    </row>
    <row r="1296" customFormat="false" ht="12.75" hidden="false" customHeight="false" outlineLevel="0" collapsed="false">
      <c r="E1296" s="152"/>
    </row>
    <row r="1297" customFormat="false" ht="12.75" hidden="false" customHeight="false" outlineLevel="0" collapsed="false">
      <c r="E1297" s="152"/>
    </row>
    <row r="1298" customFormat="false" ht="12.75" hidden="false" customHeight="false" outlineLevel="0" collapsed="false">
      <c r="E1298" s="152"/>
    </row>
    <row r="1299" customFormat="false" ht="12.75" hidden="false" customHeight="false" outlineLevel="0" collapsed="false">
      <c r="E1299" s="152"/>
    </row>
    <row r="1300" customFormat="false" ht="12.75" hidden="false" customHeight="false" outlineLevel="0" collapsed="false">
      <c r="E1300" s="152"/>
    </row>
    <row r="1301" customFormat="false" ht="12.75" hidden="false" customHeight="false" outlineLevel="0" collapsed="false">
      <c r="E1301" s="152"/>
    </row>
    <row r="1302" customFormat="false" ht="12.75" hidden="false" customHeight="false" outlineLevel="0" collapsed="false">
      <c r="E1302" s="152"/>
    </row>
    <row r="1303" customFormat="false" ht="12.75" hidden="false" customHeight="false" outlineLevel="0" collapsed="false">
      <c r="E1303" s="152"/>
    </row>
    <row r="1304" customFormat="false" ht="12.75" hidden="false" customHeight="false" outlineLevel="0" collapsed="false">
      <c r="E1304" s="152"/>
    </row>
    <row r="1305" customFormat="false" ht="12.75" hidden="false" customHeight="false" outlineLevel="0" collapsed="false">
      <c r="E1305" s="152"/>
    </row>
    <row r="1306" customFormat="false" ht="12.75" hidden="false" customHeight="false" outlineLevel="0" collapsed="false">
      <c r="E1306" s="152"/>
    </row>
    <row r="1307" customFormat="false" ht="12.75" hidden="false" customHeight="false" outlineLevel="0" collapsed="false">
      <c r="E1307" s="152"/>
    </row>
    <row r="1308" customFormat="false" ht="12.75" hidden="false" customHeight="false" outlineLevel="0" collapsed="false">
      <c r="E1308" s="152"/>
    </row>
    <row r="1309" customFormat="false" ht="12.75" hidden="false" customHeight="false" outlineLevel="0" collapsed="false">
      <c r="E1309" s="152"/>
    </row>
    <row r="1310" customFormat="false" ht="12.75" hidden="false" customHeight="false" outlineLevel="0" collapsed="false">
      <c r="E1310" s="152"/>
    </row>
    <row r="1311" customFormat="false" ht="12.75" hidden="false" customHeight="false" outlineLevel="0" collapsed="false">
      <c r="E1311" s="152"/>
    </row>
    <row r="1312" customFormat="false" ht="12.75" hidden="false" customHeight="false" outlineLevel="0" collapsed="false">
      <c r="E1312" s="152"/>
    </row>
    <row r="1313" customFormat="false" ht="12.75" hidden="false" customHeight="false" outlineLevel="0" collapsed="false">
      <c r="E1313" s="152"/>
    </row>
    <row r="1314" customFormat="false" ht="12.75" hidden="false" customHeight="false" outlineLevel="0" collapsed="false">
      <c r="E1314" s="152"/>
    </row>
    <row r="1315" customFormat="false" ht="12.75" hidden="false" customHeight="false" outlineLevel="0" collapsed="false">
      <c r="E1315" s="152"/>
    </row>
    <row r="1316" customFormat="false" ht="12.75" hidden="false" customHeight="false" outlineLevel="0" collapsed="false">
      <c r="E1316" s="152"/>
    </row>
    <row r="1317" customFormat="false" ht="12.75" hidden="false" customHeight="false" outlineLevel="0" collapsed="false">
      <c r="E1317" s="152"/>
    </row>
    <row r="1318" customFormat="false" ht="12.75" hidden="false" customHeight="false" outlineLevel="0" collapsed="false">
      <c r="E1318" s="152"/>
    </row>
    <row r="1319" customFormat="false" ht="12.75" hidden="false" customHeight="false" outlineLevel="0" collapsed="false">
      <c r="E1319" s="152"/>
    </row>
    <row r="1320" customFormat="false" ht="12.75" hidden="false" customHeight="false" outlineLevel="0" collapsed="false">
      <c r="E1320" s="152"/>
    </row>
    <row r="1321" customFormat="false" ht="12.75" hidden="false" customHeight="false" outlineLevel="0" collapsed="false">
      <c r="E1321" s="152"/>
    </row>
    <row r="1322" customFormat="false" ht="12.75" hidden="false" customHeight="false" outlineLevel="0" collapsed="false">
      <c r="E1322" s="152"/>
    </row>
    <row r="1323" customFormat="false" ht="12.75" hidden="false" customHeight="false" outlineLevel="0" collapsed="false">
      <c r="E1323" s="152"/>
    </row>
    <row r="1324" customFormat="false" ht="12.75" hidden="false" customHeight="false" outlineLevel="0" collapsed="false">
      <c r="E1324" s="152"/>
    </row>
    <row r="1325" customFormat="false" ht="12.75" hidden="false" customHeight="false" outlineLevel="0" collapsed="false">
      <c r="E1325" s="152"/>
    </row>
    <row r="1326" customFormat="false" ht="12.75" hidden="false" customHeight="false" outlineLevel="0" collapsed="false">
      <c r="E1326" s="152"/>
    </row>
    <row r="1327" customFormat="false" ht="12.75" hidden="false" customHeight="false" outlineLevel="0" collapsed="false">
      <c r="E1327" s="152"/>
    </row>
    <row r="1328" customFormat="false" ht="12.75" hidden="false" customHeight="false" outlineLevel="0" collapsed="false">
      <c r="E1328" s="152"/>
    </row>
    <row r="1329" customFormat="false" ht="12.75" hidden="false" customHeight="false" outlineLevel="0" collapsed="false">
      <c r="E1329" s="152"/>
    </row>
    <row r="1330" customFormat="false" ht="12.75" hidden="false" customHeight="false" outlineLevel="0" collapsed="false">
      <c r="E1330" s="152"/>
    </row>
    <row r="1331" customFormat="false" ht="12.75" hidden="false" customHeight="false" outlineLevel="0" collapsed="false">
      <c r="E1331" s="152"/>
    </row>
    <row r="1332" customFormat="false" ht="12.75" hidden="false" customHeight="false" outlineLevel="0" collapsed="false">
      <c r="E1332" s="152"/>
    </row>
    <row r="1333" customFormat="false" ht="12.75" hidden="false" customHeight="false" outlineLevel="0" collapsed="false">
      <c r="E1333" s="152"/>
    </row>
    <row r="1334" customFormat="false" ht="12.75" hidden="false" customHeight="false" outlineLevel="0" collapsed="false">
      <c r="E1334" s="152"/>
    </row>
    <row r="1335" customFormat="false" ht="12.75" hidden="false" customHeight="false" outlineLevel="0" collapsed="false">
      <c r="E1335" s="152"/>
    </row>
    <row r="1336" customFormat="false" ht="12.75" hidden="false" customHeight="false" outlineLevel="0" collapsed="false">
      <c r="E1336" s="152"/>
    </row>
    <row r="1337" customFormat="false" ht="12.75" hidden="false" customHeight="false" outlineLevel="0" collapsed="false">
      <c r="E1337" s="152"/>
    </row>
    <row r="1338" customFormat="false" ht="12.75" hidden="false" customHeight="false" outlineLevel="0" collapsed="false">
      <c r="E1338" s="152"/>
    </row>
    <row r="1339" customFormat="false" ht="12.75" hidden="false" customHeight="false" outlineLevel="0" collapsed="false">
      <c r="E1339" s="152"/>
    </row>
    <row r="1340" customFormat="false" ht="12.75" hidden="false" customHeight="false" outlineLevel="0" collapsed="false">
      <c r="E1340" s="152"/>
    </row>
    <row r="1341" customFormat="false" ht="12.75" hidden="false" customHeight="false" outlineLevel="0" collapsed="false">
      <c r="E1341" s="152"/>
    </row>
    <row r="1342" customFormat="false" ht="12.75" hidden="false" customHeight="false" outlineLevel="0" collapsed="false">
      <c r="E1342" s="152"/>
    </row>
    <row r="1343" customFormat="false" ht="12.75" hidden="false" customHeight="false" outlineLevel="0" collapsed="false">
      <c r="E1343" s="152"/>
    </row>
    <row r="1344" customFormat="false" ht="12.75" hidden="false" customHeight="false" outlineLevel="0" collapsed="false">
      <c r="E1344" s="152"/>
    </row>
    <row r="1345" customFormat="false" ht="12.75" hidden="false" customHeight="false" outlineLevel="0" collapsed="false">
      <c r="E1345" s="152"/>
    </row>
    <row r="1346" customFormat="false" ht="12.75" hidden="false" customHeight="false" outlineLevel="0" collapsed="false">
      <c r="E1346" s="152"/>
    </row>
    <row r="1347" customFormat="false" ht="12.75" hidden="false" customHeight="false" outlineLevel="0" collapsed="false">
      <c r="E1347" s="152"/>
    </row>
    <row r="1348" customFormat="false" ht="12.75" hidden="false" customHeight="false" outlineLevel="0" collapsed="false">
      <c r="E1348" s="152"/>
    </row>
    <row r="1349" customFormat="false" ht="12.75" hidden="false" customHeight="false" outlineLevel="0" collapsed="false">
      <c r="E1349" s="152"/>
    </row>
    <row r="1350" customFormat="false" ht="12.75" hidden="false" customHeight="false" outlineLevel="0" collapsed="false">
      <c r="E1350" s="152"/>
    </row>
    <row r="1351" customFormat="false" ht="12.75" hidden="false" customHeight="false" outlineLevel="0" collapsed="false">
      <c r="E1351" s="152"/>
    </row>
    <row r="1352" customFormat="false" ht="12.75" hidden="false" customHeight="false" outlineLevel="0" collapsed="false">
      <c r="E1352" s="152"/>
    </row>
    <row r="1353" customFormat="false" ht="12.75" hidden="false" customHeight="false" outlineLevel="0" collapsed="false">
      <c r="E1353" s="152"/>
    </row>
    <row r="1354" customFormat="false" ht="12.75" hidden="false" customHeight="false" outlineLevel="0" collapsed="false">
      <c r="E1354" s="152"/>
    </row>
    <row r="1355" customFormat="false" ht="12.75" hidden="false" customHeight="false" outlineLevel="0" collapsed="false">
      <c r="E1355" s="152"/>
    </row>
    <row r="1356" customFormat="false" ht="12.75" hidden="false" customHeight="false" outlineLevel="0" collapsed="false">
      <c r="E1356" s="152"/>
    </row>
    <row r="1357" customFormat="false" ht="12.75" hidden="false" customHeight="false" outlineLevel="0" collapsed="false">
      <c r="E1357" s="152"/>
    </row>
    <row r="1358" customFormat="false" ht="12.75" hidden="false" customHeight="false" outlineLevel="0" collapsed="false">
      <c r="E1358" s="152"/>
    </row>
    <row r="1359" customFormat="false" ht="12.75" hidden="false" customHeight="false" outlineLevel="0" collapsed="false">
      <c r="E1359" s="152"/>
    </row>
    <row r="1360" customFormat="false" ht="12.75" hidden="false" customHeight="false" outlineLevel="0" collapsed="false">
      <c r="E1360" s="152"/>
    </row>
    <row r="1361" customFormat="false" ht="12.75" hidden="false" customHeight="false" outlineLevel="0" collapsed="false">
      <c r="E1361" s="152"/>
    </row>
    <row r="1362" customFormat="false" ht="12.75" hidden="false" customHeight="false" outlineLevel="0" collapsed="false">
      <c r="E1362" s="152"/>
    </row>
    <row r="1363" customFormat="false" ht="12.75" hidden="false" customHeight="false" outlineLevel="0" collapsed="false">
      <c r="E1363" s="152"/>
    </row>
    <row r="1364" customFormat="false" ht="12.75" hidden="false" customHeight="false" outlineLevel="0" collapsed="false">
      <c r="E1364" s="152"/>
    </row>
    <row r="1365" customFormat="false" ht="12.75" hidden="false" customHeight="false" outlineLevel="0" collapsed="false">
      <c r="E1365" s="152"/>
    </row>
    <row r="1366" customFormat="false" ht="12.75" hidden="false" customHeight="false" outlineLevel="0" collapsed="false">
      <c r="E1366" s="152"/>
    </row>
    <row r="1367" customFormat="false" ht="12.75" hidden="false" customHeight="false" outlineLevel="0" collapsed="false">
      <c r="E1367" s="152"/>
    </row>
    <row r="1368" customFormat="false" ht="12.75" hidden="false" customHeight="false" outlineLevel="0" collapsed="false">
      <c r="E1368" s="152"/>
    </row>
    <row r="1369" customFormat="false" ht="12.75" hidden="false" customHeight="false" outlineLevel="0" collapsed="false">
      <c r="E1369" s="152"/>
    </row>
    <row r="1370" customFormat="false" ht="12.75" hidden="false" customHeight="false" outlineLevel="0" collapsed="false">
      <c r="E1370" s="152"/>
    </row>
    <row r="1371" customFormat="false" ht="12.75" hidden="false" customHeight="false" outlineLevel="0" collapsed="false">
      <c r="E1371" s="152"/>
    </row>
    <row r="1372" customFormat="false" ht="12.75" hidden="false" customHeight="false" outlineLevel="0" collapsed="false">
      <c r="E1372" s="152"/>
    </row>
    <row r="1373" customFormat="false" ht="12.75" hidden="false" customHeight="false" outlineLevel="0" collapsed="false">
      <c r="E1373" s="152"/>
    </row>
    <row r="1374" customFormat="false" ht="12.75" hidden="false" customHeight="false" outlineLevel="0" collapsed="false">
      <c r="E1374" s="152"/>
    </row>
    <row r="1375" customFormat="false" ht="12.75" hidden="false" customHeight="false" outlineLevel="0" collapsed="false">
      <c r="E1375" s="152"/>
    </row>
    <row r="1376" customFormat="false" ht="12.75" hidden="false" customHeight="false" outlineLevel="0" collapsed="false">
      <c r="E1376" s="152"/>
    </row>
    <row r="1377" customFormat="false" ht="12.75" hidden="false" customHeight="false" outlineLevel="0" collapsed="false">
      <c r="E1377" s="152"/>
    </row>
    <row r="1378" customFormat="false" ht="12.75" hidden="false" customHeight="false" outlineLevel="0" collapsed="false">
      <c r="E1378" s="152"/>
    </row>
    <row r="1379" customFormat="false" ht="12.75" hidden="false" customHeight="false" outlineLevel="0" collapsed="false">
      <c r="E1379" s="152"/>
    </row>
    <row r="1380" customFormat="false" ht="12.75" hidden="false" customHeight="false" outlineLevel="0" collapsed="false">
      <c r="E1380" s="152"/>
    </row>
    <row r="1381" customFormat="false" ht="12.75" hidden="false" customHeight="false" outlineLevel="0" collapsed="false">
      <c r="E1381" s="152"/>
    </row>
    <row r="1382" customFormat="false" ht="12.75" hidden="false" customHeight="false" outlineLevel="0" collapsed="false">
      <c r="E1382" s="152"/>
    </row>
    <row r="1383" customFormat="false" ht="12.75" hidden="false" customHeight="false" outlineLevel="0" collapsed="false">
      <c r="E1383" s="152"/>
    </row>
    <row r="1384" customFormat="false" ht="12.75" hidden="false" customHeight="false" outlineLevel="0" collapsed="false">
      <c r="E1384" s="152"/>
    </row>
    <row r="1385" customFormat="false" ht="12.75" hidden="false" customHeight="false" outlineLevel="0" collapsed="false">
      <c r="E1385" s="152"/>
    </row>
    <row r="1386" customFormat="false" ht="12.75" hidden="false" customHeight="false" outlineLevel="0" collapsed="false">
      <c r="E1386" s="152"/>
    </row>
    <row r="1387" customFormat="false" ht="12.75" hidden="false" customHeight="false" outlineLevel="0" collapsed="false">
      <c r="E1387" s="152"/>
    </row>
    <row r="1388" customFormat="false" ht="12.75" hidden="false" customHeight="false" outlineLevel="0" collapsed="false">
      <c r="E1388" s="152"/>
    </row>
    <row r="1389" customFormat="false" ht="12.75" hidden="false" customHeight="false" outlineLevel="0" collapsed="false">
      <c r="E1389" s="152"/>
    </row>
    <row r="1390" customFormat="false" ht="12.75" hidden="false" customHeight="false" outlineLevel="0" collapsed="false">
      <c r="E1390" s="152"/>
    </row>
    <row r="1391" customFormat="false" ht="12.75" hidden="false" customHeight="false" outlineLevel="0" collapsed="false">
      <c r="E1391" s="152"/>
    </row>
    <row r="1392" customFormat="false" ht="12.75" hidden="false" customHeight="false" outlineLevel="0" collapsed="false">
      <c r="E1392" s="152"/>
    </row>
    <row r="1393" customFormat="false" ht="12.75" hidden="false" customHeight="false" outlineLevel="0" collapsed="false">
      <c r="E1393" s="152"/>
    </row>
    <row r="1394" customFormat="false" ht="12.75" hidden="false" customHeight="false" outlineLevel="0" collapsed="false">
      <c r="E1394" s="152"/>
    </row>
    <row r="1395" customFormat="false" ht="12.75" hidden="false" customHeight="false" outlineLevel="0" collapsed="false">
      <c r="E1395" s="152"/>
    </row>
    <row r="1396" customFormat="false" ht="12.75" hidden="false" customHeight="false" outlineLevel="0" collapsed="false">
      <c r="E1396" s="152"/>
    </row>
    <row r="1397" customFormat="false" ht="12.75" hidden="false" customHeight="false" outlineLevel="0" collapsed="false">
      <c r="E1397" s="152"/>
    </row>
    <row r="1398" customFormat="false" ht="12.75" hidden="false" customHeight="false" outlineLevel="0" collapsed="false">
      <c r="E1398" s="152"/>
    </row>
    <row r="1399" customFormat="false" ht="12.75" hidden="false" customHeight="false" outlineLevel="0" collapsed="false">
      <c r="E1399" s="152"/>
    </row>
    <row r="1400" customFormat="false" ht="12.75" hidden="false" customHeight="false" outlineLevel="0" collapsed="false">
      <c r="E1400" s="152"/>
    </row>
    <row r="1401" customFormat="false" ht="12.75" hidden="false" customHeight="false" outlineLevel="0" collapsed="false">
      <c r="E1401" s="152"/>
    </row>
    <row r="1402" customFormat="false" ht="12.75" hidden="false" customHeight="false" outlineLevel="0" collapsed="false">
      <c r="E1402" s="152"/>
    </row>
    <row r="1403" customFormat="false" ht="12.75" hidden="false" customHeight="false" outlineLevel="0" collapsed="false">
      <c r="E1403" s="152"/>
    </row>
    <row r="1404" customFormat="false" ht="12.75" hidden="false" customHeight="false" outlineLevel="0" collapsed="false">
      <c r="E1404" s="152"/>
    </row>
    <row r="1405" customFormat="false" ht="12.75" hidden="false" customHeight="false" outlineLevel="0" collapsed="false">
      <c r="E1405" s="152"/>
    </row>
    <row r="1406" customFormat="false" ht="12.75" hidden="false" customHeight="false" outlineLevel="0" collapsed="false">
      <c r="E1406" s="152"/>
    </row>
    <row r="1407" customFormat="false" ht="12.75" hidden="false" customHeight="false" outlineLevel="0" collapsed="false">
      <c r="E1407" s="152"/>
    </row>
    <row r="1408" customFormat="false" ht="12.75" hidden="false" customHeight="false" outlineLevel="0" collapsed="false">
      <c r="E1408" s="152"/>
    </row>
    <row r="1409" customFormat="false" ht="12.75" hidden="false" customHeight="false" outlineLevel="0" collapsed="false">
      <c r="E1409" s="152"/>
    </row>
    <row r="1410" customFormat="false" ht="12.75" hidden="false" customHeight="false" outlineLevel="0" collapsed="false">
      <c r="E1410" s="152"/>
    </row>
  </sheetData>
  <mergeCells count="25">
    <mergeCell ref="A2:H2"/>
    <mergeCell ref="A3:H3"/>
    <mergeCell ref="A4:H4"/>
    <mergeCell ref="G6:H6"/>
    <mergeCell ref="G7:H7"/>
    <mergeCell ref="G8:H8"/>
    <mergeCell ref="G10:H10"/>
    <mergeCell ref="A71:H71"/>
    <mergeCell ref="A72:H72"/>
    <mergeCell ref="A73:H73"/>
    <mergeCell ref="A138:H138"/>
    <mergeCell ref="A139:H139"/>
    <mergeCell ref="A140:H140"/>
    <mergeCell ref="A194:H194"/>
    <mergeCell ref="A195:H195"/>
    <mergeCell ref="A196:H196"/>
    <mergeCell ref="A245:H245"/>
    <mergeCell ref="A246:H246"/>
    <mergeCell ref="A247:H247"/>
    <mergeCell ref="A314:H314"/>
    <mergeCell ref="A315:H315"/>
    <mergeCell ref="A316:H316"/>
    <mergeCell ref="A369:H369"/>
    <mergeCell ref="A370:H370"/>
    <mergeCell ref="A371:H371"/>
  </mergeCells>
  <printOptions headings="false" gridLines="false" gridLinesSet="true" horizontalCentered="true" verticalCentered="false"/>
  <pageMargins left="0.5" right="0.5" top="0.5" bottom="0.5" header="0.5" footer="0.5"/>
  <pageSetup paperSize="1" scale="100" fitToWidth="1" fitToHeight="7" pageOrder="downThenOver" orientation="portrait" blackAndWhite="false" draft="false" cellComments="none" horizontalDpi="300" verticalDpi="300" copies="1"/>
  <headerFooter differentFirst="false" differentOddEven="false">
    <oddHeader>&amp;CATTACHMENT B </oddHeader>
    <oddFooter>&amp;L&amp;F&amp;C&amp;A&amp;RSDGE --- &amp;D</oddFooter>
  </headerFooter>
  <rowBreaks count="1" manualBreakCount="1">
    <brk id="243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1049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E59" activeCellId="0" sqref="E59"/>
    </sheetView>
  </sheetViews>
  <sheetFormatPr defaultColWidth="1.84765625" defaultRowHeight="12.75" customHeight="true" zeroHeight="false" outlineLevelRow="0" outlineLevelCol="0"/>
  <cols>
    <col collapsed="false" customWidth="true" hidden="false" outlineLevel="0" max="1" min="1" style="1" width="58.71"/>
    <col collapsed="false" customWidth="true" hidden="false" outlineLevel="0" max="2" min="2" style="1" width="12.7"/>
    <col collapsed="false" customWidth="true" hidden="false" outlineLevel="0" max="3" min="3" style="1" width="11.7"/>
    <col collapsed="false" customWidth="true" hidden="false" outlineLevel="0" max="5" min="4" style="1" width="8.7"/>
    <col collapsed="false" customWidth="true" hidden="false" outlineLevel="0" max="6" min="6" style="1" width="9.7"/>
    <col collapsed="false" customWidth="true" hidden="false" outlineLevel="0" max="8" min="7" style="1" width="11.7"/>
    <col collapsed="false" customWidth="false" hidden="false" outlineLevel="0" max="11" min="9" style="1" width="1.85"/>
    <col collapsed="false" customWidth="true" hidden="false" outlineLevel="0" max="12" min="12" style="1" width="32.99"/>
    <col collapsed="false" customWidth="true" hidden="false" outlineLevel="0" max="13" min="13" style="1" width="12.56"/>
    <col collapsed="false" customWidth="true" hidden="false" outlineLevel="0" max="14" min="14" style="1" width="1.7"/>
    <col collapsed="false" customWidth="true" hidden="false" outlineLevel="0" max="15" min="15" style="1" width="15.28"/>
    <col collapsed="false" customWidth="true" hidden="false" outlineLevel="0" max="16" min="16" style="1" width="11.13"/>
    <col collapsed="false" customWidth="true" hidden="false" outlineLevel="0" max="17" min="17" style="1" width="15.28"/>
    <col collapsed="false" customWidth="true" hidden="false" outlineLevel="0" max="18" min="18" style="1" width="11.99"/>
    <col collapsed="false" customWidth="false" hidden="false" outlineLevel="0" max="257" min="19" style="1" width="1.85"/>
  </cols>
  <sheetData>
    <row r="1" customFormat="false" ht="12.75" hidden="false" customHeight="false" outlineLevel="0" collapsed="false">
      <c r="H1" s="2" t="s">
        <v>105</v>
      </c>
    </row>
    <row r="2" customFormat="false" ht="20.2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</row>
    <row r="3" customFormat="false" ht="20.25" hidden="false" customHeight="false" outlineLevel="0" collapsed="false">
      <c r="A3" s="3" t="s">
        <v>106</v>
      </c>
      <c r="B3" s="3"/>
      <c r="C3" s="3"/>
      <c r="D3" s="3"/>
      <c r="E3" s="3"/>
      <c r="F3" s="3"/>
      <c r="G3" s="3"/>
      <c r="H3" s="3"/>
    </row>
    <row r="4" customFormat="false" ht="20.25" hidden="false" customHeight="false" outlineLevel="0" collapsed="false">
      <c r="A4" s="3" t="s">
        <v>3</v>
      </c>
      <c r="B4" s="3"/>
      <c r="C4" s="3"/>
      <c r="D4" s="3"/>
      <c r="E4" s="3"/>
      <c r="F4" s="3"/>
      <c r="G4" s="3"/>
      <c r="H4" s="3"/>
    </row>
    <row r="5" customFormat="false" ht="13.5" hidden="false" customHeight="false" outlineLevel="0" collapsed="false">
      <c r="A5" s="4"/>
      <c r="B5" s="4"/>
      <c r="C5" s="4"/>
      <c r="D5" s="4"/>
      <c r="E5" s="4"/>
      <c r="F5" s="4"/>
      <c r="G5" s="4"/>
      <c r="H5" s="4"/>
    </row>
    <row r="6" customFormat="false" ht="12.75" hidden="false" customHeight="false" outlineLevel="0" collapsed="false">
      <c r="A6" s="5" t="s">
        <v>107</v>
      </c>
      <c r="B6" s="6"/>
      <c r="C6" s="7"/>
      <c r="D6" s="8"/>
      <c r="G6" s="9" t="s">
        <v>5</v>
      </c>
      <c r="H6" s="9"/>
    </row>
    <row r="7" customFormat="false" ht="12.75" hidden="false" customHeight="false" outlineLevel="0" collapsed="false">
      <c r="A7" s="10"/>
      <c r="B7" s="11"/>
      <c r="C7" s="12"/>
      <c r="E7" s="13"/>
      <c r="F7" s="13"/>
      <c r="G7" s="14" t="s">
        <v>6</v>
      </c>
      <c r="H7" s="14"/>
    </row>
    <row r="8" customFormat="false" ht="12.75" hidden="false" customHeight="false" outlineLevel="0" collapsed="false">
      <c r="A8" s="10" t="s">
        <v>108</v>
      </c>
      <c r="B8" s="11"/>
      <c r="C8" s="15" t="n">
        <f aca="false">G38-C38</f>
        <v>2.80456336427348</v>
      </c>
      <c r="E8" s="16"/>
      <c r="F8" s="16"/>
      <c r="G8" s="17" t="s">
        <v>8</v>
      </c>
      <c r="H8" s="17"/>
    </row>
    <row r="9" customFormat="false" ht="12.75" hidden="false" customHeight="false" outlineLevel="0" collapsed="false">
      <c r="A9" s="10"/>
      <c r="B9" s="11"/>
      <c r="C9" s="18"/>
      <c r="E9" s="16"/>
      <c r="F9" s="16"/>
      <c r="G9" s="19"/>
      <c r="H9" s="20"/>
    </row>
    <row r="10" customFormat="false" ht="13.5" hidden="false" customHeight="false" outlineLevel="0" collapsed="false">
      <c r="A10" s="21" t="s">
        <v>109</v>
      </c>
      <c r="B10" s="22"/>
      <c r="C10" s="23" t="n">
        <f aca="false">E38</f>
        <v>2.66661264173977</v>
      </c>
      <c r="E10" s="16"/>
      <c r="F10" s="16"/>
      <c r="G10" s="24" t="n">
        <f aca="false">Agricultural!G49-Agricultural!C49</f>
        <v>3.57666192935511</v>
      </c>
      <c r="H10" s="24"/>
    </row>
    <row r="11" customFormat="false" ht="13.5" hidden="false" customHeight="false" outlineLevel="0" collapsed="false">
      <c r="A11" s="177"/>
      <c r="B11" s="178"/>
      <c r="C11" s="179"/>
      <c r="E11" s="16"/>
      <c r="F11" s="16"/>
      <c r="G11" s="25"/>
      <c r="H11" s="26"/>
    </row>
    <row r="12" customFormat="false" ht="12.75" hidden="false" customHeight="false" outlineLevel="0" collapsed="false">
      <c r="A12" s="10" t="s">
        <v>110</v>
      </c>
      <c r="B12" s="11"/>
      <c r="C12" s="18"/>
      <c r="E12" s="16"/>
      <c r="F12" s="16"/>
      <c r="G12" s="11"/>
      <c r="H12" s="27"/>
    </row>
    <row r="13" customFormat="false" ht="12.75" hidden="false" customHeight="false" outlineLevel="0" collapsed="false">
      <c r="A13" s="10" t="s">
        <v>11</v>
      </c>
      <c r="B13" s="11"/>
      <c r="C13" s="28" t="n">
        <f aca="false">O27*100</f>
        <v>17.0060255725977</v>
      </c>
      <c r="E13" s="180"/>
      <c r="F13" s="16"/>
      <c r="G13" s="11"/>
      <c r="H13" s="27"/>
    </row>
    <row r="14" customFormat="false" ht="12.75" hidden="false" customHeight="false" outlineLevel="0" collapsed="false">
      <c r="A14" s="10" t="s">
        <v>13</v>
      </c>
      <c r="B14" s="11"/>
      <c r="C14" s="28" t="n">
        <f aca="false">O28*100</f>
        <v>8.50301278629886</v>
      </c>
      <c r="E14" s="16"/>
      <c r="F14" s="16"/>
      <c r="G14" s="11"/>
      <c r="H14" s="27"/>
    </row>
    <row r="15" customFormat="false" ht="12.75" hidden="false" customHeight="false" outlineLevel="0" collapsed="false">
      <c r="A15" s="10"/>
      <c r="B15" s="11"/>
      <c r="C15" s="18"/>
      <c r="E15" s="16"/>
      <c r="F15" s="16"/>
      <c r="G15" s="11"/>
      <c r="H15" s="27"/>
    </row>
    <row r="16" customFormat="false" ht="15.75" hidden="false" customHeight="false" outlineLevel="0" collapsed="false">
      <c r="A16" s="21" t="s">
        <v>111</v>
      </c>
      <c r="B16" s="32"/>
      <c r="C16" s="181" t="n">
        <v>2</v>
      </c>
      <c r="E16" s="16"/>
      <c r="F16" s="16"/>
      <c r="G16" s="11"/>
      <c r="H16" s="27"/>
    </row>
    <row r="17" customFormat="false" ht="13.5" hidden="false" customHeight="false" outlineLevel="0" collapsed="false">
      <c r="A17" s="34"/>
      <c r="B17" s="11"/>
      <c r="C17" s="182"/>
      <c r="E17" s="16"/>
      <c r="F17" s="16"/>
      <c r="G17" s="11"/>
      <c r="H17" s="27"/>
    </row>
    <row r="18" customFormat="false" ht="51.75" hidden="false" customHeight="false" outlineLevel="0" collapsed="false">
      <c r="A18" s="37" t="s">
        <v>17</v>
      </c>
      <c r="B18" s="38" t="s">
        <v>18</v>
      </c>
      <c r="C18" s="38" t="s">
        <v>19</v>
      </c>
      <c r="D18" s="38" t="s">
        <v>20</v>
      </c>
      <c r="E18" s="38" t="s">
        <v>112</v>
      </c>
      <c r="F18" s="38" t="s">
        <v>22</v>
      </c>
      <c r="G18" s="38" t="s">
        <v>23</v>
      </c>
      <c r="H18" s="39" t="s">
        <v>24</v>
      </c>
    </row>
    <row r="19" customFormat="false" ht="12.75" hidden="false" customHeight="false" outlineLevel="0" collapsed="false">
      <c r="A19" s="40"/>
      <c r="B19" s="41"/>
      <c r="C19" s="41"/>
      <c r="D19" s="41"/>
      <c r="E19" s="41"/>
      <c r="F19" s="41"/>
      <c r="G19" s="41"/>
      <c r="H19" s="40"/>
      <c r="L19" s="183"/>
      <c r="M19" s="11"/>
      <c r="N19" s="11"/>
      <c r="O19" s="11"/>
      <c r="P19" s="11"/>
      <c r="Q19" s="11"/>
    </row>
    <row r="20" customFormat="false" ht="12.75" hidden="false" customHeight="false" outlineLevel="0" collapsed="false">
      <c r="A20" s="44" t="s">
        <v>113</v>
      </c>
      <c r="B20" s="68"/>
      <c r="C20" s="184"/>
      <c r="D20" s="118"/>
      <c r="E20" s="120"/>
      <c r="F20" s="120"/>
      <c r="G20" s="184"/>
      <c r="H20" s="40"/>
      <c r="L20" s="60"/>
      <c r="M20" s="11"/>
      <c r="N20" s="11"/>
      <c r="O20" s="11"/>
      <c r="P20" s="132"/>
      <c r="Q20" s="185"/>
    </row>
    <row r="21" customFormat="false" ht="12.75" hidden="false" customHeight="false" outlineLevel="0" collapsed="false">
      <c r="A21" s="50" t="s">
        <v>114</v>
      </c>
      <c r="B21" s="56"/>
      <c r="C21" s="154" t="n">
        <f aca="false">D21/B25*100</f>
        <v>0.502520449810588</v>
      </c>
      <c r="D21" s="49" t="n">
        <v>0.47512680505664</v>
      </c>
      <c r="E21" s="49" t="n">
        <f aca="false">F21-D21</f>
        <v>0</v>
      </c>
      <c r="F21" s="49" t="n">
        <v>0.47512680505664</v>
      </c>
      <c r="G21" s="154" t="n">
        <f aca="false">F21/B25*100</f>
        <v>0.502520449810588</v>
      </c>
      <c r="H21" s="77"/>
      <c r="L21" s="186"/>
      <c r="M21" s="11"/>
      <c r="N21" s="11"/>
      <c r="O21" s="11"/>
      <c r="P21" s="132"/>
      <c r="Q21" s="187"/>
    </row>
    <row r="22" customFormat="false" ht="12.75" hidden="false" customHeight="false" outlineLevel="0" collapsed="false">
      <c r="A22" s="50"/>
      <c r="B22" s="56"/>
      <c r="C22" s="56"/>
      <c r="D22" s="47"/>
      <c r="E22" s="49"/>
      <c r="F22" s="49"/>
      <c r="G22" s="188"/>
      <c r="H22" s="77"/>
      <c r="L22" s="189"/>
      <c r="M22" s="11"/>
      <c r="N22" s="11"/>
      <c r="O22" s="11"/>
      <c r="P22" s="132"/>
      <c r="Q22" s="187"/>
    </row>
    <row r="23" customFormat="false" ht="12.75" hidden="false" customHeight="false" outlineLevel="0" collapsed="false">
      <c r="A23" s="4" t="s">
        <v>31</v>
      </c>
      <c r="B23" s="56" t="n">
        <f aca="false">95.0238696*0.995</f>
        <v>94.548750252</v>
      </c>
      <c r="C23" s="86" t="n">
        <f aca="false">6.242+6.5</f>
        <v>12.742</v>
      </c>
      <c r="D23" s="47" t="n">
        <f aca="false">C23*B23/100</f>
        <v>12.0474017571098</v>
      </c>
      <c r="E23" s="49" t="n">
        <f aca="false">('Large C&amp;I (ABX1 43)'!L53-0.00719)*B23</f>
        <v>2.64831049455852</v>
      </c>
      <c r="F23" s="49" t="n">
        <f aca="false">D23+E23</f>
        <v>14.6957122516684</v>
      </c>
      <c r="G23" s="86" t="n">
        <f aca="false">F23/B23*100</f>
        <v>15.543</v>
      </c>
      <c r="H23" s="190"/>
      <c r="L23" s="11"/>
      <c r="M23" s="11"/>
      <c r="N23" s="11"/>
      <c r="O23" s="11"/>
      <c r="P23" s="11"/>
      <c r="Q23" s="11"/>
    </row>
    <row r="24" customFormat="false" ht="12.75" hidden="false" customHeight="false" outlineLevel="0" collapsed="false">
      <c r="A24" s="83"/>
      <c r="B24" s="56"/>
      <c r="C24" s="86"/>
      <c r="D24" s="47"/>
      <c r="E24" s="49"/>
      <c r="F24" s="49"/>
      <c r="G24" s="86"/>
      <c r="H24" s="190"/>
    </row>
    <row r="25" customFormat="false" ht="13.5" hidden="false" customHeight="false" outlineLevel="0" collapsed="false">
      <c r="A25" s="61" t="s">
        <v>115</v>
      </c>
      <c r="B25" s="62" t="n">
        <f aca="false">B23</f>
        <v>94.548750252</v>
      </c>
      <c r="C25" s="63" t="n">
        <f aca="false">D25/B25*100</f>
        <v>13.2445204498106</v>
      </c>
      <c r="D25" s="165" t="n">
        <f aca="false">D21+D23</f>
        <v>12.5225285621665</v>
      </c>
      <c r="E25" s="165" t="n">
        <f aca="false">E21+E23</f>
        <v>2.64831049455852</v>
      </c>
      <c r="F25" s="165" t="n">
        <f aca="false">SUM(F21:F23)</f>
        <v>15.170839056725</v>
      </c>
      <c r="G25" s="63" t="n">
        <f aca="false">F25/B25*100</f>
        <v>16.0455204498106</v>
      </c>
      <c r="H25" s="191" t="n">
        <f aca="false">(G25-C25)/C25</f>
        <v>0.21148368569585</v>
      </c>
      <c r="M25" s="43" t="s">
        <v>116</v>
      </c>
      <c r="N25" s="71"/>
      <c r="O25" s="43" t="s">
        <v>37</v>
      </c>
      <c r="Q25" s="1" t="s">
        <v>38</v>
      </c>
    </row>
    <row r="26" customFormat="false" ht="13.5" hidden="false" customHeight="false" outlineLevel="0" collapsed="false">
      <c r="A26" s="83"/>
      <c r="B26" s="110"/>
      <c r="C26" s="133"/>
      <c r="D26" s="124"/>
      <c r="E26" s="124"/>
      <c r="F26" s="124"/>
      <c r="G26" s="133"/>
      <c r="H26" s="91"/>
      <c r="M26" s="73" t="s">
        <v>39</v>
      </c>
      <c r="N26" s="74"/>
      <c r="O26" s="73" t="s">
        <v>40</v>
      </c>
      <c r="Q26" s="73" t="s">
        <v>41</v>
      </c>
    </row>
    <row r="27" customFormat="false" ht="12.75" hidden="false" customHeight="false" outlineLevel="0" collapsed="false">
      <c r="A27" s="85"/>
      <c r="B27" s="58"/>
      <c r="C27" s="59"/>
      <c r="D27" s="47"/>
      <c r="E27" s="48"/>
      <c r="F27" s="70"/>
      <c r="G27" s="59"/>
      <c r="H27" s="42"/>
      <c r="L27" s="78" t="s">
        <v>42</v>
      </c>
      <c r="M27" s="79" t="n">
        <f aca="false">B32</f>
        <v>0.139929957783</v>
      </c>
      <c r="O27" s="80" t="n">
        <f aca="false">O28*2</f>
        <v>0.170060255725977</v>
      </c>
      <c r="Q27" s="81" t="n">
        <f aca="false">O27*M27</f>
        <v>0.0237965244043022</v>
      </c>
      <c r="R27" s="81"/>
    </row>
    <row r="28" customFormat="false" ht="12.75" hidden="false" customHeight="false" outlineLevel="0" collapsed="false">
      <c r="A28" s="40" t="s">
        <v>117</v>
      </c>
      <c r="B28" s="58"/>
      <c r="C28" s="59"/>
      <c r="D28" s="47"/>
      <c r="E28" s="48"/>
      <c r="F28" s="49"/>
      <c r="G28" s="59"/>
      <c r="H28" s="42"/>
      <c r="L28" s="78" t="s">
        <v>44</v>
      </c>
      <c r="M28" s="79" t="n">
        <f aca="false">B33</f>
        <v>0.392524790217</v>
      </c>
      <c r="O28" s="80" t="n">
        <f aca="false">0.095*R35</f>
        <v>0.0850301278629886</v>
      </c>
      <c r="Q28" s="89" t="n">
        <f aca="false">O28*M28</f>
        <v>0.0333764331015443</v>
      </c>
    </row>
    <row r="29" customFormat="false" ht="12.75" hidden="false" customHeight="false" outlineLevel="0" collapsed="false">
      <c r="A29" s="50" t="s">
        <v>118</v>
      </c>
      <c r="B29" s="58"/>
      <c r="C29" s="192" t="n">
        <f aca="false">D29/B35*100</f>
        <v>0.448130756080703</v>
      </c>
      <c r="D29" s="47" t="n">
        <v>0.002386093488</v>
      </c>
      <c r="E29" s="49" t="n">
        <f aca="false">F29-D29</f>
        <v>0</v>
      </c>
      <c r="F29" s="49" t="n">
        <v>0.002386093488</v>
      </c>
      <c r="G29" s="192" t="n">
        <f aca="false">F29/B35*100</f>
        <v>0.448130756080703</v>
      </c>
      <c r="H29" s="42"/>
      <c r="L29" s="78"/>
      <c r="M29" s="79" t="n">
        <f aca="false">SUM(M27:M28)</f>
        <v>0.532454748</v>
      </c>
      <c r="Q29" s="79" t="n">
        <f aca="false">SUM(Q27:Q28)</f>
        <v>0.0571729575058464</v>
      </c>
    </row>
    <row r="30" customFormat="false" ht="12.75" hidden="false" customHeight="false" outlineLevel="0" collapsed="false">
      <c r="A30" s="50"/>
      <c r="B30" s="58"/>
      <c r="C30" s="59"/>
      <c r="D30" s="47"/>
      <c r="E30" s="48"/>
      <c r="F30" s="49"/>
      <c r="G30" s="59"/>
      <c r="H30" s="42"/>
      <c r="L30" s="78"/>
    </row>
    <row r="31" customFormat="false" ht="12.75" hidden="false" customHeight="false" outlineLevel="0" collapsed="false">
      <c r="A31" s="4" t="s">
        <v>31</v>
      </c>
      <c r="B31" s="58"/>
      <c r="C31" s="59"/>
      <c r="D31" s="47"/>
      <c r="E31" s="49"/>
      <c r="F31" s="49"/>
      <c r="G31" s="98"/>
      <c r="H31" s="77"/>
      <c r="L31" s="91" t="s">
        <v>47</v>
      </c>
      <c r="M31" s="193" t="n">
        <f aca="false">M29</f>
        <v>0.532454748</v>
      </c>
      <c r="N31" s="92"/>
      <c r="O31" s="93" t="n">
        <f aca="false">0.065+0.0352+[1]Residential!$R$54</f>
        <v>0.107322259159536</v>
      </c>
      <c r="P31" s="94"/>
      <c r="Q31" s="154" t="n">
        <f aca="false">M31*O31</f>
        <v>0.0571442464555814</v>
      </c>
      <c r="R31" s="81"/>
    </row>
    <row r="32" customFormat="false" ht="12.75" hidden="false" customHeight="false" outlineLevel="0" collapsed="false">
      <c r="A32" s="2" t="s">
        <v>119</v>
      </c>
      <c r="B32" s="90" t="n">
        <f aca="false">0.1406331234*0.995</f>
        <v>0.139929957783</v>
      </c>
      <c r="C32" s="53" t="n">
        <f aca="false">7.346+6.5</f>
        <v>13.846</v>
      </c>
      <c r="D32" s="47" t="n">
        <f aca="false">C32*B32/100</f>
        <v>0.0193747019546342</v>
      </c>
      <c r="E32" s="54" t="n">
        <f aca="false">((O27-0.065)-0.0148)*B32</f>
        <v>0.0126301137732188</v>
      </c>
      <c r="F32" s="49" t="n">
        <f aca="false">D32+E32</f>
        <v>0.0320048157278529</v>
      </c>
      <c r="G32" s="86" t="n">
        <f aca="false">F32/B32*100</f>
        <v>22.8720255725977</v>
      </c>
      <c r="H32" s="194"/>
      <c r="L32" s="91"/>
      <c r="M32" s="92"/>
      <c r="N32" s="92"/>
      <c r="O32" s="96"/>
      <c r="P32" s="94"/>
      <c r="R32" s="81"/>
    </row>
    <row r="33" customFormat="false" ht="12.75" hidden="false" customHeight="false" outlineLevel="0" collapsed="false">
      <c r="A33" s="2" t="s">
        <v>120</v>
      </c>
      <c r="B33" s="90" t="n">
        <f aca="false">0.3944972766*0.995</f>
        <v>0.392524790217</v>
      </c>
      <c r="C33" s="53" t="n">
        <f aca="false">6.424+6.5</f>
        <v>12.924</v>
      </c>
      <c r="D33" s="47" t="n">
        <f aca="false">C33*B33/100</f>
        <v>0.0507299038876451</v>
      </c>
      <c r="E33" s="54" t="n">
        <f aca="false">((O28-0.065)-0.00558)*B33</f>
        <v>0.00567203340802841</v>
      </c>
      <c r="F33" s="49" t="n">
        <f aca="false">D33+E33</f>
        <v>0.0564019372956735</v>
      </c>
      <c r="G33" s="86" t="n">
        <f aca="false">F33/B33*100</f>
        <v>14.3690127862989</v>
      </c>
      <c r="H33" s="70"/>
      <c r="L33" s="99" t="s">
        <v>49</v>
      </c>
      <c r="M33" s="100"/>
      <c r="N33" s="100"/>
      <c r="O33" s="100"/>
      <c r="P33" s="100"/>
      <c r="Q33" s="100"/>
      <c r="R33" s="101" t="n">
        <f aca="false">Q29-Q31</f>
        <v>2.87110502650359E-005</v>
      </c>
    </row>
    <row r="34" customFormat="false" ht="12.75" hidden="false" customHeight="false" outlineLevel="0" collapsed="false">
      <c r="A34" s="57"/>
      <c r="B34" s="58"/>
      <c r="C34" s="59"/>
      <c r="D34" s="47"/>
      <c r="E34" s="49"/>
      <c r="F34" s="49"/>
      <c r="G34" s="86"/>
      <c r="H34" s="190"/>
      <c r="L34" s="102" t="s">
        <v>51</v>
      </c>
      <c r="M34" s="11"/>
      <c r="N34" s="11"/>
      <c r="O34" s="11"/>
      <c r="P34" s="11"/>
      <c r="Q34" s="11"/>
      <c r="R34" s="103" t="n">
        <f aca="false">R29-R33</f>
        <v>-2.87110502650359E-005</v>
      </c>
    </row>
    <row r="35" customFormat="false" ht="13.5" hidden="false" customHeight="false" outlineLevel="0" collapsed="false">
      <c r="A35" s="61" t="s">
        <v>121</v>
      </c>
      <c r="B35" s="125" t="n">
        <f aca="false">B32+B33</f>
        <v>0.532454748</v>
      </c>
      <c r="C35" s="63" t="n">
        <f aca="false">D35/B35*100</f>
        <v>13.6144338279578</v>
      </c>
      <c r="D35" s="64" t="n">
        <f aca="false">SUM(D29:D33)</f>
        <v>0.0724906993302793</v>
      </c>
      <c r="E35" s="64" t="n">
        <f aca="false">SUM(E29:E33)</f>
        <v>0.0183021471812472</v>
      </c>
      <c r="F35" s="165" t="n">
        <f aca="false">SUM(F29:F33)</f>
        <v>0.0907928465115264</v>
      </c>
      <c r="G35" s="63" t="n">
        <f aca="false">F35/B35*100</f>
        <v>17.051748876794</v>
      </c>
      <c r="H35" s="191" t="n">
        <f aca="false">(G35-C35)/C35</f>
        <v>0.252475798279441</v>
      </c>
      <c r="L35" s="102" t="s">
        <v>52</v>
      </c>
      <c r="M35" s="11"/>
      <c r="N35" s="11"/>
      <c r="O35" s="11"/>
      <c r="P35" s="11"/>
      <c r="Q35" s="195"/>
      <c r="R35" s="196" t="n">
        <v>0.895053977505143</v>
      </c>
    </row>
    <row r="36" customFormat="false" ht="13.5" hidden="false" customHeight="false" outlineLevel="0" collapsed="false">
      <c r="A36" s="83"/>
      <c r="B36" s="58"/>
      <c r="D36" s="197"/>
      <c r="E36" s="124"/>
      <c r="F36" s="124"/>
      <c r="G36" s="133"/>
      <c r="H36" s="91"/>
      <c r="L36" s="102"/>
      <c r="M36" s="11"/>
      <c r="N36" s="11"/>
      <c r="O36" s="11"/>
      <c r="P36" s="11"/>
      <c r="Q36" s="195"/>
      <c r="R36" s="104"/>
    </row>
    <row r="37" customFormat="false" ht="13.5" hidden="false" customHeight="false" outlineLevel="0" collapsed="false">
      <c r="A37" s="83"/>
      <c r="B37" s="58"/>
      <c r="C37" s="59"/>
      <c r="D37" s="47"/>
      <c r="E37" s="48"/>
      <c r="F37" s="49"/>
      <c r="G37" s="198"/>
      <c r="H37" s="199"/>
      <c r="L37" s="105" t="s">
        <v>53</v>
      </c>
      <c r="M37" s="106"/>
      <c r="N37" s="106"/>
      <c r="O37" s="106"/>
      <c r="P37" s="106"/>
      <c r="Q37" s="106"/>
      <c r="R37" s="107"/>
    </row>
    <row r="38" customFormat="false" ht="13.5" hidden="false" customHeight="false" outlineLevel="0" collapsed="false">
      <c r="A38" s="200" t="s">
        <v>122</v>
      </c>
      <c r="B38" s="201" t="n">
        <f aca="false">B25+B35</f>
        <v>95.081205</v>
      </c>
      <c r="C38" s="202" t="n">
        <f aca="false">D38/B38*100</f>
        <v>13.2465919647282</v>
      </c>
      <c r="D38" s="203" t="n">
        <f aca="false">D25+D35</f>
        <v>12.5950192614968</v>
      </c>
      <c r="E38" s="203" t="n">
        <f aca="false">E25+E35</f>
        <v>2.66661264173977</v>
      </c>
      <c r="F38" s="203" t="n">
        <f aca="false">F25+F35</f>
        <v>15.2616319032365</v>
      </c>
      <c r="G38" s="204" t="n">
        <f aca="false">F38/B38*100</f>
        <v>16.0511553290017</v>
      </c>
      <c r="H38" s="205" t="n">
        <f aca="false">(G38-C38)/C38</f>
        <v>0.211719616014535</v>
      </c>
    </row>
    <row r="39" customFormat="false" ht="12.75" hidden="false" customHeight="false" outlineLevel="0" collapsed="false">
      <c r="A39" s="206"/>
      <c r="B39" s="147"/>
      <c r="C39" s="133"/>
      <c r="D39" s="207"/>
      <c r="E39" s="207"/>
      <c r="F39" s="207"/>
      <c r="G39" s="123"/>
      <c r="H39" s="91"/>
    </row>
    <row r="40" customFormat="false" ht="12.75" hidden="false" customHeight="false" outlineLevel="0" collapsed="false">
      <c r="A40" s="206"/>
      <c r="B40" s="147"/>
      <c r="C40" s="133"/>
      <c r="D40" s="207"/>
      <c r="E40" s="207"/>
      <c r="F40" s="207"/>
      <c r="G40" s="123"/>
      <c r="H40" s="91"/>
    </row>
    <row r="41" customFormat="false" ht="12.75" hidden="false" customHeight="false" outlineLevel="0" collapsed="false">
      <c r="A41" s="206"/>
      <c r="B41" s="147"/>
      <c r="C41" s="133"/>
      <c r="D41" s="207"/>
      <c r="E41" s="207"/>
      <c r="F41" s="207"/>
      <c r="G41" s="123"/>
      <c r="H41" s="91"/>
    </row>
    <row r="42" customFormat="false" ht="12.75" hidden="false" customHeight="false" outlineLevel="0" collapsed="false">
      <c r="A42" s="176" t="s">
        <v>98</v>
      </c>
      <c r="B42" s="68"/>
      <c r="C42" s="69"/>
      <c r="D42" s="47"/>
      <c r="E42" s="49"/>
      <c r="F42" s="49"/>
      <c r="G42" s="208"/>
      <c r="H42" s="83"/>
    </row>
    <row r="43" customFormat="false" ht="12.75" hidden="false" customHeight="false" outlineLevel="0" collapsed="false">
      <c r="A43" s="11" t="s">
        <v>100</v>
      </c>
      <c r="B43" s="11"/>
      <c r="C43" s="123"/>
      <c r="D43" s="124"/>
      <c r="E43" s="124"/>
      <c r="F43" s="124"/>
      <c r="G43" s="123"/>
      <c r="H43" s="91"/>
    </row>
    <row r="44" customFormat="false" ht="12.75" hidden="false" customHeight="false" outlineLevel="0" collapsed="false">
      <c r="A44" s="176" t="s">
        <v>123</v>
      </c>
      <c r="B44" s="11"/>
      <c r="C44" s="123"/>
      <c r="D44" s="124"/>
      <c r="E44" s="124"/>
      <c r="F44" s="124"/>
      <c r="G44" s="123"/>
      <c r="H44" s="91"/>
    </row>
    <row r="45" customFormat="false" ht="12.75" hidden="false" customHeight="false" outlineLevel="0" collapsed="false">
      <c r="A45" s="176" t="s">
        <v>124</v>
      </c>
      <c r="B45" s="11"/>
      <c r="C45" s="123"/>
      <c r="D45" s="124"/>
      <c r="E45" s="124"/>
      <c r="F45" s="124"/>
      <c r="G45" s="123"/>
      <c r="H45" s="91"/>
    </row>
    <row r="46" customFormat="false" ht="12.75" hidden="false" customHeight="false" outlineLevel="0" collapsed="false">
      <c r="A46" s="11"/>
      <c r="B46" s="11"/>
      <c r="C46" s="123"/>
      <c r="D46" s="124"/>
      <c r="E46" s="124"/>
      <c r="F46" s="124"/>
      <c r="G46" s="123"/>
      <c r="H46" s="91"/>
    </row>
    <row r="47" customFormat="false" ht="12.75" hidden="false" customHeight="false" outlineLevel="0" collapsed="false">
      <c r="C47" s="84"/>
      <c r="D47" s="187"/>
      <c r="E47" s="134"/>
      <c r="F47" s="187"/>
      <c r="G47" s="84"/>
      <c r="H47" s="11"/>
    </row>
    <row r="48" customFormat="false" ht="13.5" hidden="false" customHeight="false" outlineLevel="0" collapsed="false">
      <c r="C48" s="84"/>
      <c r="D48" s="187"/>
      <c r="E48" s="134"/>
      <c r="F48" s="187"/>
      <c r="G48" s="84"/>
      <c r="H48" s="11"/>
    </row>
    <row r="49" customFormat="false" ht="13.5" hidden="false" customHeight="false" outlineLevel="0" collapsed="false">
      <c r="A49" s="200" t="s">
        <v>125</v>
      </c>
      <c r="B49" s="201" t="n">
        <f aca="false">'Large C&amp;I (ABX1 43)'!B403+B38</f>
        <v>5496.34490175494</v>
      </c>
      <c r="C49" s="202" t="n">
        <f aca="false">D49/B49*100</f>
        <v>10.1144185644984</v>
      </c>
      <c r="D49" s="203" t="n">
        <f aca="false">'Large C&amp;I (ABX1 43)'!D403+D38</f>
        <v>555.923329111962</v>
      </c>
      <c r="E49" s="203" t="n">
        <f aca="false">'Large C&amp;I (ABX1 43)'!E403+Agricultural!E38</f>
        <v>196.58567560712</v>
      </c>
      <c r="F49" s="203" t="n">
        <f aca="false">'Large C&amp;I (ABX1 43)'!F403+Agricultural!F38</f>
        <v>752.509004719082</v>
      </c>
      <c r="G49" s="202" t="n">
        <f aca="false">F49/B49*100</f>
        <v>13.6910804938535</v>
      </c>
      <c r="H49" s="209" t="n">
        <f aca="false">(G49-C49)/C49</f>
        <v>0.353620122258851</v>
      </c>
    </row>
    <row r="50" customFormat="false" ht="12.75" hidden="false" customHeight="false" outlineLevel="0" collapsed="false">
      <c r="A50" s="11"/>
      <c r="B50" s="11"/>
      <c r="C50" s="210"/>
      <c r="D50" s="11"/>
      <c r="E50" s="136"/>
      <c r="F50" s="11"/>
      <c r="G50" s="11"/>
      <c r="H50" s="11"/>
    </row>
    <row r="51" customFormat="false" ht="12.75" hidden="false" customHeight="false" outlineLevel="0" collapsed="false">
      <c r="A51" s="11"/>
      <c r="B51" s="11"/>
      <c r="C51" s="84"/>
      <c r="D51" s="189"/>
      <c r="E51" s="211"/>
      <c r="F51" s="11"/>
      <c r="G51" s="84"/>
      <c r="H51" s="11"/>
    </row>
    <row r="52" customFormat="false" ht="12.75" hidden="false" customHeight="false" outlineLevel="0" collapsed="false">
      <c r="A52" s="11"/>
      <c r="B52" s="11"/>
      <c r="C52" s="11"/>
      <c r="D52" s="212"/>
      <c r="E52" s="136"/>
      <c r="F52" s="11"/>
      <c r="G52" s="84"/>
      <c r="H52" s="11"/>
    </row>
    <row r="53" customFormat="false" ht="12.75" hidden="false" customHeight="false" outlineLevel="0" collapsed="false">
      <c r="A53" s="11"/>
      <c r="B53" s="213"/>
      <c r="C53" s="11"/>
      <c r="D53" s="11"/>
      <c r="E53" s="136"/>
      <c r="F53" s="11"/>
      <c r="G53" s="214"/>
      <c r="H53" s="11"/>
    </row>
    <row r="54" customFormat="false" ht="12.75" hidden="false" customHeight="false" outlineLevel="0" collapsed="false">
      <c r="D54" s="215"/>
      <c r="E54" s="152"/>
    </row>
    <row r="55" customFormat="false" ht="12.75" hidden="false" customHeight="false" outlineLevel="0" collapsed="false">
      <c r="D55" s="215"/>
      <c r="E55" s="152"/>
    </row>
    <row r="56" customFormat="false" ht="12.75" hidden="false" customHeight="false" outlineLevel="0" collapsed="false">
      <c r="E56" s="152"/>
    </row>
    <row r="57" customFormat="false" ht="12.75" hidden="false" customHeight="false" outlineLevel="0" collapsed="false">
      <c r="E57" s="152"/>
    </row>
    <row r="58" customFormat="false" ht="12.75" hidden="false" customHeight="false" outlineLevel="0" collapsed="false">
      <c r="E58" s="152"/>
    </row>
    <row r="59" customFormat="false" ht="12.75" hidden="false" customHeight="false" outlineLevel="0" collapsed="false">
      <c r="E59" s="152"/>
    </row>
    <row r="60" customFormat="false" ht="12.75" hidden="false" customHeight="false" outlineLevel="0" collapsed="false">
      <c r="E60" s="152"/>
    </row>
    <row r="61" customFormat="false" ht="12.75" hidden="false" customHeight="false" outlineLevel="0" collapsed="false">
      <c r="E61" s="152"/>
    </row>
    <row r="62" customFormat="false" ht="12.75" hidden="false" customHeight="false" outlineLevel="0" collapsed="false">
      <c r="E62" s="152"/>
    </row>
    <row r="63" customFormat="false" ht="12.75" hidden="false" customHeight="false" outlineLevel="0" collapsed="false">
      <c r="E63" s="152"/>
    </row>
    <row r="64" customFormat="false" ht="12.75" hidden="false" customHeight="false" outlineLevel="0" collapsed="false">
      <c r="E64" s="152"/>
    </row>
    <row r="65" customFormat="false" ht="12.75" hidden="false" customHeight="false" outlineLevel="0" collapsed="false">
      <c r="E65" s="152"/>
    </row>
    <row r="66" customFormat="false" ht="12.75" hidden="false" customHeight="false" outlineLevel="0" collapsed="false">
      <c r="E66" s="152"/>
    </row>
    <row r="67" customFormat="false" ht="12.75" hidden="false" customHeight="false" outlineLevel="0" collapsed="false">
      <c r="E67" s="152"/>
    </row>
    <row r="68" customFormat="false" ht="12.75" hidden="false" customHeight="false" outlineLevel="0" collapsed="false">
      <c r="E68" s="152"/>
    </row>
    <row r="69" customFormat="false" ht="12.75" hidden="false" customHeight="false" outlineLevel="0" collapsed="false">
      <c r="E69" s="152"/>
    </row>
    <row r="70" customFormat="false" ht="12.75" hidden="false" customHeight="false" outlineLevel="0" collapsed="false">
      <c r="E70" s="152"/>
    </row>
    <row r="71" customFormat="false" ht="12.75" hidden="false" customHeight="false" outlineLevel="0" collapsed="false">
      <c r="E71" s="152"/>
    </row>
    <row r="72" customFormat="false" ht="12.75" hidden="false" customHeight="false" outlineLevel="0" collapsed="false">
      <c r="E72" s="152"/>
    </row>
    <row r="73" customFormat="false" ht="12.75" hidden="false" customHeight="false" outlineLevel="0" collapsed="false">
      <c r="E73" s="152"/>
    </row>
    <row r="74" customFormat="false" ht="12.75" hidden="false" customHeight="false" outlineLevel="0" collapsed="false">
      <c r="E74" s="152"/>
    </row>
    <row r="75" customFormat="false" ht="12.75" hidden="false" customHeight="false" outlineLevel="0" collapsed="false">
      <c r="E75" s="152"/>
    </row>
    <row r="76" customFormat="false" ht="12.75" hidden="false" customHeight="false" outlineLevel="0" collapsed="false">
      <c r="E76" s="152"/>
    </row>
    <row r="77" customFormat="false" ht="12.75" hidden="false" customHeight="false" outlineLevel="0" collapsed="false">
      <c r="E77" s="152"/>
    </row>
    <row r="78" customFormat="false" ht="12.75" hidden="false" customHeight="false" outlineLevel="0" collapsed="false">
      <c r="E78" s="152"/>
    </row>
    <row r="79" customFormat="false" ht="12.75" hidden="false" customHeight="false" outlineLevel="0" collapsed="false">
      <c r="E79" s="152"/>
    </row>
    <row r="80" customFormat="false" ht="12.75" hidden="false" customHeight="false" outlineLevel="0" collapsed="false">
      <c r="E80" s="152"/>
    </row>
    <row r="81" customFormat="false" ht="12.75" hidden="false" customHeight="false" outlineLevel="0" collapsed="false">
      <c r="E81" s="152"/>
    </row>
    <row r="82" customFormat="false" ht="12.75" hidden="false" customHeight="false" outlineLevel="0" collapsed="false">
      <c r="E82" s="152"/>
    </row>
    <row r="83" customFormat="false" ht="12.75" hidden="false" customHeight="false" outlineLevel="0" collapsed="false">
      <c r="E83" s="152"/>
    </row>
    <row r="84" customFormat="false" ht="12.75" hidden="false" customHeight="false" outlineLevel="0" collapsed="false">
      <c r="E84" s="152"/>
    </row>
    <row r="85" customFormat="false" ht="12.75" hidden="false" customHeight="false" outlineLevel="0" collapsed="false">
      <c r="E85" s="152"/>
    </row>
    <row r="86" customFormat="false" ht="12.75" hidden="false" customHeight="false" outlineLevel="0" collapsed="false">
      <c r="E86" s="152"/>
    </row>
    <row r="87" customFormat="false" ht="12.75" hidden="false" customHeight="false" outlineLevel="0" collapsed="false">
      <c r="E87" s="152"/>
    </row>
    <row r="88" customFormat="false" ht="12.75" hidden="false" customHeight="false" outlineLevel="0" collapsed="false">
      <c r="E88" s="152"/>
    </row>
    <row r="89" customFormat="false" ht="12.75" hidden="false" customHeight="false" outlineLevel="0" collapsed="false">
      <c r="E89" s="152"/>
    </row>
    <row r="90" customFormat="false" ht="12.75" hidden="false" customHeight="false" outlineLevel="0" collapsed="false">
      <c r="E90" s="152"/>
    </row>
    <row r="91" customFormat="false" ht="12.75" hidden="false" customHeight="false" outlineLevel="0" collapsed="false">
      <c r="E91" s="152"/>
    </row>
    <row r="92" customFormat="false" ht="12.75" hidden="false" customHeight="false" outlineLevel="0" collapsed="false">
      <c r="E92" s="152"/>
    </row>
    <row r="93" customFormat="false" ht="12.75" hidden="false" customHeight="false" outlineLevel="0" collapsed="false">
      <c r="E93" s="152"/>
    </row>
    <row r="94" customFormat="false" ht="12.75" hidden="false" customHeight="false" outlineLevel="0" collapsed="false">
      <c r="E94" s="152"/>
    </row>
    <row r="95" customFormat="false" ht="12.75" hidden="false" customHeight="false" outlineLevel="0" collapsed="false">
      <c r="E95" s="152"/>
    </row>
    <row r="96" customFormat="false" ht="12.75" hidden="false" customHeight="false" outlineLevel="0" collapsed="false">
      <c r="E96" s="152"/>
    </row>
    <row r="97" customFormat="false" ht="12.75" hidden="false" customHeight="false" outlineLevel="0" collapsed="false">
      <c r="E97" s="152"/>
    </row>
    <row r="98" customFormat="false" ht="12.75" hidden="false" customHeight="false" outlineLevel="0" collapsed="false">
      <c r="E98" s="152"/>
    </row>
    <row r="99" customFormat="false" ht="12.75" hidden="false" customHeight="false" outlineLevel="0" collapsed="false">
      <c r="E99" s="152"/>
    </row>
    <row r="100" customFormat="false" ht="12.75" hidden="false" customHeight="false" outlineLevel="0" collapsed="false">
      <c r="E100" s="152"/>
    </row>
    <row r="101" customFormat="false" ht="12.75" hidden="false" customHeight="false" outlineLevel="0" collapsed="false">
      <c r="E101" s="152"/>
    </row>
    <row r="102" customFormat="false" ht="12.75" hidden="false" customHeight="false" outlineLevel="0" collapsed="false">
      <c r="E102" s="152"/>
    </row>
    <row r="103" customFormat="false" ht="12.75" hidden="false" customHeight="false" outlineLevel="0" collapsed="false">
      <c r="E103" s="152"/>
    </row>
    <row r="104" customFormat="false" ht="12.75" hidden="false" customHeight="false" outlineLevel="0" collapsed="false">
      <c r="E104" s="152"/>
    </row>
    <row r="105" customFormat="false" ht="12.75" hidden="false" customHeight="false" outlineLevel="0" collapsed="false">
      <c r="E105" s="152"/>
    </row>
    <row r="106" customFormat="false" ht="12.75" hidden="false" customHeight="false" outlineLevel="0" collapsed="false">
      <c r="E106" s="152"/>
    </row>
    <row r="107" customFormat="false" ht="12.75" hidden="false" customHeight="false" outlineLevel="0" collapsed="false">
      <c r="E107" s="152"/>
    </row>
    <row r="108" customFormat="false" ht="12.75" hidden="false" customHeight="false" outlineLevel="0" collapsed="false">
      <c r="E108" s="152"/>
    </row>
    <row r="109" customFormat="false" ht="12.75" hidden="false" customHeight="false" outlineLevel="0" collapsed="false">
      <c r="E109" s="152"/>
    </row>
    <row r="110" customFormat="false" ht="12.75" hidden="false" customHeight="false" outlineLevel="0" collapsed="false">
      <c r="E110" s="152"/>
    </row>
    <row r="111" customFormat="false" ht="12.75" hidden="false" customHeight="false" outlineLevel="0" collapsed="false">
      <c r="E111" s="152"/>
    </row>
    <row r="112" customFormat="false" ht="12.75" hidden="false" customHeight="false" outlineLevel="0" collapsed="false">
      <c r="E112" s="152"/>
    </row>
    <row r="113" customFormat="false" ht="12.75" hidden="false" customHeight="false" outlineLevel="0" collapsed="false">
      <c r="E113" s="152"/>
    </row>
    <row r="114" customFormat="false" ht="12.75" hidden="false" customHeight="false" outlineLevel="0" collapsed="false">
      <c r="E114" s="152"/>
    </row>
    <row r="115" customFormat="false" ht="12.75" hidden="false" customHeight="false" outlineLevel="0" collapsed="false">
      <c r="E115" s="152"/>
    </row>
    <row r="116" customFormat="false" ht="12.75" hidden="false" customHeight="false" outlineLevel="0" collapsed="false">
      <c r="E116" s="152"/>
    </row>
    <row r="117" customFormat="false" ht="12.75" hidden="false" customHeight="false" outlineLevel="0" collapsed="false">
      <c r="E117" s="152"/>
    </row>
    <row r="118" customFormat="false" ht="12.75" hidden="false" customHeight="false" outlineLevel="0" collapsed="false">
      <c r="E118" s="152"/>
    </row>
    <row r="119" customFormat="false" ht="12.75" hidden="false" customHeight="false" outlineLevel="0" collapsed="false">
      <c r="E119" s="152"/>
    </row>
    <row r="120" customFormat="false" ht="12.75" hidden="false" customHeight="false" outlineLevel="0" collapsed="false">
      <c r="E120" s="152"/>
    </row>
    <row r="121" customFormat="false" ht="12.75" hidden="false" customHeight="false" outlineLevel="0" collapsed="false">
      <c r="E121" s="152"/>
    </row>
    <row r="122" customFormat="false" ht="12.75" hidden="false" customHeight="false" outlineLevel="0" collapsed="false">
      <c r="E122" s="152"/>
    </row>
    <row r="123" customFormat="false" ht="12.75" hidden="false" customHeight="false" outlineLevel="0" collapsed="false">
      <c r="E123" s="152"/>
    </row>
    <row r="124" customFormat="false" ht="12.75" hidden="false" customHeight="false" outlineLevel="0" collapsed="false">
      <c r="E124" s="152"/>
    </row>
    <row r="125" customFormat="false" ht="12.75" hidden="false" customHeight="false" outlineLevel="0" collapsed="false">
      <c r="E125" s="152"/>
    </row>
    <row r="126" customFormat="false" ht="12.75" hidden="false" customHeight="false" outlineLevel="0" collapsed="false">
      <c r="E126" s="152"/>
    </row>
    <row r="127" customFormat="false" ht="12.75" hidden="false" customHeight="false" outlineLevel="0" collapsed="false">
      <c r="E127" s="152"/>
    </row>
    <row r="128" customFormat="false" ht="12.75" hidden="false" customHeight="false" outlineLevel="0" collapsed="false">
      <c r="E128" s="152"/>
    </row>
    <row r="129" customFormat="false" ht="12.75" hidden="false" customHeight="false" outlineLevel="0" collapsed="false">
      <c r="E129" s="152"/>
    </row>
    <row r="130" customFormat="false" ht="12.75" hidden="false" customHeight="false" outlineLevel="0" collapsed="false">
      <c r="E130" s="152"/>
    </row>
    <row r="131" customFormat="false" ht="12.75" hidden="false" customHeight="false" outlineLevel="0" collapsed="false">
      <c r="E131" s="152"/>
    </row>
    <row r="132" customFormat="false" ht="12.75" hidden="false" customHeight="false" outlineLevel="0" collapsed="false">
      <c r="E132" s="152"/>
    </row>
    <row r="133" customFormat="false" ht="12.75" hidden="false" customHeight="false" outlineLevel="0" collapsed="false">
      <c r="E133" s="152"/>
    </row>
    <row r="134" customFormat="false" ht="12.75" hidden="false" customHeight="false" outlineLevel="0" collapsed="false">
      <c r="E134" s="152"/>
    </row>
    <row r="135" customFormat="false" ht="12.75" hidden="false" customHeight="false" outlineLevel="0" collapsed="false">
      <c r="E135" s="152"/>
    </row>
    <row r="136" customFormat="false" ht="12.75" hidden="false" customHeight="false" outlineLevel="0" collapsed="false">
      <c r="E136" s="152"/>
    </row>
    <row r="137" customFormat="false" ht="12.75" hidden="false" customHeight="false" outlineLevel="0" collapsed="false">
      <c r="E137" s="152"/>
    </row>
    <row r="138" customFormat="false" ht="12.75" hidden="false" customHeight="false" outlineLevel="0" collapsed="false">
      <c r="E138" s="152"/>
    </row>
    <row r="139" customFormat="false" ht="12.75" hidden="false" customHeight="false" outlineLevel="0" collapsed="false">
      <c r="E139" s="152"/>
    </row>
    <row r="140" customFormat="false" ht="12.75" hidden="false" customHeight="false" outlineLevel="0" collapsed="false">
      <c r="E140" s="152"/>
    </row>
    <row r="141" customFormat="false" ht="12.75" hidden="false" customHeight="false" outlineLevel="0" collapsed="false">
      <c r="E141" s="152"/>
    </row>
    <row r="142" customFormat="false" ht="12.75" hidden="false" customHeight="false" outlineLevel="0" collapsed="false">
      <c r="E142" s="152"/>
    </row>
    <row r="143" customFormat="false" ht="12.75" hidden="false" customHeight="false" outlineLevel="0" collapsed="false">
      <c r="E143" s="152"/>
    </row>
    <row r="144" customFormat="false" ht="12.75" hidden="false" customHeight="false" outlineLevel="0" collapsed="false">
      <c r="E144" s="152"/>
    </row>
    <row r="145" customFormat="false" ht="12.75" hidden="false" customHeight="false" outlineLevel="0" collapsed="false">
      <c r="E145" s="152"/>
    </row>
    <row r="146" customFormat="false" ht="12.75" hidden="false" customHeight="false" outlineLevel="0" collapsed="false">
      <c r="E146" s="152"/>
    </row>
    <row r="147" customFormat="false" ht="12.75" hidden="false" customHeight="false" outlineLevel="0" collapsed="false">
      <c r="E147" s="152"/>
    </row>
    <row r="148" customFormat="false" ht="12.75" hidden="false" customHeight="false" outlineLevel="0" collapsed="false">
      <c r="E148" s="152"/>
    </row>
    <row r="149" customFormat="false" ht="12.75" hidden="false" customHeight="false" outlineLevel="0" collapsed="false">
      <c r="E149" s="152"/>
    </row>
    <row r="150" customFormat="false" ht="12.75" hidden="false" customHeight="false" outlineLevel="0" collapsed="false">
      <c r="E150" s="152"/>
    </row>
    <row r="151" customFormat="false" ht="12.75" hidden="false" customHeight="false" outlineLevel="0" collapsed="false">
      <c r="E151" s="152"/>
    </row>
    <row r="152" customFormat="false" ht="12.75" hidden="false" customHeight="false" outlineLevel="0" collapsed="false">
      <c r="E152" s="152"/>
    </row>
    <row r="153" customFormat="false" ht="12.75" hidden="false" customHeight="false" outlineLevel="0" collapsed="false">
      <c r="E153" s="152"/>
    </row>
    <row r="154" customFormat="false" ht="12.75" hidden="false" customHeight="false" outlineLevel="0" collapsed="false">
      <c r="E154" s="152"/>
    </row>
    <row r="155" customFormat="false" ht="12.75" hidden="false" customHeight="false" outlineLevel="0" collapsed="false">
      <c r="E155" s="152"/>
    </row>
    <row r="156" customFormat="false" ht="12.75" hidden="false" customHeight="false" outlineLevel="0" collapsed="false">
      <c r="E156" s="152"/>
    </row>
    <row r="157" customFormat="false" ht="12.75" hidden="false" customHeight="false" outlineLevel="0" collapsed="false">
      <c r="E157" s="152"/>
    </row>
    <row r="158" customFormat="false" ht="12.75" hidden="false" customHeight="false" outlineLevel="0" collapsed="false">
      <c r="E158" s="152"/>
    </row>
    <row r="159" customFormat="false" ht="12.75" hidden="false" customHeight="false" outlineLevel="0" collapsed="false">
      <c r="E159" s="152"/>
    </row>
    <row r="160" customFormat="false" ht="12.75" hidden="false" customHeight="false" outlineLevel="0" collapsed="false">
      <c r="E160" s="152"/>
    </row>
    <row r="161" customFormat="false" ht="12.75" hidden="false" customHeight="false" outlineLevel="0" collapsed="false">
      <c r="E161" s="152"/>
    </row>
    <row r="162" customFormat="false" ht="12.75" hidden="false" customHeight="false" outlineLevel="0" collapsed="false">
      <c r="E162" s="152"/>
    </row>
    <row r="163" customFormat="false" ht="12.75" hidden="false" customHeight="false" outlineLevel="0" collapsed="false">
      <c r="E163" s="152"/>
    </row>
    <row r="164" customFormat="false" ht="12.75" hidden="false" customHeight="false" outlineLevel="0" collapsed="false">
      <c r="E164" s="152"/>
    </row>
    <row r="165" customFormat="false" ht="12.75" hidden="false" customHeight="false" outlineLevel="0" collapsed="false">
      <c r="E165" s="152"/>
    </row>
    <row r="166" customFormat="false" ht="12.75" hidden="false" customHeight="false" outlineLevel="0" collapsed="false">
      <c r="E166" s="152"/>
    </row>
    <row r="167" customFormat="false" ht="12.75" hidden="false" customHeight="false" outlineLevel="0" collapsed="false">
      <c r="E167" s="152"/>
    </row>
    <row r="168" customFormat="false" ht="12.75" hidden="false" customHeight="false" outlineLevel="0" collapsed="false">
      <c r="E168" s="152"/>
    </row>
    <row r="169" customFormat="false" ht="12.75" hidden="false" customHeight="false" outlineLevel="0" collapsed="false">
      <c r="E169" s="152"/>
    </row>
    <row r="170" customFormat="false" ht="12.75" hidden="false" customHeight="false" outlineLevel="0" collapsed="false">
      <c r="E170" s="152"/>
    </row>
    <row r="171" customFormat="false" ht="12.75" hidden="false" customHeight="false" outlineLevel="0" collapsed="false">
      <c r="E171" s="152"/>
    </row>
    <row r="172" customFormat="false" ht="12.75" hidden="false" customHeight="false" outlineLevel="0" collapsed="false">
      <c r="E172" s="152"/>
    </row>
    <row r="173" customFormat="false" ht="12.75" hidden="false" customHeight="false" outlineLevel="0" collapsed="false">
      <c r="E173" s="152"/>
    </row>
    <row r="174" customFormat="false" ht="12.75" hidden="false" customHeight="false" outlineLevel="0" collapsed="false">
      <c r="E174" s="152"/>
    </row>
    <row r="175" customFormat="false" ht="12.75" hidden="false" customHeight="false" outlineLevel="0" collapsed="false">
      <c r="E175" s="152"/>
    </row>
    <row r="176" customFormat="false" ht="12.75" hidden="false" customHeight="false" outlineLevel="0" collapsed="false">
      <c r="E176" s="152"/>
    </row>
    <row r="177" customFormat="false" ht="12.75" hidden="false" customHeight="false" outlineLevel="0" collapsed="false">
      <c r="E177" s="152"/>
    </row>
    <row r="178" customFormat="false" ht="12.75" hidden="false" customHeight="false" outlineLevel="0" collapsed="false">
      <c r="E178" s="152"/>
    </row>
    <row r="179" customFormat="false" ht="12.75" hidden="false" customHeight="false" outlineLevel="0" collapsed="false">
      <c r="E179" s="152"/>
    </row>
    <row r="180" customFormat="false" ht="12.75" hidden="false" customHeight="false" outlineLevel="0" collapsed="false">
      <c r="E180" s="152"/>
    </row>
    <row r="181" customFormat="false" ht="12.75" hidden="false" customHeight="false" outlineLevel="0" collapsed="false">
      <c r="E181" s="152"/>
    </row>
    <row r="182" customFormat="false" ht="12.75" hidden="false" customHeight="false" outlineLevel="0" collapsed="false">
      <c r="E182" s="152"/>
    </row>
    <row r="183" customFormat="false" ht="12.75" hidden="false" customHeight="false" outlineLevel="0" collapsed="false">
      <c r="E183" s="152"/>
    </row>
    <row r="184" customFormat="false" ht="12.75" hidden="false" customHeight="false" outlineLevel="0" collapsed="false">
      <c r="E184" s="152"/>
    </row>
    <row r="185" customFormat="false" ht="12.75" hidden="false" customHeight="false" outlineLevel="0" collapsed="false">
      <c r="E185" s="152"/>
    </row>
    <row r="186" customFormat="false" ht="12.75" hidden="false" customHeight="false" outlineLevel="0" collapsed="false">
      <c r="E186" s="152"/>
    </row>
    <row r="187" customFormat="false" ht="12.75" hidden="false" customHeight="false" outlineLevel="0" collapsed="false">
      <c r="E187" s="152"/>
    </row>
    <row r="188" customFormat="false" ht="12.75" hidden="false" customHeight="false" outlineLevel="0" collapsed="false">
      <c r="E188" s="152"/>
    </row>
    <row r="189" customFormat="false" ht="12.75" hidden="false" customHeight="false" outlineLevel="0" collapsed="false">
      <c r="E189" s="152"/>
    </row>
    <row r="190" customFormat="false" ht="12.75" hidden="false" customHeight="false" outlineLevel="0" collapsed="false">
      <c r="E190" s="152"/>
    </row>
    <row r="191" customFormat="false" ht="12.75" hidden="false" customHeight="false" outlineLevel="0" collapsed="false">
      <c r="E191" s="152"/>
    </row>
    <row r="192" customFormat="false" ht="12.75" hidden="false" customHeight="false" outlineLevel="0" collapsed="false">
      <c r="E192" s="152"/>
    </row>
    <row r="193" customFormat="false" ht="12.75" hidden="false" customHeight="false" outlineLevel="0" collapsed="false">
      <c r="E193" s="152"/>
    </row>
    <row r="194" customFormat="false" ht="12.75" hidden="false" customHeight="false" outlineLevel="0" collapsed="false">
      <c r="E194" s="152"/>
    </row>
    <row r="195" customFormat="false" ht="12.75" hidden="false" customHeight="false" outlineLevel="0" collapsed="false">
      <c r="E195" s="152"/>
    </row>
    <row r="196" customFormat="false" ht="12.75" hidden="false" customHeight="false" outlineLevel="0" collapsed="false">
      <c r="E196" s="152"/>
    </row>
    <row r="197" customFormat="false" ht="12.75" hidden="false" customHeight="false" outlineLevel="0" collapsed="false">
      <c r="E197" s="152"/>
    </row>
    <row r="198" customFormat="false" ht="12.75" hidden="false" customHeight="false" outlineLevel="0" collapsed="false">
      <c r="E198" s="152"/>
    </row>
    <row r="199" customFormat="false" ht="12.75" hidden="false" customHeight="false" outlineLevel="0" collapsed="false">
      <c r="E199" s="152"/>
    </row>
    <row r="200" customFormat="false" ht="12.75" hidden="false" customHeight="false" outlineLevel="0" collapsed="false">
      <c r="E200" s="152"/>
    </row>
    <row r="201" customFormat="false" ht="12.75" hidden="false" customHeight="false" outlineLevel="0" collapsed="false">
      <c r="E201" s="152"/>
    </row>
    <row r="202" customFormat="false" ht="12.75" hidden="false" customHeight="false" outlineLevel="0" collapsed="false">
      <c r="E202" s="152"/>
    </row>
    <row r="203" customFormat="false" ht="12.75" hidden="false" customHeight="false" outlineLevel="0" collapsed="false">
      <c r="E203" s="152"/>
    </row>
    <row r="204" customFormat="false" ht="12.75" hidden="false" customHeight="false" outlineLevel="0" collapsed="false">
      <c r="E204" s="152"/>
    </row>
    <row r="205" customFormat="false" ht="12.75" hidden="false" customHeight="false" outlineLevel="0" collapsed="false">
      <c r="E205" s="152"/>
    </row>
    <row r="206" customFormat="false" ht="12.75" hidden="false" customHeight="false" outlineLevel="0" collapsed="false">
      <c r="E206" s="152"/>
    </row>
    <row r="207" customFormat="false" ht="12.75" hidden="false" customHeight="false" outlineLevel="0" collapsed="false">
      <c r="E207" s="152"/>
    </row>
    <row r="208" customFormat="false" ht="12.75" hidden="false" customHeight="false" outlineLevel="0" collapsed="false">
      <c r="E208" s="152"/>
    </row>
    <row r="209" customFormat="false" ht="12.75" hidden="false" customHeight="false" outlineLevel="0" collapsed="false">
      <c r="E209" s="152"/>
    </row>
    <row r="210" customFormat="false" ht="12.75" hidden="false" customHeight="false" outlineLevel="0" collapsed="false">
      <c r="E210" s="152"/>
    </row>
    <row r="211" customFormat="false" ht="12.75" hidden="false" customHeight="false" outlineLevel="0" collapsed="false">
      <c r="E211" s="152"/>
    </row>
    <row r="212" customFormat="false" ht="12.75" hidden="false" customHeight="false" outlineLevel="0" collapsed="false">
      <c r="E212" s="152"/>
    </row>
    <row r="213" customFormat="false" ht="12.75" hidden="false" customHeight="false" outlineLevel="0" collapsed="false">
      <c r="E213" s="152"/>
    </row>
    <row r="214" customFormat="false" ht="12.75" hidden="false" customHeight="false" outlineLevel="0" collapsed="false">
      <c r="E214" s="152"/>
    </row>
    <row r="215" customFormat="false" ht="12.75" hidden="false" customHeight="false" outlineLevel="0" collapsed="false">
      <c r="E215" s="152"/>
    </row>
    <row r="216" customFormat="false" ht="12.75" hidden="false" customHeight="false" outlineLevel="0" collapsed="false">
      <c r="E216" s="152"/>
    </row>
    <row r="217" customFormat="false" ht="12.75" hidden="false" customHeight="false" outlineLevel="0" collapsed="false">
      <c r="E217" s="152"/>
    </row>
    <row r="218" customFormat="false" ht="12.75" hidden="false" customHeight="false" outlineLevel="0" collapsed="false">
      <c r="E218" s="152"/>
    </row>
    <row r="219" customFormat="false" ht="12.75" hidden="false" customHeight="false" outlineLevel="0" collapsed="false">
      <c r="E219" s="152"/>
    </row>
    <row r="220" customFormat="false" ht="12.75" hidden="false" customHeight="false" outlineLevel="0" collapsed="false">
      <c r="E220" s="152"/>
    </row>
    <row r="221" customFormat="false" ht="12.75" hidden="false" customHeight="false" outlineLevel="0" collapsed="false">
      <c r="E221" s="152"/>
    </row>
    <row r="222" customFormat="false" ht="12.75" hidden="false" customHeight="false" outlineLevel="0" collapsed="false">
      <c r="E222" s="152"/>
    </row>
    <row r="223" customFormat="false" ht="12.75" hidden="false" customHeight="false" outlineLevel="0" collapsed="false">
      <c r="E223" s="152"/>
    </row>
    <row r="224" customFormat="false" ht="12.75" hidden="false" customHeight="false" outlineLevel="0" collapsed="false">
      <c r="E224" s="152"/>
    </row>
    <row r="225" customFormat="false" ht="12.75" hidden="false" customHeight="false" outlineLevel="0" collapsed="false">
      <c r="E225" s="152"/>
    </row>
    <row r="226" customFormat="false" ht="12.75" hidden="false" customHeight="false" outlineLevel="0" collapsed="false">
      <c r="E226" s="152"/>
    </row>
    <row r="227" customFormat="false" ht="12.75" hidden="false" customHeight="false" outlineLevel="0" collapsed="false">
      <c r="E227" s="152"/>
    </row>
    <row r="228" customFormat="false" ht="12.75" hidden="false" customHeight="false" outlineLevel="0" collapsed="false">
      <c r="E228" s="152"/>
    </row>
    <row r="229" customFormat="false" ht="12.75" hidden="false" customHeight="false" outlineLevel="0" collapsed="false">
      <c r="E229" s="152"/>
    </row>
    <row r="230" customFormat="false" ht="12.75" hidden="false" customHeight="false" outlineLevel="0" collapsed="false">
      <c r="E230" s="152"/>
    </row>
    <row r="231" customFormat="false" ht="12.75" hidden="false" customHeight="false" outlineLevel="0" collapsed="false">
      <c r="E231" s="152"/>
    </row>
    <row r="232" customFormat="false" ht="12.75" hidden="false" customHeight="false" outlineLevel="0" collapsed="false">
      <c r="E232" s="152"/>
    </row>
    <row r="233" customFormat="false" ht="12.75" hidden="false" customHeight="false" outlineLevel="0" collapsed="false">
      <c r="E233" s="152"/>
    </row>
    <row r="234" customFormat="false" ht="12.75" hidden="false" customHeight="false" outlineLevel="0" collapsed="false">
      <c r="E234" s="152"/>
    </row>
    <row r="235" customFormat="false" ht="12.75" hidden="false" customHeight="false" outlineLevel="0" collapsed="false">
      <c r="E235" s="152"/>
    </row>
    <row r="236" customFormat="false" ht="12.75" hidden="false" customHeight="false" outlineLevel="0" collapsed="false">
      <c r="E236" s="152"/>
    </row>
    <row r="237" customFormat="false" ht="12.75" hidden="false" customHeight="false" outlineLevel="0" collapsed="false">
      <c r="E237" s="152"/>
    </row>
    <row r="238" customFormat="false" ht="12.75" hidden="false" customHeight="false" outlineLevel="0" collapsed="false">
      <c r="E238" s="152"/>
    </row>
    <row r="239" customFormat="false" ht="12.75" hidden="false" customHeight="false" outlineLevel="0" collapsed="false">
      <c r="E239" s="152"/>
    </row>
    <row r="240" customFormat="false" ht="12.75" hidden="false" customHeight="false" outlineLevel="0" collapsed="false">
      <c r="E240" s="152"/>
    </row>
    <row r="241" customFormat="false" ht="12.75" hidden="false" customHeight="false" outlineLevel="0" collapsed="false">
      <c r="E241" s="152"/>
    </row>
    <row r="242" customFormat="false" ht="12.75" hidden="false" customHeight="false" outlineLevel="0" collapsed="false">
      <c r="E242" s="152"/>
    </row>
    <row r="243" customFormat="false" ht="12.75" hidden="false" customHeight="false" outlineLevel="0" collapsed="false">
      <c r="E243" s="152"/>
    </row>
    <row r="244" customFormat="false" ht="12.75" hidden="false" customHeight="false" outlineLevel="0" collapsed="false">
      <c r="E244" s="152"/>
    </row>
    <row r="245" customFormat="false" ht="12.75" hidden="false" customHeight="false" outlineLevel="0" collapsed="false">
      <c r="E245" s="152"/>
    </row>
    <row r="246" customFormat="false" ht="12.75" hidden="false" customHeight="false" outlineLevel="0" collapsed="false">
      <c r="E246" s="152"/>
    </row>
    <row r="247" customFormat="false" ht="12.75" hidden="false" customHeight="false" outlineLevel="0" collapsed="false">
      <c r="E247" s="152"/>
    </row>
    <row r="248" customFormat="false" ht="12.75" hidden="false" customHeight="false" outlineLevel="0" collapsed="false">
      <c r="E248" s="152"/>
    </row>
    <row r="249" customFormat="false" ht="12.75" hidden="false" customHeight="false" outlineLevel="0" collapsed="false">
      <c r="E249" s="152"/>
    </row>
    <row r="250" customFormat="false" ht="12.75" hidden="false" customHeight="false" outlineLevel="0" collapsed="false">
      <c r="E250" s="152"/>
    </row>
    <row r="251" customFormat="false" ht="12.75" hidden="false" customHeight="false" outlineLevel="0" collapsed="false">
      <c r="E251" s="152"/>
    </row>
    <row r="252" customFormat="false" ht="12.75" hidden="false" customHeight="false" outlineLevel="0" collapsed="false">
      <c r="E252" s="152"/>
    </row>
    <row r="253" customFormat="false" ht="12.75" hidden="false" customHeight="false" outlineLevel="0" collapsed="false">
      <c r="E253" s="152"/>
    </row>
    <row r="254" customFormat="false" ht="12.75" hidden="false" customHeight="false" outlineLevel="0" collapsed="false">
      <c r="E254" s="152"/>
    </row>
    <row r="255" customFormat="false" ht="12.75" hidden="false" customHeight="false" outlineLevel="0" collapsed="false">
      <c r="E255" s="152"/>
    </row>
    <row r="256" customFormat="false" ht="12.75" hidden="false" customHeight="false" outlineLevel="0" collapsed="false">
      <c r="E256" s="152"/>
    </row>
    <row r="257" customFormat="false" ht="12.75" hidden="false" customHeight="false" outlineLevel="0" collapsed="false">
      <c r="E257" s="152"/>
    </row>
    <row r="258" customFormat="false" ht="12.75" hidden="false" customHeight="false" outlineLevel="0" collapsed="false">
      <c r="E258" s="152"/>
    </row>
    <row r="259" customFormat="false" ht="12.75" hidden="false" customHeight="false" outlineLevel="0" collapsed="false">
      <c r="E259" s="152"/>
    </row>
    <row r="260" customFormat="false" ht="12.75" hidden="false" customHeight="false" outlineLevel="0" collapsed="false">
      <c r="E260" s="152"/>
    </row>
    <row r="261" customFormat="false" ht="12.75" hidden="false" customHeight="false" outlineLevel="0" collapsed="false">
      <c r="E261" s="152"/>
    </row>
    <row r="262" customFormat="false" ht="12.75" hidden="false" customHeight="false" outlineLevel="0" collapsed="false">
      <c r="E262" s="152"/>
    </row>
    <row r="263" customFormat="false" ht="12.75" hidden="false" customHeight="false" outlineLevel="0" collapsed="false">
      <c r="E263" s="152"/>
    </row>
    <row r="264" customFormat="false" ht="12.75" hidden="false" customHeight="false" outlineLevel="0" collapsed="false">
      <c r="E264" s="152"/>
    </row>
    <row r="265" customFormat="false" ht="12.75" hidden="false" customHeight="false" outlineLevel="0" collapsed="false">
      <c r="E265" s="152"/>
    </row>
    <row r="266" customFormat="false" ht="12.75" hidden="false" customHeight="false" outlineLevel="0" collapsed="false">
      <c r="E266" s="152"/>
    </row>
    <row r="267" customFormat="false" ht="12.75" hidden="false" customHeight="false" outlineLevel="0" collapsed="false">
      <c r="E267" s="152"/>
    </row>
    <row r="268" customFormat="false" ht="12.75" hidden="false" customHeight="false" outlineLevel="0" collapsed="false">
      <c r="E268" s="152"/>
    </row>
    <row r="269" customFormat="false" ht="12.75" hidden="false" customHeight="false" outlineLevel="0" collapsed="false">
      <c r="E269" s="152"/>
    </row>
    <row r="270" customFormat="false" ht="12.75" hidden="false" customHeight="false" outlineLevel="0" collapsed="false">
      <c r="E270" s="152"/>
    </row>
    <row r="271" customFormat="false" ht="12.75" hidden="false" customHeight="false" outlineLevel="0" collapsed="false">
      <c r="E271" s="152"/>
    </row>
    <row r="272" customFormat="false" ht="12.75" hidden="false" customHeight="false" outlineLevel="0" collapsed="false">
      <c r="E272" s="152"/>
    </row>
    <row r="273" customFormat="false" ht="12.75" hidden="false" customHeight="false" outlineLevel="0" collapsed="false">
      <c r="E273" s="152"/>
    </row>
    <row r="274" customFormat="false" ht="12.75" hidden="false" customHeight="false" outlineLevel="0" collapsed="false">
      <c r="E274" s="152"/>
    </row>
    <row r="275" customFormat="false" ht="12.75" hidden="false" customHeight="false" outlineLevel="0" collapsed="false">
      <c r="E275" s="152"/>
    </row>
    <row r="276" customFormat="false" ht="12.75" hidden="false" customHeight="false" outlineLevel="0" collapsed="false">
      <c r="E276" s="152"/>
    </row>
    <row r="277" customFormat="false" ht="12.75" hidden="false" customHeight="false" outlineLevel="0" collapsed="false">
      <c r="E277" s="152"/>
    </row>
    <row r="278" customFormat="false" ht="12.75" hidden="false" customHeight="false" outlineLevel="0" collapsed="false">
      <c r="E278" s="152"/>
    </row>
    <row r="279" customFormat="false" ht="12.75" hidden="false" customHeight="false" outlineLevel="0" collapsed="false">
      <c r="E279" s="152"/>
    </row>
    <row r="280" customFormat="false" ht="12.75" hidden="false" customHeight="false" outlineLevel="0" collapsed="false">
      <c r="E280" s="152"/>
    </row>
    <row r="281" customFormat="false" ht="12.75" hidden="false" customHeight="false" outlineLevel="0" collapsed="false">
      <c r="E281" s="152"/>
    </row>
    <row r="282" customFormat="false" ht="12.75" hidden="false" customHeight="false" outlineLevel="0" collapsed="false">
      <c r="E282" s="152"/>
    </row>
    <row r="283" customFormat="false" ht="12.75" hidden="false" customHeight="false" outlineLevel="0" collapsed="false">
      <c r="E283" s="152"/>
    </row>
    <row r="284" customFormat="false" ht="12.75" hidden="false" customHeight="false" outlineLevel="0" collapsed="false">
      <c r="E284" s="152"/>
    </row>
    <row r="285" customFormat="false" ht="12.75" hidden="false" customHeight="false" outlineLevel="0" collapsed="false">
      <c r="E285" s="152"/>
    </row>
    <row r="286" customFormat="false" ht="12.75" hidden="false" customHeight="false" outlineLevel="0" collapsed="false">
      <c r="E286" s="152"/>
    </row>
    <row r="287" customFormat="false" ht="12.75" hidden="false" customHeight="false" outlineLevel="0" collapsed="false">
      <c r="E287" s="152"/>
    </row>
    <row r="288" customFormat="false" ht="12.75" hidden="false" customHeight="false" outlineLevel="0" collapsed="false">
      <c r="E288" s="152"/>
    </row>
    <row r="289" customFormat="false" ht="12.75" hidden="false" customHeight="false" outlineLevel="0" collapsed="false">
      <c r="E289" s="152"/>
    </row>
    <row r="290" customFormat="false" ht="12.75" hidden="false" customHeight="false" outlineLevel="0" collapsed="false">
      <c r="E290" s="152"/>
    </row>
    <row r="291" customFormat="false" ht="12.75" hidden="false" customHeight="false" outlineLevel="0" collapsed="false">
      <c r="E291" s="152"/>
    </row>
    <row r="292" customFormat="false" ht="12.75" hidden="false" customHeight="false" outlineLevel="0" collapsed="false">
      <c r="E292" s="152"/>
    </row>
    <row r="293" customFormat="false" ht="12.75" hidden="false" customHeight="false" outlineLevel="0" collapsed="false">
      <c r="E293" s="152"/>
    </row>
    <row r="294" customFormat="false" ht="12.75" hidden="false" customHeight="false" outlineLevel="0" collapsed="false">
      <c r="E294" s="152"/>
    </row>
    <row r="295" customFormat="false" ht="12.75" hidden="false" customHeight="false" outlineLevel="0" collapsed="false">
      <c r="E295" s="152"/>
    </row>
    <row r="296" customFormat="false" ht="12.75" hidden="false" customHeight="false" outlineLevel="0" collapsed="false">
      <c r="E296" s="152"/>
    </row>
    <row r="297" customFormat="false" ht="12.75" hidden="false" customHeight="false" outlineLevel="0" collapsed="false">
      <c r="E297" s="152"/>
    </row>
    <row r="298" customFormat="false" ht="12.75" hidden="false" customHeight="false" outlineLevel="0" collapsed="false">
      <c r="E298" s="152"/>
    </row>
    <row r="299" customFormat="false" ht="12.75" hidden="false" customHeight="false" outlineLevel="0" collapsed="false">
      <c r="E299" s="152"/>
    </row>
    <row r="300" customFormat="false" ht="12.75" hidden="false" customHeight="false" outlineLevel="0" collapsed="false">
      <c r="E300" s="152"/>
    </row>
    <row r="301" customFormat="false" ht="12.75" hidden="false" customHeight="false" outlineLevel="0" collapsed="false">
      <c r="E301" s="152"/>
    </row>
    <row r="302" customFormat="false" ht="12.75" hidden="false" customHeight="false" outlineLevel="0" collapsed="false">
      <c r="E302" s="152"/>
    </row>
    <row r="303" customFormat="false" ht="12.75" hidden="false" customHeight="false" outlineLevel="0" collapsed="false">
      <c r="E303" s="152"/>
    </row>
    <row r="304" customFormat="false" ht="12.75" hidden="false" customHeight="false" outlineLevel="0" collapsed="false">
      <c r="E304" s="152"/>
    </row>
    <row r="305" customFormat="false" ht="12.75" hidden="false" customHeight="false" outlineLevel="0" collapsed="false">
      <c r="E305" s="152"/>
    </row>
    <row r="306" customFormat="false" ht="12.75" hidden="false" customHeight="false" outlineLevel="0" collapsed="false">
      <c r="E306" s="152"/>
    </row>
    <row r="307" customFormat="false" ht="12.75" hidden="false" customHeight="false" outlineLevel="0" collapsed="false">
      <c r="E307" s="152"/>
    </row>
    <row r="308" customFormat="false" ht="12.75" hidden="false" customHeight="false" outlineLevel="0" collapsed="false">
      <c r="E308" s="152"/>
    </row>
    <row r="309" customFormat="false" ht="12.75" hidden="false" customHeight="false" outlineLevel="0" collapsed="false">
      <c r="E309" s="152"/>
    </row>
    <row r="310" customFormat="false" ht="12.75" hidden="false" customHeight="false" outlineLevel="0" collapsed="false">
      <c r="E310" s="152"/>
    </row>
    <row r="311" customFormat="false" ht="12.75" hidden="false" customHeight="false" outlineLevel="0" collapsed="false">
      <c r="E311" s="152"/>
    </row>
    <row r="312" customFormat="false" ht="12.75" hidden="false" customHeight="false" outlineLevel="0" collapsed="false">
      <c r="E312" s="152"/>
    </row>
    <row r="313" customFormat="false" ht="12.75" hidden="false" customHeight="false" outlineLevel="0" collapsed="false">
      <c r="E313" s="152"/>
    </row>
    <row r="314" customFormat="false" ht="12.75" hidden="false" customHeight="false" outlineLevel="0" collapsed="false">
      <c r="E314" s="152"/>
    </row>
    <row r="315" customFormat="false" ht="12.75" hidden="false" customHeight="false" outlineLevel="0" collapsed="false">
      <c r="E315" s="152"/>
    </row>
    <row r="316" customFormat="false" ht="12.75" hidden="false" customHeight="false" outlineLevel="0" collapsed="false">
      <c r="E316" s="152"/>
    </row>
    <row r="317" customFormat="false" ht="12.75" hidden="false" customHeight="false" outlineLevel="0" collapsed="false">
      <c r="E317" s="152"/>
    </row>
    <row r="318" customFormat="false" ht="12.75" hidden="false" customHeight="false" outlineLevel="0" collapsed="false">
      <c r="E318" s="152"/>
    </row>
    <row r="319" customFormat="false" ht="12.75" hidden="false" customHeight="false" outlineLevel="0" collapsed="false">
      <c r="E319" s="152"/>
    </row>
    <row r="320" customFormat="false" ht="12.75" hidden="false" customHeight="false" outlineLevel="0" collapsed="false">
      <c r="E320" s="152"/>
    </row>
    <row r="321" customFormat="false" ht="12.75" hidden="false" customHeight="false" outlineLevel="0" collapsed="false">
      <c r="E321" s="152"/>
    </row>
    <row r="322" customFormat="false" ht="12.75" hidden="false" customHeight="false" outlineLevel="0" collapsed="false">
      <c r="E322" s="152"/>
    </row>
    <row r="323" customFormat="false" ht="12.75" hidden="false" customHeight="false" outlineLevel="0" collapsed="false">
      <c r="E323" s="152"/>
    </row>
    <row r="324" customFormat="false" ht="12.75" hidden="false" customHeight="false" outlineLevel="0" collapsed="false">
      <c r="E324" s="152"/>
    </row>
    <row r="325" customFormat="false" ht="12.75" hidden="false" customHeight="false" outlineLevel="0" collapsed="false">
      <c r="E325" s="152"/>
    </row>
    <row r="326" customFormat="false" ht="12.75" hidden="false" customHeight="false" outlineLevel="0" collapsed="false">
      <c r="E326" s="152"/>
    </row>
    <row r="327" customFormat="false" ht="12.75" hidden="false" customHeight="false" outlineLevel="0" collapsed="false">
      <c r="E327" s="152"/>
    </row>
    <row r="328" customFormat="false" ht="12.75" hidden="false" customHeight="false" outlineLevel="0" collapsed="false">
      <c r="E328" s="152"/>
    </row>
    <row r="329" customFormat="false" ht="12.75" hidden="false" customHeight="false" outlineLevel="0" collapsed="false">
      <c r="E329" s="152"/>
    </row>
    <row r="330" customFormat="false" ht="12.75" hidden="false" customHeight="false" outlineLevel="0" collapsed="false">
      <c r="E330" s="152"/>
    </row>
    <row r="331" customFormat="false" ht="12.75" hidden="false" customHeight="false" outlineLevel="0" collapsed="false">
      <c r="E331" s="152"/>
    </row>
    <row r="332" customFormat="false" ht="12.75" hidden="false" customHeight="false" outlineLevel="0" collapsed="false">
      <c r="E332" s="152"/>
    </row>
    <row r="333" customFormat="false" ht="12.75" hidden="false" customHeight="false" outlineLevel="0" collapsed="false">
      <c r="E333" s="152"/>
    </row>
    <row r="334" customFormat="false" ht="12.75" hidden="false" customHeight="false" outlineLevel="0" collapsed="false">
      <c r="E334" s="152"/>
    </row>
    <row r="335" customFormat="false" ht="12.75" hidden="false" customHeight="false" outlineLevel="0" collapsed="false">
      <c r="E335" s="152"/>
    </row>
    <row r="336" customFormat="false" ht="12.75" hidden="false" customHeight="false" outlineLevel="0" collapsed="false">
      <c r="E336" s="152"/>
    </row>
    <row r="337" customFormat="false" ht="12.75" hidden="false" customHeight="false" outlineLevel="0" collapsed="false">
      <c r="E337" s="152"/>
    </row>
    <row r="338" customFormat="false" ht="12.75" hidden="false" customHeight="false" outlineLevel="0" collapsed="false">
      <c r="E338" s="152"/>
    </row>
    <row r="339" customFormat="false" ht="12.75" hidden="false" customHeight="false" outlineLevel="0" collapsed="false">
      <c r="E339" s="152"/>
    </row>
    <row r="340" customFormat="false" ht="12.75" hidden="false" customHeight="false" outlineLevel="0" collapsed="false">
      <c r="E340" s="152"/>
    </row>
    <row r="341" customFormat="false" ht="12.75" hidden="false" customHeight="false" outlineLevel="0" collapsed="false">
      <c r="E341" s="152"/>
    </row>
    <row r="342" customFormat="false" ht="12.75" hidden="false" customHeight="false" outlineLevel="0" collapsed="false">
      <c r="E342" s="152"/>
    </row>
    <row r="343" customFormat="false" ht="12.75" hidden="false" customHeight="false" outlineLevel="0" collapsed="false">
      <c r="E343" s="152"/>
    </row>
    <row r="344" customFormat="false" ht="12.75" hidden="false" customHeight="false" outlineLevel="0" collapsed="false">
      <c r="E344" s="152"/>
    </row>
    <row r="345" customFormat="false" ht="12.75" hidden="false" customHeight="false" outlineLevel="0" collapsed="false">
      <c r="E345" s="152"/>
    </row>
    <row r="346" customFormat="false" ht="12.75" hidden="false" customHeight="false" outlineLevel="0" collapsed="false">
      <c r="E346" s="152"/>
    </row>
    <row r="347" customFormat="false" ht="12.75" hidden="false" customHeight="false" outlineLevel="0" collapsed="false">
      <c r="E347" s="152"/>
    </row>
    <row r="348" customFormat="false" ht="12.75" hidden="false" customHeight="false" outlineLevel="0" collapsed="false">
      <c r="E348" s="152"/>
    </row>
    <row r="349" customFormat="false" ht="12.75" hidden="false" customHeight="false" outlineLevel="0" collapsed="false">
      <c r="E349" s="152"/>
    </row>
    <row r="350" customFormat="false" ht="12.75" hidden="false" customHeight="false" outlineLevel="0" collapsed="false">
      <c r="E350" s="152"/>
    </row>
    <row r="351" customFormat="false" ht="12.75" hidden="false" customHeight="false" outlineLevel="0" collapsed="false">
      <c r="E351" s="152"/>
    </row>
    <row r="352" customFormat="false" ht="12.75" hidden="false" customHeight="false" outlineLevel="0" collapsed="false">
      <c r="E352" s="152"/>
    </row>
    <row r="353" customFormat="false" ht="12.75" hidden="false" customHeight="false" outlineLevel="0" collapsed="false">
      <c r="E353" s="152"/>
    </row>
    <row r="354" customFormat="false" ht="12.75" hidden="false" customHeight="false" outlineLevel="0" collapsed="false">
      <c r="E354" s="152"/>
    </row>
    <row r="355" customFormat="false" ht="12.75" hidden="false" customHeight="false" outlineLevel="0" collapsed="false">
      <c r="E355" s="152"/>
    </row>
    <row r="356" customFormat="false" ht="12.75" hidden="false" customHeight="false" outlineLevel="0" collapsed="false">
      <c r="E356" s="152"/>
    </row>
    <row r="357" customFormat="false" ht="12.75" hidden="false" customHeight="false" outlineLevel="0" collapsed="false">
      <c r="E357" s="152"/>
    </row>
    <row r="358" customFormat="false" ht="12.75" hidden="false" customHeight="false" outlineLevel="0" collapsed="false">
      <c r="E358" s="152"/>
    </row>
    <row r="359" customFormat="false" ht="12.75" hidden="false" customHeight="false" outlineLevel="0" collapsed="false">
      <c r="E359" s="152"/>
    </row>
    <row r="360" customFormat="false" ht="12.75" hidden="false" customHeight="false" outlineLevel="0" collapsed="false">
      <c r="E360" s="152"/>
    </row>
    <row r="361" customFormat="false" ht="12.75" hidden="false" customHeight="false" outlineLevel="0" collapsed="false">
      <c r="E361" s="152"/>
    </row>
    <row r="362" customFormat="false" ht="12.75" hidden="false" customHeight="false" outlineLevel="0" collapsed="false">
      <c r="E362" s="152"/>
    </row>
    <row r="363" customFormat="false" ht="12.75" hidden="false" customHeight="false" outlineLevel="0" collapsed="false">
      <c r="E363" s="152"/>
    </row>
    <row r="364" customFormat="false" ht="12.75" hidden="false" customHeight="false" outlineLevel="0" collapsed="false">
      <c r="E364" s="152"/>
    </row>
    <row r="365" customFormat="false" ht="12.75" hidden="false" customHeight="false" outlineLevel="0" collapsed="false">
      <c r="E365" s="152"/>
    </row>
    <row r="366" customFormat="false" ht="12.75" hidden="false" customHeight="false" outlineLevel="0" collapsed="false">
      <c r="E366" s="152"/>
    </row>
    <row r="367" customFormat="false" ht="12.75" hidden="false" customHeight="false" outlineLevel="0" collapsed="false">
      <c r="E367" s="152"/>
    </row>
    <row r="368" customFormat="false" ht="12.75" hidden="false" customHeight="false" outlineLevel="0" collapsed="false">
      <c r="E368" s="152"/>
    </row>
    <row r="369" customFormat="false" ht="12.75" hidden="false" customHeight="false" outlineLevel="0" collapsed="false">
      <c r="E369" s="152"/>
    </row>
    <row r="370" customFormat="false" ht="12.75" hidden="false" customHeight="false" outlineLevel="0" collapsed="false">
      <c r="E370" s="152"/>
    </row>
    <row r="371" customFormat="false" ht="12.75" hidden="false" customHeight="false" outlineLevel="0" collapsed="false">
      <c r="E371" s="152"/>
    </row>
    <row r="372" customFormat="false" ht="12.75" hidden="false" customHeight="false" outlineLevel="0" collapsed="false">
      <c r="E372" s="152"/>
    </row>
    <row r="373" customFormat="false" ht="12.75" hidden="false" customHeight="false" outlineLevel="0" collapsed="false">
      <c r="E373" s="152"/>
    </row>
    <row r="374" customFormat="false" ht="12.75" hidden="false" customHeight="false" outlineLevel="0" collapsed="false">
      <c r="E374" s="152"/>
    </row>
    <row r="375" customFormat="false" ht="12.75" hidden="false" customHeight="false" outlineLevel="0" collapsed="false">
      <c r="E375" s="152"/>
    </row>
    <row r="376" customFormat="false" ht="12.75" hidden="false" customHeight="false" outlineLevel="0" collapsed="false">
      <c r="E376" s="152"/>
    </row>
    <row r="377" customFormat="false" ht="12.75" hidden="false" customHeight="false" outlineLevel="0" collapsed="false">
      <c r="E377" s="152"/>
    </row>
    <row r="378" customFormat="false" ht="12.75" hidden="false" customHeight="false" outlineLevel="0" collapsed="false">
      <c r="E378" s="152"/>
    </row>
    <row r="379" customFormat="false" ht="12.75" hidden="false" customHeight="false" outlineLevel="0" collapsed="false">
      <c r="E379" s="152"/>
    </row>
    <row r="380" customFormat="false" ht="12.75" hidden="false" customHeight="false" outlineLevel="0" collapsed="false">
      <c r="E380" s="152"/>
    </row>
    <row r="381" customFormat="false" ht="12.75" hidden="false" customHeight="false" outlineLevel="0" collapsed="false">
      <c r="E381" s="152"/>
    </row>
    <row r="382" customFormat="false" ht="12.75" hidden="false" customHeight="false" outlineLevel="0" collapsed="false">
      <c r="E382" s="152"/>
    </row>
    <row r="383" customFormat="false" ht="12.75" hidden="false" customHeight="false" outlineLevel="0" collapsed="false">
      <c r="E383" s="152"/>
    </row>
    <row r="384" customFormat="false" ht="12.75" hidden="false" customHeight="false" outlineLevel="0" collapsed="false">
      <c r="E384" s="152"/>
    </row>
    <row r="385" customFormat="false" ht="12.75" hidden="false" customHeight="false" outlineLevel="0" collapsed="false">
      <c r="E385" s="152"/>
    </row>
    <row r="386" customFormat="false" ht="12.75" hidden="false" customHeight="false" outlineLevel="0" collapsed="false">
      <c r="E386" s="152"/>
    </row>
    <row r="387" customFormat="false" ht="12.75" hidden="false" customHeight="false" outlineLevel="0" collapsed="false">
      <c r="E387" s="152"/>
    </row>
    <row r="388" customFormat="false" ht="12.75" hidden="false" customHeight="false" outlineLevel="0" collapsed="false">
      <c r="E388" s="152"/>
    </row>
    <row r="389" customFormat="false" ht="12.75" hidden="false" customHeight="false" outlineLevel="0" collapsed="false">
      <c r="E389" s="152"/>
    </row>
    <row r="390" customFormat="false" ht="12.75" hidden="false" customHeight="false" outlineLevel="0" collapsed="false">
      <c r="E390" s="152"/>
    </row>
    <row r="391" customFormat="false" ht="12.75" hidden="false" customHeight="false" outlineLevel="0" collapsed="false">
      <c r="E391" s="152"/>
    </row>
    <row r="392" customFormat="false" ht="12.75" hidden="false" customHeight="false" outlineLevel="0" collapsed="false">
      <c r="E392" s="152"/>
    </row>
    <row r="393" customFormat="false" ht="12.75" hidden="false" customHeight="false" outlineLevel="0" collapsed="false">
      <c r="E393" s="152"/>
    </row>
    <row r="394" customFormat="false" ht="12.75" hidden="false" customHeight="false" outlineLevel="0" collapsed="false">
      <c r="E394" s="152"/>
    </row>
    <row r="395" customFormat="false" ht="12.75" hidden="false" customHeight="false" outlineLevel="0" collapsed="false">
      <c r="E395" s="152"/>
    </row>
    <row r="396" customFormat="false" ht="12.75" hidden="false" customHeight="false" outlineLevel="0" collapsed="false">
      <c r="E396" s="152"/>
    </row>
    <row r="397" customFormat="false" ht="12.75" hidden="false" customHeight="false" outlineLevel="0" collapsed="false">
      <c r="E397" s="152"/>
    </row>
    <row r="398" customFormat="false" ht="12.75" hidden="false" customHeight="false" outlineLevel="0" collapsed="false">
      <c r="E398" s="152"/>
    </row>
    <row r="399" customFormat="false" ht="12.75" hidden="false" customHeight="false" outlineLevel="0" collapsed="false">
      <c r="E399" s="152"/>
    </row>
    <row r="400" customFormat="false" ht="12.75" hidden="false" customHeight="false" outlineLevel="0" collapsed="false">
      <c r="E400" s="152"/>
    </row>
    <row r="401" customFormat="false" ht="12.75" hidden="false" customHeight="false" outlineLevel="0" collapsed="false">
      <c r="E401" s="152"/>
    </row>
    <row r="402" customFormat="false" ht="12.75" hidden="false" customHeight="false" outlineLevel="0" collapsed="false">
      <c r="E402" s="152"/>
    </row>
    <row r="403" customFormat="false" ht="12.75" hidden="false" customHeight="false" outlineLevel="0" collapsed="false">
      <c r="E403" s="152"/>
    </row>
    <row r="404" customFormat="false" ht="12.75" hidden="false" customHeight="false" outlineLevel="0" collapsed="false">
      <c r="E404" s="152"/>
    </row>
    <row r="405" customFormat="false" ht="12.75" hidden="false" customHeight="false" outlineLevel="0" collapsed="false">
      <c r="E405" s="152"/>
    </row>
    <row r="406" customFormat="false" ht="12.75" hidden="false" customHeight="false" outlineLevel="0" collapsed="false">
      <c r="E406" s="152"/>
    </row>
    <row r="407" customFormat="false" ht="12.75" hidden="false" customHeight="false" outlineLevel="0" collapsed="false">
      <c r="E407" s="152"/>
    </row>
    <row r="408" customFormat="false" ht="12.75" hidden="false" customHeight="false" outlineLevel="0" collapsed="false">
      <c r="E408" s="152"/>
    </row>
    <row r="409" customFormat="false" ht="12.75" hidden="false" customHeight="false" outlineLevel="0" collapsed="false">
      <c r="E409" s="152"/>
    </row>
    <row r="410" customFormat="false" ht="12.75" hidden="false" customHeight="false" outlineLevel="0" collapsed="false">
      <c r="E410" s="152"/>
    </row>
    <row r="411" customFormat="false" ht="12.75" hidden="false" customHeight="false" outlineLevel="0" collapsed="false">
      <c r="E411" s="152"/>
    </row>
    <row r="412" customFormat="false" ht="12.75" hidden="false" customHeight="false" outlineLevel="0" collapsed="false">
      <c r="E412" s="152"/>
    </row>
    <row r="413" customFormat="false" ht="12.75" hidden="false" customHeight="false" outlineLevel="0" collapsed="false">
      <c r="E413" s="152"/>
    </row>
    <row r="414" customFormat="false" ht="12.75" hidden="false" customHeight="false" outlineLevel="0" collapsed="false">
      <c r="E414" s="152"/>
    </row>
    <row r="415" customFormat="false" ht="12.75" hidden="false" customHeight="false" outlineLevel="0" collapsed="false">
      <c r="E415" s="152"/>
    </row>
    <row r="416" customFormat="false" ht="12.75" hidden="false" customHeight="false" outlineLevel="0" collapsed="false">
      <c r="E416" s="152"/>
    </row>
    <row r="417" customFormat="false" ht="12.75" hidden="false" customHeight="false" outlineLevel="0" collapsed="false">
      <c r="E417" s="152"/>
    </row>
    <row r="418" customFormat="false" ht="12.75" hidden="false" customHeight="false" outlineLevel="0" collapsed="false">
      <c r="E418" s="152"/>
    </row>
    <row r="419" customFormat="false" ht="12.75" hidden="false" customHeight="false" outlineLevel="0" collapsed="false">
      <c r="E419" s="152"/>
    </row>
    <row r="420" customFormat="false" ht="12.75" hidden="false" customHeight="false" outlineLevel="0" collapsed="false">
      <c r="E420" s="152"/>
    </row>
    <row r="421" customFormat="false" ht="12.75" hidden="false" customHeight="false" outlineLevel="0" collapsed="false">
      <c r="E421" s="152"/>
    </row>
    <row r="422" customFormat="false" ht="12.75" hidden="false" customHeight="false" outlineLevel="0" collapsed="false">
      <c r="E422" s="152"/>
    </row>
    <row r="423" customFormat="false" ht="12.75" hidden="false" customHeight="false" outlineLevel="0" collapsed="false">
      <c r="E423" s="152"/>
    </row>
    <row r="424" customFormat="false" ht="12.75" hidden="false" customHeight="false" outlineLevel="0" collapsed="false">
      <c r="E424" s="152"/>
    </row>
    <row r="425" customFormat="false" ht="12.75" hidden="false" customHeight="false" outlineLevel="0" collapsed="false">
      <c r="E425" s="152"/>
    </row>
    <row r="426" customFormat="false" ht="12.75" hidden="false" customHeight="false" outlineLevel="0" collapsed="false">
      <c r="E426" s="152"/>
    </row>
    <row r="427" customFormat="false" ht="12.75" hidden="false" customHeight="false" outlineLevel="0" collapsed="false">
      <c r="E427" s="152"/>
    </row>
    <row r="428" customFormat="false" ht="12.75" hidden="false" customHeight="false" outlineLevel="0" collapsed="false">
      <c r="E428" s="152"/>
    </row>
    <row r="429" customFormat="false" ht="12.75" hidden="false" customHeight="false" outlineLevel="0" collapsed="false">
      <c r="E429" s="152"/>
    </row>
    <row r="430" customFormat="false" ht="12.75" hidden="false" customHeight="false" outlineLevel="0" collapsed="false">
      <c r="E430" s="152"/>
    </row>
    <row r="431" customFormat="false" ht="12.75" hidden="false" customHeight="false" outlineLevel="0" collapsed="false">
      <c r="E431" s="152"/>
    </row>
    <row r="432" customFormat="false" ht="12.75" hidden="false" customHeight="false" outlineLevel="0" collapsed="false">
      <c r="E432" s="152"/>
    </row>
    <row r="433" customFormat="false" ht="12.75" hidden="false" customHeight="false" outlineLevel="0" collapsed="false">
      <c r="E433" s="152"/>
    </row>
    <row r="434" customFormat="false" ht="12.75" hidden="false" customHeight="false" outlineLevel="0" collapsed="false">
      <c r="E434" s="152"/>
    </row>
    <row r="435" customFormat="false" ht="12.75" hidden="false" customHeight="false" outlineLevel="0" collapsed="false">
      <c r="E435" s="152"/>
    </row>
    <row r="436" customFormat="false" ht="12.75" hidden="false" customHeight="false" outlineLevel="0" collapsed="false">
      <c r="E436" s="152"/>
    </row>
    <row r="437" customFormat="false" ht="12.75" hidden="false" customHeight="false" outlineLevel="0" collapsed="false">
      <c r="E437" s="152"/>
    </row>
    <row r="438" customFormat="false" ht="12.75" hidden="false" customHeight="false" outlineLevel="0" collapsed="false">
      <c r="E438" s="152"/>
    </row>
    <row r="439" customFormat="false" ht="12.75" hidden="false" customHeight="false" outlineLevel="0" collapsed="false">
      <c r="E439" s="152"/>
    </row>
    <row r="440" customFormat="false" ht="12.75" hidden="false" customHeight="false" outlineLevel="0" collapsed="false">
      <c r="E440" s="152"/>
    </row>
    <row r="441" customFormat="false" ht="12.75" hidden="false" customHeight="false" outlineLevel="0" collapsed="false">
      <c r="E441" s="152"/>
    </row>
    <row r="442" customFormat="false" ht="12.75" hidden="false" customHeight="false" outlineLevel="0" collapsed="false">
      <c r="E442" s="152"/>
    </row>
    <row r="443" customFormat="false" ht="12.75" hidden="false" customHeight="false" outlineLevel="0" collapsed="false">
      <c r="E443" s="152"/>
    </row>
    <row r="444" customFormat="false" ht="12.75" hidden="false" customHeight="false" outlineLevel="0" collapsed="false">
      <c r="E444" s="152"/>
    </row>
    <row r="445" customFormat="false" ht="12.75" hidden="false" customHeight="false" outlineLevel="0" collapsed="false">
      <c r="E445" s="152"/>
    </row>
    <row r="446" customFormat="false" ht="12.75" hidden="false" customHeight="false" outlineLevel="0" collapsed="false">
      <c r="E446" s="152"/>
    </row>
    <row r="447" customFormat="false" ht="12.75" hidden="false" customHeight="false" outlineLevel="0" collapsed="false">
      <c r="E447" s="152"/>
    </row>
    <row r="448" customFormat="false" ht="12.75" hidden="false" customHeight="false" outlineLevel="0" collapsed="false">
      <c r="E448" s="152"/>
    </row>
    <row r="449" customFormat="false" ht="12.75" hidden="false" customHeight="false" outlineLevel="0" collapsed="false">
      <c r="E449" s="152"/>
    </row>
    <row r="450" customFormat="false" ht="12.75" hidden="false" customHeight="false" outlineLevel="0" collapsed="false">
      <c r="E450" s="152"/>
    </row>
    <row r="451" customFormat="false" ht="12.75" hidden="false" customHeight="false" outlineLevel="0" collapsed="false">
      <c r="E451" s="152"/>
    </row>
    <row r="452" customFormat="false" ht="12.75" hidden="false" customHeight="false" outlineLevel="0" collapsed="false">
      <c r="E452" s="152"/>
    </row>
    <row r="453" customFormat="false" ht="12.75" hidden="false" customHeight="false" outlineLevel="0" collapsed="false">
      <c r="E453" s="152"/>
    </row>
    <row r="454" customFormat="false" ht="12.75" hidden="false" customHeight="false" outlineLevel="0" collapsed="false">
      <c r="E454" s="152"/>
    </row>
    <row r="455" customFormat="false" ht="12.75" hidden="false" customHeight="false" outlineLevel="0" collapsed="false">
      <c r="E455" s="152"/>
    </row>
    <row r="456" customFormat="false" ht="12.75" hidden="false" customHeight="false" outlineLevel="0" collapsed="false">
      <c r="E456" s="152"/>
    </row>
    <row r="457" customFormat="false" ht="12.75" hidden="false" customHeight="false" outlineLevel="0" collapsed="false">
      <c r="E457" s="152"/>
    </row>
    <row r="458" customFormat="false" ht="12.75" hidden="false" customHeight="false" outlineLevel="0" collapsed="false">
      <c r="E458" s="152"/>
    </row>
    <row r="459" customFormat="false" ht="12.75" hidden="false" customHeight="false" outlineLevel="0" collapsed="false">
      <c r="E459" s="152"/>
    </row>
    <row r="460" customFormat="false" ht="12.75" hidden="false" customHeight="false" outlineLevel="0" collapsed="false">
      <c r="E460" s="152"/>
    </row>
    <row r="461" customFormat="false" ht="12.75" hidden="false" customHeight="false" outlineLevel="0" collapsed="false">
      <c r="E461" s="152"/>
    </row>
    <row r="462" customFormat="false" ht="12.75" hidden="false" customHeight="false" outlineLevel="0" collapsed="false">
      <c r="E462" s="152"/>
    </row>
    <row r="463" customFormat="false" ht="12.75" hidden="false" customHeight="false" outlineLevel="0" collapsed="false">
      <c r="E463" s="152"/>
    </row>
    <row r="464" customFormat="false" ht="12.75" hidden="false" customHeight="false" outlineLevel="0" collapsed="false">
      <c r="E464" s="152"/>
    </row>
    <row r="465" customFormat="false" ht="12.75" hidden="false" customHeight="false" outlineLevel="0" collapsed="false">
      <c r="E465" s="152"/>
    </row>
    <row r="466" customFormat="false" ht="12.75" hidden="false" customHeight="false" outlineLevel="0" collapsed="false">
      <c r="E466" s="152"/>
    </row>
    <row r="467" customFormat="false" ht="12.75" hidden="false" customHeight="false" outlineLevel="0" collapsed="false">
      <c r="E467" s="152"/>
    </row>
    <row r="468" customFormat="false" ht="12.75" hidden="false" customHeight="false" outlineLevel="0" collapsed="false">
      <c r="E468" s="152"/>
    </row>
    <row r="469" customFormat="false" ht="12.75" hidden="false" customHeight="false" outlineLevel="0" collapsed="false">
      <c r="E469" s="152"/>
    </row>
    <row r="470" customFormat="false" ht="12.75" hidden="false" customHeight="false" outlineLevel="0" collapsed="false">
      <c r="E470" s="152"/>
    </row>
    <row r="471" customFormat="false" ht="12.75" hidden="false" customHeight="false" outlineLevel="0" collapsed="false">
      <c r="E471" s="152"/>
    </row>
    <row r="472" customFormat="false" ht="12.75" hidden="false" customHeight="false" outlineLevel="0" collapsed="false">
      <c r="E472" s="152"/>
    </row>
    <row r="473" customFormat="false" ht="12.75" hidden="false" customHeight="false" outlineLevel="0" collapsed="false">
      <c r="E473" s="152"/>
    </row>
    <row r="474" customFormat="false" ht="12.75" hidden="false" customHeight="false" outlineLevel="0" collapsed="false">
      <c r="E474" s="152"/>
    </row>
    <row r="475" customFormat="false" ht="12.75" hidden="false" customHeight="false" outlineLevel="0" collapsed="false">
      <c r="E475" s="152"/>
    </row>
    <row r="476" customFormat="false" ht="12.75" hidden="false" customHeight="false" outlineLevel="0" collapsed="false">
      <c r="E476" s="152"/>
    </row>
    <row r="477" customFormat="false" ht="12.75" hidden="false" customHeight="false" outlineLevel="0" collapsed="false">
      <c r="E477" s="152"/>
    </row>
    <row r="478" customFormat="false" ht="12.75" hidden="false" customHeight="false" outlineLevel="0" collapsed="false">
      <c r="E478" s="152"/>
    </row>
    <row r="479" customFormat="false" ht="12.75" hidden="false" customHeight="false" outlineLevel="0" collapsed="false">
      <c r="E479" s="152"/>
    </row>
    <row r="480" customFormat="false" ht="12.75" hidden="false" customHeight="false" outlineLevel="0" collapsed="false">
      <c r="E480" s="152"/>
    </row>
    <row r="481" customFormat="false" ht="12.75" hidden="false" customHeight="false" outlineLevel="0" collapsed="false">
      <c r="E481" s="152"/>
    </row>
    <row r="482" customFormat="false" ht="12.75" hidden="false" customHeight="false" outlineLevel="0" collapsed="false">
      <c r="E482" s="152"/>
    </row>
    <row r="483" customFormat="false" ht="12.75" hidden="false" customHeight="false" outlineLevel="0" collapsed="false">
      <c r="E483" s="152"/>
    </row>
    <row r="484" customFormat="false" ht="12.75" hidden="false" customHeight="false" outlineLevel="0" collapsed="false">
      <c r="E484" s="152"/>
    </row>
    <row r="485" customFormat="false" ht="12.75" hidden="false" customHeight="false" outlineLevel="0" collapsed="false">
      <c r="E485" s="152"/>
    </row>
    <row r="486" customFormat="false" ht="12.75" hidden="false" customHeight="false" outlineLevel="0" collapsed="false">
      <c r="E486" s="152"/>
    </row>
    <row r="487" customFormat="false" ht="12.75" hidden="false" customHeight="false" outlineLevel="0" collapsed="false">
      <c r="E487" s="152"/>
    </row>
    <row r="488" customFormat="false" ht="12.75" hidden="false" customHeight="false" outlineLevel="0" collapsed="false">
      <c r="E488" s="152"/>
    </row>
    <row r="489" customFormat="false" ht="12.75" hidden="false" customHeight="false" outlineLevel="0" collapsed="false">
      <c r="E489" s="152"/>
    </row>
    <row r="490" customFormat="false" ht="12.75" hidden="false" customHeight="false" outlineLevel="0" collapsed="false">
      <c r="E490" s="152"/>
    </row>
    <row r="491" customFormat="false" ht="12.75" hidden="false" customHeight="false" outlineLevel="0" collapsed="false">
      <c r="E491" s="152"/>
    </row>
    <row r="492" customFormat="false" ht="12.75" hidden="false" customHeight="false" outlineLevel="0" collapsed="false">
      <c r="E492" s="152"/>
    </row>
    <row r="493" customFormat="false" ht="12.75" hidden="false" customHeight="false" outlineLevel="0" collapsed="false">
      <c r="E493" s="152"/>
    </row>
    <row r="494" customFormat="false" ht="12.75" hidden="false" customHeight="false" outlineLevel="0" collapsed="false">
      <c r="E494" s="152"/>
    </row>
    <row r="495" customFormat="false" ht="12.75" hidden="false" customHeight="false" outlineLevel="0" collapsed="false">
      <c r="E495" s="152"/>
    </row>
    <row r="496" customFormat="false" ht="12.75" hidden="false" customHeight="false" outlineLevel="0" collapsed="false">
      <c r="E496" s="152"/>
    </row>
    <row r="497" customFormat="false" ht="12.75" hidden="false" customHeight="false" outlineLevel="0" collapsed="false">
      <c r="E497" s="152"/>
    </row>
    <row r="498" customFormat="false" ht="12.75" hidden="false" customHeight="false" outlineLevel="0" collapsed="false">
      <c r="E498" s="152"/>
    </row>
    <row r="499" customFormat="false" ht="12.75" hidden="false" customHeight="false" outlineLevel="0" collapsed="false">
      <c r="E499" s="152"/>
    </row>
    <row r="500" customFormat="false" ht="12.75" hidden="false" customHeight="false" outlineLevel="0" collapsed="false">
      <c r="E500" s="152"/>
    </row>
    <row r="501" customFormat="false" ht="12.75" hidden="false" customHeight="false" outlineLevel="0" collapsed="false">
      <c r="E501" s="152"/>
    </row>
    <row r="502" customFormat="false" ht="12.75" hidden="false" customHeight="false" outlineLevel="0" collapsed="false">
      <c r="E502" s="152"/>
    </row>
    <row r="503" customFormat="false" ht="12.75" hidden="false" customHeight="false" outlineLevel="0" collapsed="false">
      <c r="E503" s="152"/>
    </row>
    <row r="504" customFormat="false" ht="12.75" hidden="false" customHeight="false" outlineLevel="0" collapsed="false">
      <c r="E504" s="152"/>
    </row>
    <row r="505" customFormat="false" ht="12.75" hidden="false" customHeight="false" outlineLevel="0" collapsed="false">
      <c r="E505" s="152"/>
    </row>
    <row r="506" customFormat="false" ht="12.75" hidden="false" customHeight="false" outlineLevel="0" collapsed="false">
      <c r="E506" s="152"/>
    </row>
    <row r="507" customFormat="false" ht="12.75" hidden="false" customHeight="false" outlineLevel="0" collapsed="false">
      <c r="E507" s="152"/>
    </row>
    <row r="508" customFormat="false" ht="12.75" hidden="false" customHeight="false" outlineLevel="0" collapsed="false">
      <c r="E508" s="152"/>
    </row>
    <row r="509" customFormat="false" ht="12.75" hidden="false" customHeight="false" outlineLevel="0" collapsed="false">
      <c r="E509" s="152"/>
    </row>
    <row r="510" customFormat="false" ht="12.75" hidden="false" customHeight="false" outlineLevel="0" collapsed="false">
      <c r="E510" s="152"/>
    </row>
    <row r="511" customFormat="false" ht="12.75" hidden="false" customHeight="false" outlineLevel="0" collapsed="false">
      <c r="E511" s="152"/>
    </row>
    <row r="512" customFormat="false" ht="12.75" hidden="false" customHeight="false" outlineLevel="0" collapsed="false">
      <c r="E512" s="152"/>
    </row>
    <row r="513" customFormat="false" ht="12.75" hidden="false" customHeight="false" outlineLevel="0" collapsed="false">
      <c r="E513" s="152"/>
    </row>
    <row r="514" customFormat="false" ht="12.75" hidden="false" customHeight="false" outlineLevel="0" collapsed="false">
      <c r="E514" s="152"/>
    </row>
    <row r="515" customFormat="false" ht="12.75" hidden="false" customHeight="false" outlineLevel="0" collapsed="false">
      <c r="E515" s="152"/>
    </row>
    <row r="516" customFormat="false" ht="12.75" hidden="false" customHeight="false" outlineLevel="0" collapsed="false">
      <c r="E516" s="152"/>
    </row>
    <row r="517" customFormat="false" ht="12.75" hidden="false" customHeight="false" outlineLevel="0" collapsed="false">
      <c r="E517" s="152"/>
    </row>
    <row r="518" customFormat="false" ht="12.75" hidden="false" customHeight="false" outlineLevel="0" collapsed="false">
      <c r="E518" s="152"/>
    </row>
    <row r="519" customFormat="false" ht="12.75" hidden="false" customHeight="false" outlineLevel="0" collapsed="false">
      <c r="E519" s="152"/>
    </row>
    <row r="520" customFormat="false" ht="12.75" hidden="false" customHeight="false" outlineLevel="0" collapsed="false">
      <c r="E520" s="152"/>
    </row>
    <row r="521" customFormat="false" ht="12.75" hidden="false" customHeight="false" outlineLevel="0" collapsed="false">
      <c r="E521" s="152"/>
    </row>
    <row r="522" customFormat="false" ht="12.75" hidden="false" customHeight="false" outlineLevel="0" collapsed="false">
      <c r="E522" s="152"/>
    </row>
    <row r="523" customFormat="false" ht="12.75" hidden="false" customHeight="false" outlineLevel="0" collapsed="false">
      <c r="E523" s="152"/>
    </row>
    <row r="524" customFormat="false" ht="12.75" hidden="false" customHeight="false" outlineLevel="0" collapsed="false">
      <c r="E524" s="152"/>
    </row>
    <row r="525" customFormat="false" ht="12.75" hidden="false" customHeight="false" outlineLevel="0" collapsed="false">
      <c r="E525" s="152"/>
    </row>
    <row r="526" customFormat="false" ht="12.75" hidden="false" customHeight="false" outlineLevel="0" collapsed="false">
      <c r="E526" s="152"/>
    </row>
    <row r="527" customFormat="false" ht="12.75" hidden="false" customHeight="false" outlineLevel="0" collapsed="false">
      <c r="E527" s="152"/>
    </row>
    <row r="528" customFormat="false" ht="12.75" hidden="false" customHeight="false" outlineLevel="0" collapsed="false">
      <c r="E528" s="152"/>
    </row>
    <row r="529" customFormat="false" ht="12.75" hidden="false" customHeight="false" outlineLevel="0" collapsed="false">
      <c r="E529" s="152"/>
    </row>
    <row r="530" customFormat="false" ht="12.75" hidden="false" customHeight="false" outlineLevel="0" collapsed="false">
      <c r="E530" s="152"/>
    </row>
    <row r="531" customFormat="false" ht="12.75" hidden="false" customHeight="false" outlineLevel="0" collapsed="false">
      <c r="E531" s="152"/>
    </row>
    <row r="532" customFormat="false" ht="12.75" hidden="false" customHeight="false" outlineLevel="0" collapsed="false">
      <c r="E532" s="152"/>
    </row>
    <row r="533" customFormat="false" ht="12.75" hidden="false" customHeight="false" outlineLevel="0" collapsed="false">
      <c r="E533" s="152"/>
    </row>
    <row r="534" customFormat="false" ht="12.75" hidden="false" customHeight="false" outlineLevel="0" collapsed="false">
      <c r="E534" s="152"/>
    </row>
    <row r="535" customFormat="false" ht="12.75" hidden="false" customHeight="false" outlineLevel="0" collapsed="false">
      <c r="E535" s="152"/>
    </row>
    <row r="536" customFormat="false" ht="12.75" hidden="false" customHeight="false" outlineLevel="0" collapsed="false">
      <c r="E536" s="152"/>
    </row>
    <row r="537" customFormat="false" ht="12.75" hidden="false" customHeight="false" outlineLevel="0" collapsed="false">
      <c r="E537" s="152"/>
    </row>
    <row r="538" customFormat="false" ht="12.75" hidden="false" customHeight="false" outlineLevel="0" collapsed="false">
      <c r="E538" s="152"/>
    </row>
    <row r="539" customFormat="false" ht="12.75" hidden="false" customHeight="false" outlineLevel="0" collapsed="false">
      <c r="E539" s="152"/>
    </row>
    <row r="540" customFormat="false" ht="12.75" hidden="false" customHeight="false" outlineLevel="0" collapsed="false">
      <c r="E540" s="152"/>
    </row>
    <row r="541" customFormat="false" ht="12.75" hidden="false" customHeight="false" outlineLevel="0" collapsed="false">
      <c r="E541" s="152"/>
    </row>
    <row r="542" customFormat="false" ht="12.75" hidden="false" customHeight="false" outlineLevel="0" collapsed="false">
      <c r="E542" s="152"/>
    </row>
    <row r="543" customFormat="false" ht="12.75" hidden="false" customHeight="false" outlineLevel="0" collapsed="false">
      <c r="E543" s="152"/>
    </row>
    <row r="544" customFormat="false" ht="12.75" hidden="false" customHeight="false" outlineLevel="0" collapsed="false">
      <c r="E544" s="152"/>
    </row>
    <row r="545" customFormat="false" ht="12.75" hidden="false" customHeight="false" outlineLevel="0" collapsed="false">
      <c r="E545" s="152"/>
    </row>
    <row r="546" customFormat="false" ht="12.75" hidden="false" customHeight="false" outlineLevel="0" collapsed="false">
      <c r="E546" s="152"/>
    </row>
    <row r="547" customFormat="false" ht="12.75" hidden="false" customHeight="false" outlineLevel="0" collapsed="false">
      <c r="E547" s="152"/>
    </row>
    <row r="548" customFormat="false" ht="12.75" hidden="false" customHeight="false" outlineLevel="0" collapsed="false">
      <c r="E548" s="152"/>
    </row>
    <row r="549" customFormat="false" ht="12.75" hidden="false" customHeight="false" outlineLevel="0" collapsed="false">
      <c r="E549" s="152"/>
    </row>
    <row r="550" customFormat="false" ht="12.75" hidden="false" customHeight="false" outlineLevel="0" collapsed="false">
      <c r="E550" s="152"/>
    </row>
    <row r="551" customFormat="false" ht="12.75" hidden="false" customHeight="false" outlineLevel="0" collapsed="false">
      <c r="E551" s="152"/>
    </row>
    <row r="552" customFormat="false" ht="12.75" hidden="false" customHeight="false" outlineLevel="0" collapsed="false">
      <c r="E552" s="152"/>
    </row>
    <row r="553" customFormat="false" ht="12.75" hidden="false" customHeight="false" outlineLevel="0" collapsed="false">
      <c r="E553" s="152"/>
    </row>
    <row r="554" customFormat="false" ht="12.75" hidden="false" customHeight="false" outlineLevel="0" collapsed="false">
      <c r="E554" s="152"/>
    </row>
    <row r="555" customFormat="false" ht="12.75" hidden="false" customHeight="false" outlineLevel="0" collapsed="false">
      <c r="E555" s="152"/>
    </row>
    <row r="556" customFormat="false" ht="12.75" hidden="false" customHeight="false" outlineLevel="0" collapsed="false">
      <c r="E556" s="152"/>
    </row>
    <row r="557" customFormat="false" ht="12.75" hidden="false" customHeight="false" outlineLevel="0" collapsed="false">
      <c r="E557" s="152"/>
    </row>
    <row r="558" customFormat="false" ht="12.75" hidden="false" customHeight="false" outlineLevel="0" collapsed="false">
      <c r="E558" s="152"/>
    </row>
    <row r="559" customFormat="false" ht="12.75" hidden="false" customHeight="false" outlineLevel="0" collapsed="false">
      <c r="E559" s="152"/>
    </row>
    <row r="560" customFormat="false" ht="12.75" hidden="false" customHeight="false" outlineLevel="0" collapsed="false">
      <c r="E560" s="152"/>
    </row>
    <row r="561" customFormat="false" ht="12.75" hidden="false" customHeight="false" outlineLevel="0" collapsed="false">
      <c r="E561" s="152"/>
    </row>
    <row r="562" customFormat="false" ht="12.75" hidden="false" customHeight="false" outlineLevel="0" collapsed="false">
      <c r="E562" s="152"/>
    </row>
    <row r="563" customFormat="false" ht="12.75" hidden="false" customHeight="false" outlineLevel="0" collapsed="false">
      <c r="E563" s="152"/>
    </row>
    <row r="564" customFormat="false" ht="12.75" hidden="false" customHeight="false" outlineLevel="0" collapsed="false">
      <c r="E564" s="152"/>
    </row>
    <row r="565" customFormat="false" ht="12.75" hidden="false" customHeight="false" outlineLevel="0" collapsed="false">
      <c r="E565" s="152"/>
    </row>
    <row r="566" customFormat="false" ht="12.75" hidden="false" customHeight="false" outlineLevel="0" collapsed="false">
      <c r="E566" s="152"/>
    </row>
    <row r="567" customFormat="false" ht="12.75" hidden="false" customHeight="false" outlineLevel="0" collapsed="false">
      <c r="E567" s="152"/>
    </row>
    <row r="568" customFormat="false" ht="12.75" hidden="false" customHeight="false" outlineLevel="0" collapsed="false">
      <c r="E568" s="152"/>
    </row>
    <row r="569" customFormat="false" ht="12.75" hidden="false" customHeight="false" outlineLevel="0" collapsed="false">
      <c r="E569" s="152"/>
    </row>
    <row r="570" customFormat="false" ht="12.75" hidden="false" customHeight="false" outlineLevel="0" collapsed="false">
      <c r="E570" s="152"/>
    </row>
    <row r="571" customFormat="false" ht="12.75" hidden="false" customHeight="false" outlineLevel="0" collapsed="false">
      <c r="E571" s="152"/>
    </row>
    <row r="572" customFormat="false" ht="12.75" hidden="false" customHeight="false" outlineLevel="0" collapsed="false">
      <c r="E572" s="152"/>
    </row>
    <row r="573" customFormat="false" ht="12.75" hidden="false" customHeight="false" outlineLevel="0" collapsed="false">
      <c r="E573" s="152"/>
    </row>
    <row r="574" customFormat="false" ht="12.75" hidden="false" customHeight="false" outlineLevel="0" collapsed="false">
      <c r="E574" s="152"/>
    </row>
    <row r="575" customFormat="false" ht="12.75" hidden="false" customHeight="false" outlineLevel="0" collapsed="false">
      <c r="E575" s="152"/>
    </row>
    <row r="576" customFormat="false" ht="12.75" hidden="false" customHeight="false" outlineLevel="0" collapsed="false">
      <c r="E576" s="152"/>
    </row>
    <row r="577" customFormat="false" ht="12.75" hidden="false" customHeight="false" outlineLevel="0" collapsed="false">
      <c r="E577" s="152"/>
    </row>
    <row r="578" customFormat="false" ht="12.75" hidden="false" customHeight="false" outlineLevel="0" collapsed="false">
      <c r="E578" s="152"/>
    </row>
    <row r="579" customFormat="false" ht="12.75" hidden="false" customHeight="false" outlineLevel="0" collapsed="false">
      <c r="E579" s="152"/>
    </row>
    <row r="580" customFormat="false" ht="12.75" hidden="false" customHeight="false" outlineLevel="0" collapsed="false">
      <c r="E580" s="152"/>
    </row>
    <row r="581" customFormat="false" ht="12.75" hidden="false" customHeight="false" outlineLevel="0" collapsed="false">
      <c r="E581" s="152"/>
    </row>
    <row r="582" customFormat="false" ht="12.75" hidden="false" customHeight="false" outlineLevel="0" collapsed="false">
      <c r="E582" s="152"/>
    </row>
    <row r="583" customFormat="false" ht="12.75" hidden="false" customHeight="false" outlineLevel="0" collapsed="false">
      <c r="E583" s="152"/>
    </row>
    <row r="584" customFormat="false" ht="12.75" hidden="false" customHeight="false" outlineLevel="0" collapsed="false">
      <c r="E584" s="152"/>
    </row>
    <row r="585" customFormat="false" ht="12.75" hidden="false" customHeight="false" outlineLevel="0" collapsed="false">
      <c r="E585" s="152"/>
    </row>
    <row r="586" customFormat="false" ht="12.75" hidden="false" customHeight="false" outlineLevel="0" collapsed="false">
      <c r="E586" s="152"/>
    </row>
    <row r="587" customFormat="false" ht="12.75" hidden="false" customHeight="false" outlineLevel="0" collapsed="false">
      <c r="E587" s="152"/>
    </row>
    <row r="588" customFormat="false" ht="12.75" hidden="false" customHeight="false" outlineLevel="0" collapsed="false">
      <c r="E588" s="152"/>
    </row>
    <row r="589" customFormat="false" ht="12.75" hidden="false" customHeight="false" outlineLevel="0" collapsed="false">
      <c r="E589" s="152"/>
    </row>
    <row r="590" customFormat="false" ht="12.75" hidden="false" customHeight="false" outlineLevel="0" collapsed="false">
      <c r="E590" s="152"/>
    </row>
    <row r="591" customFormat="false" ht="12.75" hidden="false" customHeight="false" outlineLevel="0" collapsed="false">
      <c r="E591" s="152"/>
    </row>
    <row r="592" customFormat="false" ht="12.75" hidden="false" customHeight="false" outlineLevel="0" collapsed="false">
      <c r="E592" s="152"/>
    </row>
    <row r="593" customFormat="false" ht="12.75" hidden="false" customHeight="false" outlineLevel="0" collapsed="false">
      <c r="E593" s="152"/>
    </row>
    <row r="594" customFormat="false" ht="12.75" hidden="false" customHeight="false" outlineLevel="0" collapsed="false">
      <c r="E594" s="152"/>
    </row>
    <row r="595" customFormat="false" ht="12.75" hidden="false" customHeight="false" outlineLevel="0" collapsed="false">
      <c r="E595" s="152"/>
    </row>
    <row r="596" customFormat="false" ht="12.75" hidden="false" customHeight="false" outlineLevel="0" collapsed="false">
      <c r="E596" s="152"/>
    </row>
    <row r="597" customFormat="false" ht="12.75" hidden="false" customHeight="false" outlineLevel="0" collapsed="false">
      <c r="E597" s="152"/>
    </row>
    <row r="598" customFormat="false" ht="12.75" hidden="false" customHeight="false" outlineLevel="0" collapsed="false">
      <c r="E598" s="152"/>
    </row>
    <row r="599" customFormat="false" ht="12.75" hidden="false" customHeight="false" outlineLevel="0" collapsed="false">
      <c r="E599" s="152"/>
    </row>
    <row r="600" customFormat="false" ht="12.75" hidden="false" customHeight="false" outlineLevel="0" collapsed="false">
      <c r="E600" s="152"/>
    </row>
    <row r="601" customFormat="false" ht="12.75" hidden="false" customHeight="false" outlineLevel="0" collapsed="false">
      <c r="E601" s="152"/>
    </row>
    <row r="602" customFormat="false" ht="12.75" hidden="false" customHeight="false" outlineLevel="0" collapsed="false">
      <c r="E602" s="152"/>
    </row>
    <row r="603" customFormat="false" ht="12.75" hidden="false" customHeight="false" outlineLevel="0" collapsed="false">
      <c r="E603" s="152"/>
    </row>
    <row r="604" customFormat="false" ht="12.75" hidden="false" customHeight="false" outlineLevel="0" collapsed="false">
      <c r="E604" s="152"/>
    </row>
    <row r="605" customFormat="false" ht="12.75" hidden="false" customHeight="false" outlineLevel="0" collapsed="false">
      <c r="E605" s="152"/>
    </row>
    <row r="606" customFormat="false" ht="12.75" hidden="false" customHeight="false" outlineLevel="0" collapsed="false">
      <c r="E606" s="152"/>
    </row>
    <row r="607" customFormat="false" ht="12.75" hidden="false" customHeight="false" outlineLevel="0" collapsed="false">
      <c r="E607" s="152"/>
    </row>
    <row r="608" customFormat="false" ht="12.75" hidden="false" customHeight="false" outlineLevel="0" collapsed="false">
      <c r="E608" s="152"/>
    </row>
    <row r="609" customFormat="false" ht="12.75" hidden="false" customHeight="false" outlineLevel="0" collapsed="false">
      <c r="E609" s="152"/>
    </row>
    <row r="610" customFormat="false" ht="12.75" hidden="false" customHeight="false" outlineLevel="0" collapsed="false">
      <c r="E610" s="152"/>
    </row>
    <row r="611" customFormat="false" ht="12.75" hidden="false" customHeight="false" outlineLevel="0" collapsed="false">
      <c r="E611" s="152"/>
    </row>
    <row r="612" customFormat="false" ht="12.75" hidden="false" customHeight="false" outlineLevel="0" collapsed="false">
      <c r="E612" s="152"/>
    </row>
    <row r="613" customFormat="false" ht="12.75" hidden="false" customHeight="false" outlineLevel="0" collapsed="false">
      <c r="E613" s="152"/>
    </row>
    <row r="614" customFormat="false" ht="12.75" hidden="false" customHeight="false" outlineLevel="0" collapsed="false">
      <c r="E614" s="152"/>
    </row>
    <row r="615" customFormat="false" ht="12.75" hidden="false" customHeight="false" outlineLevel="0" collapsed="false">
      <c r="E615" s="152"/>
    </row>
    <row r="616" customFormat="false" ht="12.75" hidden="false" customHeight="false" outlineLevel="0" collapsed="false">
      <c r="E616" s="152"/>
    </row>
    <row r="617" customFormat="false" ht="12.75" hidden="false" customHeight="false" outlineLevel="0" collapsed="false">
      <c r="E617" s="152"/>
    </row>
    <row r="618" customFormat="false" ht="12.75" hidden="false" customHeight="false" outlineLevel="0" collapsed="false">
      <c r="E618" s="152"/>
    </row>
    <row r="619" customFormat="false" ht="12.75" hidden="false" customHeight="false" outlineLevel="0" collapsed="false">
      <c r="E619" s="152"/>
    </row>
    <row r="620" customFormat="false" ht="12.75" hidden="false" customHeight="false" outlineLevel="0" collapsed="false">
      <c r="E620" s="152"/>
    </row>
    <row r="621" customFormat="false" ht="12.75" hidden="false" customHeight="false" outlineLevel="0" collapsed="false">
      <c r="E621" s="152"/>
    </row>
    <row r="622" customFormat="false" ht="12.75" hidden="false" customHeight="false" outlineLevel="0" collapsed="false">
      <c r="E622" s="152"/>
    </row>
    <row r="623" customFormat="false" ht="12.75" hidden="false" customHeight="false" outlineLevel="0" collapsed="false">
      <c r="E623" s="152"/>
    </row>
    <row r="624" customFormat="false" ht="12.75" hidden="false" customHeight="false" outlineLevel="0" collapsed="false">
      <c r="E624" s="152"/>
    </row>
    <row r="625" customFormat="false" ht="12.75" hidden="false" customHeight="false" outlineLevel="0" collapsed="false">
      <c r="E625" s="152"/>
    </row>
    <row r="626" customFormat="false" ht="12.75" hidden="false" customHeight="false" outlineLevel="0" collapsed="false">
      <c r="E626" s="152"/>
    </row>
    <row r="627" customFormat="false" ht="12.75" hidden="false" customHeight="false" outlineLevel="0" collapsed="false">
      <c r="E627" s="152"/>
    </row>
    <row r="628" customFormat="false" ht="12.75" hidden="false" customHeight="false" outlineLevel="0" collapsed="false">
      <c r="E628" s="152"/>
    </row>
    <row r="629" customFormat="false" ht="12.75" hidden="false" customHeight="false" outlineLevel="0" collapsed="false">
      <c r="E629" s="152"/>
    </row>
    <row r="630" customFormat="false" ht="12.75" hidden="false" customHeight="false" outlineLevel="0" collapsed="false">
      <c r="E630" s="152"/>
    </row>
    <row r="631" customFormat="false" ht="12.75" hidden="false" customHeight="false" outlineLevel="0" collapsed="false">
      <c r="E631" s="152"/>
    </row>
    <row r="632" customFormat="false" ht="12.75" hidden="false" customHeight="false" outlineLevel="0" collapsed="false">
      <c r="E632" s="152"/>
    </row>
    <row r="633" customFormat="false" ht="12.75" hidden="false" customHeight="false" outlineLevel="0" collapsed="false">
      <c r="E633" s="152"/>
    </row>
    <row r="634" customFormat="false" ht="12.75" hidden="false" customHeight="false" outlineLevel="0" collapsed="false">
      <c r="E634" s="152"/>
    </row>
    <row r="635" customFormat="false" ht="12.75" hidden="false" customHeight="false" outlineLevel="0" collapsed="false">
      <c r="E635" s="152"/>
    </row>
    <row r="636" customFormat="false" ht="12.75" hidden="false" customHeight="false" outlineLevel="0" collapsed="false">
      <c r="E636" s="152"/>
    </row>
    <row r="637" customFormat="false" ht="12.75" hidden="false" customHeight="false" outlineLevel="0" collapsed="false">
      <c r="E637" s="152"/>
    </row>
    <row r="638" customFormat="false" ht="12.75" hidden="false" customHeight="false" outlineLevel="0" collapsed="false">
      <c r="E638" s="152"/>
    </row>
    <row r="639" customFormat="false" ht="12.75" hidden="false" customHeight="false" outlineLevel="0" collapsed="false">
      <c r="E639" s="152"/>
    </row>
    <row r="640" customFormat="false" ht="12.75" hidden="false" customHeight="false" outlineLevel="0" collapsed="false">
      <c r="E640" s="152"/>
    </row>
    <row r="641" customFormat="false" ht="12.75" hidden="false" customHeight="false" outlineLevel="0" collapsed="false">
      <c r="E641" s="152"/>
    </row>
    <row r="642" customFormat="false" ht="12.75" hidden="false" customHeight="false" outlineLevel="0" collapsed="false">
      <c r="E642" s="152"/>
    </row>
    <row r="643" customFormat="false" ht="12.75" hidden="false" customHeight="false" outlineLevel="0" collapsed="false">
      <c r="E643" s="152"/>
    </row>
    <row r="644" customFormat="false" ht="12.75" hidden="false" customHeight="false" outlineLevel="0" collapsed="false">
      <c r="E644" s="152"/>
    </row>
    <row r="645" customFormat="false" ht="12.75" hidden="false" customHeight="false" outlineLevel="0" collapsed="false">
      <c r="E645" s="152"/>
    </row>
    <row r="646" customFormat="false" ht="12.75" hidden="false" customHeight="false" outlineLevel="0" collapsed="false">
      <c r="E646" s="152"/>
    </row>
    <row r="647" customFormat="false" ht="12.75" hidden="false" customHeight="false" outlineLevel="0" collapsed="false">
      <c r="E647" s="152"/>
    </row>
    <row r="648" customFormat="false" ht="12.75" hidden="false" customHeight="false" outlineLevel="0" collapsed="false">
      <c r="E648" s="152"/>
    </row>
    <row r="649" customFormat="false" ht="12.75" hidden="false" customHeight="false" outlineLevel="0" collapsed="false">
      <c r="E649" s="152"/>
    </row>
    <row r="650" customFormat="false" ht="12.75" hidden="false" customHeight="false" outlineLevel="0" collapsed="false">
      <c r="E650" s="152"/>
    </row>
    <row r="651" customFormat="false" ht="12.75" hidden="false" customHeight="false" outlineLevel="0" collapsed="false">
      <c r="E651" s="152"/>
    </row>
    <row r="652" customFormat="false" ht="12.75" hidden="false" customHeight="false" outlineLevel="0" collapsed="false">
      <c r="E652" s="152"/>
    </row>
    <row r="653" customFormat="false" ht="12.75" hidden="false" customHeight="false" outlineLevel="0" collapsed="false">
      <c r="E653" s="152"/>
    </row>
    <row r="654" customFormat="false" ht="12.75" hidden="false" customHeight="false" outlineLevel="0" collapsed="false">
      <c r="E654" s="152"/>
    </row>
    <row r="655" customFormat="false" ht="12.75" hidden="false" customHeight="false" outlineLevel="0" collapsed="false">
      <c r="E655" s="152"/>
    </row>
    <row r="656" customFormat="false" ht="12.75" hidden="false" customHeight="false" outlineLevel="0" collapsed="false">
      <c r="E656" s="152"/>
    </row>
    <row r="657" customFormat="false" ht="12.75" hidden="false" customHeight="false" outlineLevel="0" collapsed="false">
      <c r="E657" s="152"/>
    </row>
    <row r="658" customFormat="false" ht="12.75" hidden="false" customHeight="false" outlineLevel="0" collapsed="false">
      <c r="E658" s="152"/>
    </row>
    <row r="659" customFormat="false" ht="12.75" hidden="false" customHeight="false" outlineLevel="0" collapsed="false">
      <c r="E659" s="152"/>
    </row>
    <row r="660" customFormat="false" ht="12.75" hidden="false" customHeight="false" outlineLevel="0" collapsed="false">
      <c r="E660" s="152"/>
    </row>
    <row r="661" customFormat="false" ht="12.75" hidden="false" customHeight="false" outlineLevel="0" collapsed="false">
      <c r="E661" s="152"/>
    </row>
    <row r="662" customFormat="false" ht="12.75" hidden="false" customHeight="false" outlineLevel="0" collapsed="false">
      <c r="E662" s="152"/>
    </row>
    <row r="663" customFormat="false" ht="12.75" hidden="false" customHeight="false" outlineLevel="0" collapsed="false">
      <c r="E663" s="152"/>
    </row>
    <row r="664" customFormat="false" ht="12.75" hidden="false" customHeight="false" outlineLevel="0" collapsed="false">
      <c r="E664" s="152"/>
    </row>
    <row r="665" customFormat="false" ht="12.75" hidden="false" customHeight="false" outlineLevel="0" collapsed="false">
      <c r="E665" s="152"/>
    </row>
    <row r="666" customFormat="false" ht="12.75" hidden="false" customHeight="false" outlineLevel="0" collapsed="false">
      <c r="E666" s="152"/>
    </row>
    <row r="667" customFormat="false" ht="12.75" hidden="false" customHeight="false" outlineLevel="0" collapsed="false">
      <c r="E667" s="152"/>
    </row>
    <row r="668" customFormat="false" ht="12.75" hidden="false" customHeight="false" outlineLevel="0" collapsed="false">
      <c r="E668" s="152"/>
    </row>
    <row r="669" customFormat="false" ht="12.75" hidden="false" customHeight="false" outlineLevel="0" collapsed="false">
      <c r="E669" s="152"/>
    </row>
    <row r="670" customFormat="false" ht="12.75" hidden="false" customHeight="false" outlineLevel="0" collapsed="false">
      <c r="E670" s="152"/>
    </row>
    <row r="671" customFormat="false" ht="12.75" hidden="false" customHeight="false" outlineLevel="0" collapsed="false">
      <c r="E671" s="152"/>
    </row>
    <row r="672" customFormat="false" ht="12.75" hidden="false" customHeight="false" outlineLevel="0" collapsed="false">
      <c r="E672" s="152"/>
    </row>
    <row r="673" customFormat="false" ht="12.75" hidden="false" customHeight="false" outlineLevel="0" collapsed="false">
      <c r="E673" s="152"/>
    </row>
    <row r="674" customFormat="false" ht="12.75" hidden="false" customHeight="false" outlineLevel="0" collapsed="false">
      <c r="E674" s="152"/>
    </row>
    <row r="675" customFormat="false" ht="12.75" hidden="false" customHeight="false" outlineLevel="0" collapsed="false">
      <c r="E675" s="152"/>
    </row>
    <row r="676" customFormat="false" ht="12.75" hidden="false" customHeight="false" outlineLevel="0" collapsed="false">
      <c r="E676" s="152"/>
    </row>
    <row r="677" customFormat="false" ht="12.75" hidden="false" customHeight="false" outlineLevel="0" collapsed="false">
      <c r="E677" s="152"/>
    </row>
    <row r="678" customFormat="false" ht="12.75" hidden="false" customHeight="false" outlineLevel="0" collapsed="false">
      <c r="E678" s="152"/>
    </row>
    <row r="679" customFormat="false" ht="12.75" hidden="false" customHeight="false" outlineLevel="0" collapsed="false">
      <c r="E679" s="152"/>
    </row>
    <row r="680" customFormat="false" ht="12.75" hidden="false" customHeight="false" outlineLevel="0" collapsed="false">
      <c r="E680" s="152"/>
    </row>
    <row r="681" customFormat="false" ht="12.75" hidden="false" customHeight="false" outlineLevel="0" collapsed="false">
      <c r="E681" s="152"/>
    </row>
    <row r="682" customFormat="false" ht="12.75" hidden="false" customHeight="false" outlineLevel="0" collapsed="false">
      <c r="E682" s="152"/>
    </row>
    <row r="683" customFormat="false" ht="12.75" hidden="false" customHeight="false" outlineLevel="0" collapsed="false">
      <c r="E683" s="152"/>
    </row>
    <row r="684" customFormat="false" ht="12.75" hidden="false" customHeight="false" outlineLevel="0" collapsed="false">
      <c r="E684" s="152"/>
    </row>
    <row r="685" customFormat="false" ht="12.75" hidden="false" customHeight="false" outlineLevel="0" collapsed="false">
      <c r="E685" s="152"/>
    </row>
    <row r="686" customFormat="false" ht="12.75" hidden="false" customHeight="false" outlineLevel="0" collapsed="false">
      <c r="E686" s="152"/>
    </row>
    <row r="687" customFormat="false" ht="12.75" hidden="false" customHeight="false" outlineLevel="0" collapsed="false">
      <c r="E687" s="152"/>
    </row>
    <row r="688" customFormat="false" ht="12.75" hidden="false" customHeight="false" outlineLevel="0" collapsed="false">
      <c r="E688" s="152"/>
    </row>
    <row r="689" customFormat="false" ht="12.75" hidden="false" customHeight="false" outlineLevel="0" collapsed="false">
      <c r="E689" s="152"/>
    </row>
    <row r="690" customFormat="false" ht="12.75" hidden="false" customHeight="false" outlineLevel="0" collapsed="false">
      <c r="E690" s="152"/>
    </row>
    <row r="691" customFormat="false" ht="12.75" hidden="false" customHeight="false" outlineLevel="0" collapsed="false">
      <c r="E691" s="152"/>
    </row>
    <row r="692" customFormat="false" ht="12.75" hidden="false" customHeight="false" outlineLevel="0" collapsed="false">
      <c r="E692" s="152"/>
    </row>
    <row r="693" customFormat="false" ht="12.75" hidden="false" customHeight="false" outlineLevel="0" collapsed="false">
      <c r="E693" s="152"/>
    </row>
    <row r="694" customFormat="false" ht="12.75" hidden="false" customHeight="false" outlineLevel="0" collapsed="false">
      <c r="E694" s="152"/>
    </row>
    <row r="695" customFormat="false" ht="12.75" hidden="false" customHeight="false" outlineLevel="0" collapsed="false">
      <c r="E695" s="152"/>
    </row>
    <row r="696" customFormat="false" ht="12.75" hidden="false" customHeight="false" outlineLevel="0" collapsed="false">
      <c r="E696" s="152"/>
    </row>
    <row r="697" customFormat="false" ht="12.75" hidden="false" customHeight="false" outlineLevel="0" collapsed="false">
      <c r="E697" s="152"/>
    </row>
    <row r="698" customFormat="false" ht="12.75" hidden="false" customHeight="false" outlineLevel="0" collapsed="false">
      <c r="E698" s="152"/>
    </row>
    <row r="699" customFormat="false" ht="12.75" hidden="false" customHeight="false" outlineLevel="0" collapsed="false">
      <c r="E699" s="152"/>
    </row>
    <row r="700" customFormat="false" ht="12.75" hidden="false" customHeight="false" outlineLevel="0" collapsed="false">
      <c r="E700" s="152"/>
    </row>
    <row r="701" customFormat="false" ht="12.75" hidden="false" customHeight="false" outlineLevel="0" collapsed="false">
      <c r="E701" s="152"/>
    </row>
    <row r="702" customFormat="false" ht="12.75" hidden="false" customHeight="false" outlineLevel="0" collapsed="false">
      <c r="E702" s="152"/>
    </row>
    <row r="703" customFormat="false" ht="12.75" hidden="false" customHeight="false" outlineLevel="0" collapsed="false">
      <c r="E703" s="152"/>
    </row>
    <row r="704" customFormat="false" ht="12.75" hidden="false" customHeight="false" outlineLevel="0" collapsed="false">
      <c r="E704" s="152"/>
    </row>
    <row r="705" customFormat="false" ht="12.75" hidden="false" customHeight="false" outlineLevel="0" collapsed="false">
      <c r="E705" s="152"/>
    </row>
    <row r="706" customFormat="false" ht="12.75" hidden="false" customHeight="false" outlineLevel="0" collapsed="false">
      <c r="E706" s="152"/>
    </row>
    <row r="707" customFormat="false" ht="12.75" hidden="false" customHeight="false" outlineLevel="0" collapsed="false">
      <c r="E707" s="152"/>
    </row>
    <row r="708" customFormat="false" ht="12.75" hidden="false" customHeight="false" outlineLevel="0" collapsed="false">
      <c r="E708" s="152"/>
    </row>
    <row r="709" customFormat="false" ht="12.75" hidden="false" customHeight="false" outlineLevel="0" collapsed="false">
      <c r="E709" s="152"/>
    </row>
    <row r="710" customFormat="false" ht="12.75" hidden="false" customHeight="false" outlineLevel="0" collapsed="false">
      <c r="E710" s="152"/>
    </row>
    <row r="711" customFormat="false" ht="12.75" hidden="false" customHeight="false" outlineLevel="0" collapsed="false">
      <c r="E711" s="152"/>
    </row>
    <row r="712" customFormat="false" ht="12.75" hidden="false" customHeight="false" outlineLevel="0" collapsed="false">
      <c r="E712" s="152"/>
    </row>
    <row r="713" customFormat="false" ht="12.75" hidden="false" customHeight="false" outlineLevel="0" collapsed="false">
      <c r="E713" s="152"/>
    </row>
    <row r="714" customFormat="false" ht="12.75" hidden="false" customHeight="false" outlineLevel="0" collapsed="false">
      <c r="E714" s="152"/>
    </row>
    <row r="715" customFormat="false" ht="12.75" hidden="false" customHeight="false" outlineLevel="0" collapsed="false">
      <c r="E715" s="152"/>
    </row>
    <row r="716" customFormat="false" ht="12.75" hidden="false" customHeight="false" outlineLevel="0" collapsed="false">
      <c r="E716" s="152"/>
    </row>
    <row r="717" customFormat="false" ht="12.75" hidden="false" customHeight="false" outlineLevel="0" collapsed="false">
      <c r="E717" s="152"/>
    </row>
    <row r="718" customFormat="false" ht="12.75" hidden="false" customHeight="false" outlineLevel="0" collapsed="false">
      <c r="E718" s="152"/>
    </row>
    <row r="719" customFormat="false" ht="12.75" hidden="false" customHeight="false" outlineLevel="0" collapsed="false">
      <c r="E719" s="152"/>
    </row>
    <row r="720" customFormat="false" ht="12.75" hidden="false" customHeight="false" outlineLevel="0" collapsed="false">
      <c r="E720" s="152"/>
    </row>
    <row r="721" customFormat="false" ht="12.75" hidden="false" customHeight="false" outlineLevel="0" collapsed="false">
      <c r="E721" s="152"/>
    </row>
    <row r="722" customFormat="false" ht="12.75" hidden="false" customHeight="false" outlineLevel="0" collapsed="false">
      <c r="E722" s="152"/>
    </row>
    <row r="723" customFormat="false" ht="12.75" hidden="false" customHeight="false" outlineLevel="0" collapsed="false">
      <c r="E723" s="152"/>
    </row>
    <row r="724" customFormat="false" ht="12.75" hidden="false" customHeight="false" outlineLevel="0" collapsed="false">
      <c r="E724" s="152"/>
    </row>
    <row r="725" customFormat="false" ht="12.75" hidden="false" customHeight="false" outlineLevel="0" collapsed="false">
      <c r="E725" s="152"/>
    </row>
    <row r="726" customFormat="false" ht="12.75" hidden="false" customHeight="false" outlineLevel="0" collapsed="false">
      <c r="E726" s="152"/>
    </row>
    <row r="727" customFormat="false" ht="12.75" hidden="false" customHeight="false" outlineLevel="0" collapsed="false">
      <c r="E727" s="152"/>
    </row>
    <row r="728" customFormat="false" ht="12.75" hidden="false" customHeight="false" outlineLevel="0" collapsed="false">
      <c r="E728" s="152"/>
    </row>
    <row r="729" customFormat="false" ht="12.75" hidden="false" customHeight="false" outlineLevel="0" collapsed="false">
      <c r="E729" s="152"/>
    </row>
    <row r="730" customFormat="false" ht="12.75" hidden="false" customHeight="false" outlineLevel="0" collapsed="false">
      <c r="E730" s="152"/>
    </row>
    <row r="731" customFormat="false" ht="12.75" hidden="false" customHeight="false" outlineLevel="0" collapsed="false">
      <c r="E731" s="152"/>
    </row>
    <row r="732" customFormat="false" ht="12.75" hidden="false" customHeight="false" outlineLevel="0" collapsed="false">
      <c r="E732" s="152"/>
    </row>
    <row r="733" customFormat="false" ht="12.75" hidden="false" customHeight="false" outlineLevel="0" collapsed="false">
      <c r="E733" s="152"/>
    </row>
    <row r="734" customFormat="false" ht="12.75" hidden="false" customHeight="false" outlineLevel="0" collapsed="false">
      <c r="E734" s="152"/>
    </row>
    <row r="735" customFormat="false" ht="12.75" hidden="false" customHeight="false" outlineLevel="0" collapsed="false">
      <c r="E735" s="152"/>
    </row>
    <row r="736" customFormat="false" ht="12.75" hidden="false" customHeight="false" outlineLevel="0" collapsed="false">
      <c r="E736" s="152"/>
    </row>
    <row r="737" customFormat="false" ht="12.75" hidden="false" customHeight="false" outlineLevel="0" collapsed="false">
      <c r="E737" s="152"/>
    </row>
    <row r="738" customFormat="false" ht="12.75" hidden="false" customHeight="false" outlineLevel="0" collapsed="false">
      <c r="E738" s="152"/>
    </row>
    <row r="739" customFormat="false" ht="12.75" hidden="false" customHeight="false" outlineLevel="0" collapsed="false">
      <c r="E739" s="152"/>
    </row>
    <row r="740" customFormat="false" ht="12.75" hidden="false" customHeight="false" outlineLevel="0" collapsed="false">
      <c r="E740" s="152"/>
    </row>
    <row r="741" customFormat="false" ht="12.75" hidden="false" customHeight="false" outlineLevel="0" collapsed="false">
      <c r="E741" s="152"/>
    </row>
    <row r="742" customFormat="false" ht="12.75" hidden="false" customHeight="false" outlineLevel="0" collapsed="false">
      <c r="E742" s="152"/>
    </row>
    <row r="743" customFormat="false" ht="12.75" hidden="false" customHeight="false" outlineLevel="0" collapsed="false">
      <c r="E743" s="152"/>
    </row>
    <row r="744" customFormat="false" ht="12.75" hidden="false" customHeight="false" outlineLevel="0" collapsed="false">
      <c r="E744" s="152"/>
    </row>
    <row r="745" customFormat="false" ht="12.75" hidden="false" customHeight="false" outlineLevel="0" collapsed="false">
      <c r="E745" s="152"/>
    </row>
    <row r="746" customFormat="false" ht="12.75" hidden="false" customHeight="false" outlineLevel="0" collapsed="false">
      <c r="E746" s="152"/>
    </row>
    <row r="747" customFormat="false" ht="12.75" hidden="false" customHeight="false" outlineLevel="0" collapsed="false">
      <c r="E747" s="152"/>
    </row>
    <row r="748" customFormat="false" ht="12.75" hidden="false" customHeight="false" outlineLevel="0" collapsed="false">
      <c r="E748" s="152"/>
    </row>
    <row r="749" customFormat="false" ht="12.75" hidden="false" customHeight="false" outlineLevel="0" collapsed="false">
      <c r="E749" s="152"/>
    </row>
    <row r="750" customFormat="false" ht="12.75" hidden="false" customHeight="false" outlineLevel="0" collapsed="false">
      <c r="E750" s="152"/>
    </row>
    <row r="751" customFormat="false" ht="12.75" hidden="false" customHeight="false" outlineLevel="0" collapsed="false">
      <c r="E751" s="152"/>
    </row>
    <row r="752" customFormat="false" ht="12.75" hidden="false" customHeight="false" outlineLevel="0" collapsed="false">
      <c r="E752" s="152"/>
    </row>
    <row r="753" customFormat="false" ht="12.75" hidden="false" customHeight="false" outlineLevel="0" collapsed="false">
      <c r="E753" s="152"/>
    </row>
    <row r="754" customFormat="false" ht="12.75" hidden="false" customHeight="false" outlineLevel="0" collapsed="false">
      <c r="E754" s="152"/>
    </row>
    <row r="755" customFormat="false" ht="12.75" hidden="false" customHeight="false" outlineLevel="0" collapsed="false">
      <c r="E755" s="152"/>
    </row>
    <row r="756" customFormat="false" ht="12.75" hidden="false" customHeight="false" outlineLevel="0" collapsed="false">
      <c r="E756" s="152"/>
    </row>
    <row r="757" customFormat="false" ht="12.75" hidden="false" customHeight="false" outlineLevel="0" collapsed="false">
      <c r="E757" s="152"/>
    </row>
    <row r="758" customFormat="false" ht="12.75" hidden="false" customHeight="false" outlineLevel="0" collapsed="false">
      <c r="E758" s="152"/>
    </row>
    <row r="759" customFormat="false" ht="12.75" hidden="false" customHeight="false" outlineLevel="0" collapsed="false">
      <c r="E759" s="152"/>
    </row>
    <row r="760" customFormat="false" ht="12.75" hidden="false" customHeight="false" outlineLevel="0" collapsed="false">
      <c r="E760" s="152"/>
    </row>
    <row r="761" customFormat="false" ht="12.75" hidden="false" customHeight="false" outlineLevel="0" collapsed="false">
      <c r="E761" s="152"/>
    </row>
    <row r="762" customFormat="false" ht="12.75" hidden="false" customHeight="false" outlineLevel="0" collapsed="false">
      <c r="E762" s="152"/>
    </row>
    <row r="763" customFormat="false" ht="12.75" hidden="false" customHeight="false" outlineLevel="0" collapsed="false">
      <c r="E763" s="152"/>
    </row>
    <row r="764" customFormat="false" ht="12.75" hidden="false" customHeight="false" outlineLevel="0" collapsed="false">
      <c r="E764" s="152"/>
    </row>
    <row r="765" customFormat="false" ht="12.75" hidden="false" customHeight="false" outlineLevel="0" collapsed="false">
      <c r="E765" s="152"/>
    </row>
    <row r="766" customFormat="false" ht="12.75" hidden="false" customHeight="false" outlineLevel="0" collapsed="false">
      <c r="E766" s="152"/>
    </row>
    <row r="767" customFormat="false" ht="12.75" hidden="false" customHeight="false" outlineLevel="0" collapsed="false">
      <c r="E767" s="152"/>
    </row>
    <row r="768" customFormat="false" ht="12.75" hidden="false" customHeight="false" outlineLevel="0" collapsed="false">
      <c r="E768" s="152"/>
    </row>
    <row r="769" customFormat="false" ht="12.75" hidden="false" customHeight="false" outlineLevel="0" collapsed="false">
      <c r="E769" s="152"/>
    </row>
    <row r="770" customFormat="false" ht="12.75" hidden="false" customHeight="false" outlineLevel="0" collapsed="false">
      <c r="E770" s="152"/>
    </row>
    <row r="771" customFormat="false" ht="12.75" hidden="false" customHeight="false" outlineLevel="0" collapsed="false">
      <c r="E771" s="152"/>
    </row>
    <row r="772" customFormat="false" ht="12.75" hidden="false" customHeight="false" outlineLevel="0" collapsed="false">
      <c r="E772" s="152"/>
    </row>
    <row r="773" customFormat="false" ht="12.75" hidden="false" customHeight="false" outlineLevel="0" collapsed="false">
      <c r="E773" s="152"/>
    </row>
    <row r="774" customFormat="false" ht="12.75" hidden="false" customHeight="false" outlineLevel="0" collapsed="false">
      <c r="E774" s="152"/>
    </row>
    <row r="775" customFormat="false" ht="12.75" hidden="false" customHeight="false" outlineLevel="0" collapsed="false">
      <c r="E775" s="152"/>
    </row>
    <row r="776" customFormat="false" ht="12.75" hidden="false" customHeight="false" outlineLevel="0" collapsed="false">
      <c r="E776" s="152"/>
    </row>
    <row r="777" customFormat="false" ht="12.75" hidden="false" customHeight="false" outlineLevel="0" collapsed="false">
      <c r="E777" s="152"/>
    </row>
    <row r="778" customFormat="false" ht="12.75" hidden="false" customHeight="false" outlineLevel="0" collapsed="false">
      <c r="E778" s="152"/>
    </row>
    <row r="779" customFormat="false" ht="12.75" hidden="false" customHeight="false" outlineLevel="0" collapsed="false">
      <c r="E779" s="152"/>
    </row>
    <row r="780" customFormat="false" ht="12.75" hidden="false" customHeight="false" outlineLevel="0" collapsed="false">
      <c r="E780" s="152"/>
    </row>
    <row r="781" customFormat="false" ht="12.75" hidden="false" customHeight="false" outlineLevel="0" collapsed="false">
      <c r="E781" s="152"/>
    </row>
    <row r="782" customFormat="false" ht="12.75" hidden="false" customHeight="false" outlineLevel="0" collapsed="false">
      <c r="E782" s="152"/>
    </row>
    <row r="783" customFormat="false" ht="12.75" hidden="false" customHeight="false" outlineLevel="0" collapsed="false">
      <c r="E783" s="152"/>
    </row>
    <row r="784" customFormat="false" ht="12.75" hidden="false" customHeight="false" outlineLevel="0" collapsed="false">
      <c r="E784" s="152"/>
    </row>
    <row r="785" customFormat="false" ht="12.75" hidden="false" customHeight="false" outlineLevel="0" collapsed="false">
      <c r="E785" s="152"/>
    </row>
    <row r="786" customFormat="false" ht="12.75" hidden="false" customHeight="false" outlineLevel="0" collapsed="false">
      <c r="E786" s="152"/>
    </row>
    <row r="787" customFormat="false" ht="12.75" hidden="false" customHeight="false" outlineLevel="0" collapsed="false">
      <c r="E787" s="152"/>
    </row>
    <row r="788" customFormat="false" ht="12.75" hidden="false" customHeight="false" outlineLevel="0" collapsed="false">
      <c r="E788" s="152"/>
    </row>
    <row r="789" customFormat="false" ht="12.75" hidden="false" customHeight="false" outlineLevel="0" collapsed="false">
      <c r="E789" s="152"/>
    </row>
    <row r="790" customFormat="false" ht="12.75" hidden="false" customHeight="false" outlineLevel="0" collapsed="false">
      <c r="E790" s="152"/>
    </row>
    <row r="791" customFormat="false" ht="12.75" hidden="false" customHeight="false" outlineLevel="0" collapsed="false">
      <c r="E791" s="152"/>
    </row>
    <row r="792" customFormat="false" ht="12.75" hidden="false" customHeight="false" outlineLevel="0" collapsed="false">
      <c r="E792" s="152"/>
    </row>
    <row r="793" customFormat="false" ht="12.75" hidden="false" customHeight="false" outlineLevel="0" collapsed="false">
      <c r="E793" s="152"/>
    </row>
    <row r="794" customFormat="false" ht="12.75" hidden="false" customHeight="false" outlineLevel="0" collapsed="false">
      <c r="E794" s="152"/>
    </row>
    <row r="795" customFormat="false" ht="12.75" hidden="false" customHeight="false" outlineLevel="0" collapsed="false">
      <c r="E795" s="152"/>
    </row>
    <row r="796" customFormat="false" ht="12.75" hidden="false" customHeight="false" outlineLevel="0" collapsed="false">
      <c r="E796" s="152"/>
    </row>
    <row r="797" customFormat="false" ht="12.75" hidden="false" customHeight="false" outlineLevel="0" collapsed="false">
      <c r="E797" s="152"/>
    </row>
    <row r="798" customFormat="false" ht="12.75" hidden="false" customHeight="false" outlineLevel="0" collapsed="false">
      <c r="E798" s="152"/>
    </row>
    <row r="799" customFormat="false" ht="12.75" hidden="false" customHeight="false" outlineLevel="0" collapsed="false">
      <c r="E799" s="152"/>
    </row>
    <row r="800" customFormat="false" ht="12.75" hidden="false" customHeight="false" outlineLevel="0" collapsed="false">
      <c r="E800" s="152"/>
    </row>
    <row r="801" customFormat="false" ht="12.75" hidden="false" customHeight="false" outlineLevel="0" collapsed="false">
      <c r="E801" s="152"/>
    </row>
    <row r="802" customFormat="false" ht="12.75" hidden="false" customHeight="false" outlineLevel="0" collapsed="false">
      <c r="E802" s="152"/>
    </row>
    <row r="803" customFormat="false" ht="12.75" hidden="false" customHeight="false" outlineLevel="0" collapsed="false">
      <c r="E803" s="152"/>
    </row>
    <row r="804" customFormat="false" ht="12.75" hidden="false" customHeight="false" outlineLevel="0" collapsed="false">
      <c r="E804" s="152"/>
    </row>
    <row r="805" customFormat="false" ht="12.75" hidden="false" customHeight="false" outlineLevel="0" collapsed="false">
      <c r="E805" s="152"/>
    </row>
    <row r="806" customFormat="false" ht="12.75" hidden="false" customHeight="false" outlineLevel="0" collapsed="false">
      <c r="E806" s="152"/>
    </row>
    <row r="807" customFormat="false" ht="12.75" hidden="false" customHeight="false" outlineLevel="0" collapsed="false">
      <c r="E807" s="152"/>
    </row>
    <row r="808" customFormat="false" ht="12.75" hidden="false" customHeight="false" outlineLevel="0" collapsed="false">
      <c r="E808" s="152"/>
    </row>
    <row r="809" customFormat="false" ht="12.75" hidden="false" customHeight="false" outlineLevel="0" collapsed="false">
      <c r="E809" s="152"/>
    </row>
    <row r="810" customFormat="false" ht="12.75" hidden="false" customHeight="false" outlineLevel="0" collapsed="false">
      <c r="E810" s="152"/>
    </row>
    <row r="811" customFormat="false" ht="12.75" hidden="false" customHeight="false" outlineLevel="0" collapsed="false">
      <c r="E811" s="152"/>
    </row>
    <row r="812" customFormat="false" ht="12.75" hidden="false" customHeight="false" outlineLevel="0" collapsed="false">
      <c r="E812" s="152"/>
    </row>
    <row r="813" customFormat="false" ht="12.75" hidden="false" customHeight="false" outlineLevel="0" collapsed="false">
      <c r="E813" s="152"/>
    </row>
    <row r="814" customFormat="false" ht="12.75" hidden="false" customHeight="false" outlineLevel="0" collapsed="false">
      <c r="E814" s="152"/>
    </row>
    <row r="815" customFormat="false" ht="12.75" hidden="false" customHeight="false" outlineLevel="0" collapsed="false">
      <c r="E815" s="152"/>
    </row>
    <row r="816" customFormat="false" ht="12.75" hidden="false" customHeight="false" outlineLevel="0" collapsed="false">
      <c r="E816" s="152"/>
    </row>
    <row r="817" customFormat="false" ht="12.75" hidden="false" customHeight="false" outlineLevel="0" collapsed="false">
      <c r="E817" s="152"/>
    </row>
    <row r="818" customFormat="false" ht="12.75" hidden="false" customHeight="false" outlineLevel="0" collapsed="false">
      <c r="E818" s="152"/>
    </row>
    <row r="819" customFormat="false" ht="12.75" hidden="false" customHeight="false" outlineLevel="0" collapsed="false">
      <c r="E819" s="152"/>
    </row>
    <row r="820" customFormat="false" ht="12.75" hidden="false" customHeight="false" outlineLevel="0" collapsed="false">
      <c r="E820" s="152"/>
    </row>
    <row r="821" customFormat="false" ht="12.75" hidden="false" customHeight="false" outlineLevel="0" collapsed="false">
      <c r="E821" s="152"/>
    </row>
    <row r="822" customFormat="false" ht="12.75" hidden="false" customHeight="false" outlineLevel="0" collapsed="false">
      <c r="E822" s="152"/>
    </row>
    <row r="823" customFormat="false" ht="12.75" hidden="false" customHeight="false" outlineLevel="0" collapsed="false">
      <c r="E823" s="152"/>
    </row>
    <row r="824" customFormat="false" ht="12.75" hidden="false" customHeight="false" outlineLevel="0" collapsed="false">
      <c r="E824" s="152"/>
    </row>
    <row r="825" customFormat="false" ht="12.75" hidden="false" customHeight="false" outlineLevel="0" collapsed="false">
      <c r="E825" s="152"/>
    </row>
    <row r="826" customFormat="false" ht="12.75" hidden="false" customHeight="false" outlineLevel="0" collapsed="false">
      <c r="E826" s="152"/>
    </row>
    <row r="827" customFormat="false" ht="12.75" hidden="false" customHeight="false" outlineLevel="0" collapsed="false">
      <c r="E827" s="152"/>
    </row>
    <row r="828" customFormat="false" ht="12.75" hidden="false" customHeight="false" outlineLevel="0" collapsed="false">
      <c r="E828" s="152"/>
    </row>
    <row r="829" customFormat="false" ht="12.75" hidden="false" customHeight="false" outlineLevel="0" collapsed="false">
      <c r="E829" s="152"/>
    </row>
    <row r="830" customFormat="false" ht="12.75" hidden="false" customHeight="false" outlineLevel="0" collapsed="false">
      <c r="E830" s="152"/>
    </row>
    <row r="831" customFormat="false" ht="12.75" hidden="false" customHeight="false" outlineLevel="0" collapsed="false">
      <c r="E831" s="152"/>
    </row>
    <row r="832" customFormat="false" ht="12.75" hidden="false" customHeight="false" outlineLevel="0" collapsed="false">
      <c r="E832" s="152"/>
    </row>
    <row r="833" customFormat="false" ht="12.75" hidden="false" customHeight="false" outlineLevel="0" collapsed="false">
      <c r="E833" s="152"/>
    </row>
    <row r="834" customFormat="false" ht="12.75" hidden="false" customHeight="false" outlineLevel="0" collapsed="false">
      <c r="E834" s="152"/>
    </row>
    <row r="835" customFormat="false" ht="12.75" hidden="false" customHeight="false" outlineLevel="0" collapsed="false">
      <c r="E835" s="152"/>
    </row>
    <row r="836" customFormat="false" ht="12.75" hidden="false" customHeight="false" outlineLevel="0" collapsed="false">
      <c r="E836" s="152"/>
    </row>
    <row r="837" customFormat="false" ht="12.75" hidden="false" customHeight="false" outlineLevel="0" collapsed="false">
      <c r="E837" s="152"/>
    </row>
    <row r="838" customFormat="false" ht="12.75" hidden="false" customHeight="false" outlineLevel="0" collapsed="false">
      <c r="E838" s="152"/>
    </row>
    <row r="839" customFormat="false" ht="12.75" hidden="false" customHeight="false" outlineLevel="0" collapsed="false">
      <c r="E839" s="152"/>
    </row>
    <row r="840" customFormat="false" ht="12.75" hidden="false" customHeight="false" outlineLevel="0" collapsed="false">
      <c r="E840" s="152"/>
    </row>
    <row r="841" customFormat="false" ht="12.75" hidden="false" customHeight="false" outlineLevel="0" collapsed="false">
      <c r="E841" s="152"/>
    </row>
    <row r="842" customFormat="false" ht="12.75" hidden="false" customHeight="false" outlineLevel="0" collapsed="false">
      <c r="E842" s="152"/>
    </row>
    <row r="843" customFormat="false" ht="12.75" hidden="false" customHeight="false" outlineLevel="0" collapsed="false">
      <c r="E843" s="152"/>
    </row>
    <row r="844" customFormat="false" ht="12.75" hidden="false" customHeight="false" outlineLevel="0" collapsed="false">
      <c r="E844" s="152"/>
    </row>
    <row r="845" customFormat="false" ht="12.75" hidden="false" customHeight="false" outlineLevel="0" collapsed="false">
      <c r="E845" s="152"/>
    </row>
    <row r="846" customFormat="false" ht="12.75" hidden="false" customHeight="false" outlineLevel="0" collapsed="false">
      <c r="E846" s="152"/>
    </row>
    <row r="847" customFormat="false" ht="12.75" hidden="false" customHeight="false" outlineLevel="0" collapsed="false">
      <c r="E847" s="152"/>
    </row>
    <row r="848" customFormat="false" ht="12.75" hidden="false" customHeight="false" outlineLevel="0" collapsed="false">
      <c r="E848" s="152"/>
    </row>
    <row r="849" customFormat="false" ht="12.75" hidden="false" customHeight="false" outlineLevel="0" collapsed="false">
      <c r="E849" s="152"/>
    </row>
    <row r="850" customFormat="false" ht="12.75" hidden="false" customHeight="false" outlineLevel="0" collapsed="false">
      <c r="E850" s="152"/>
    </row>
    <row r="851" customFormat="false" ht="12.75" hidden="false" customHeight="false" outlineLevel="0" collapsed="false">
      <c r="E851" s="152"/>
    </row>
    <row r="852" customFormat="false" ht="12.75" hidden="false" customHeight="false" outlineLevel="0" collapsed="false">
      <c r="E852" s="152"/>
    </row>
    <row r="853" customFormat="false" ht="12.75" hidden="false" customHeight="false" outlineLevel="0" collapsed="false">
      <c r="E853" s="152"/>
    </row>
    <row r="854" customFormat="false" ht="12.75" hidden="false" customHeight="false" outlineLevel="0" collapsed="false">
      <c r="E854" s="152"/>
    </row>
    <row r="855" customFormat="false" ht="12.75" hidden="false" customHeight="false" outlineLevel="0" collapsed="false">
      <c r="E855" s="152"/>
    </row>
    <row r="856" customFormat="false" ht="12.75" hidden="false" customHeight="false" outlineLevel="0" collapsed="false">
      <c r="E856" s="152"/>
    </row>
    <row r="857" customFormat="false" ht="12.75" hidden="false" customHeight="false" outlineLevel="0" collapsed="false">
      <c r="E857" s="152"/>
    </row>
    <row r="858" customFormat="false" ht="12.75" hidden="false" customHeight="false" outlineLevel="0" collapsed="false">
      <c r="E858" s="152"/>
    </row>
    <row r="859" customFormat="false" ht="12.75" hidden="false" customHeight="false" outlineLevel="0" collapsed="false">
      <c r="E859" s="152"/>
    </row>
    <row r="860" customFormat="false" ht="12.75" hidden="false" customHeight="false" outlineLevel="0" collapsed="false">
      <c r="E860" s="152"/>
    </row>
    <row r="861" customFormat="false" ht="12.75" hidden="false" customHeight="false" outlineLevel="0" collapsed="false">
      <c r="E861" s="152"/>
    </row>
    <row r="862" customFormat="false" ht="12.75" hidden="false" customHeight="false" outlineLevel="0" collapsed="false">
      <c r="E862" s="152"/>
    </row>
    <row r="863" customFormat="false" ht="12.75" hidden="false" customHeight="false" outlineLevel="0" collapsed="false">
      <c r="E863" s="152"/>
    </row>
    <row r="864" customFormat="false" ht="12.75" hidden="false" customHeight="false" outlineLevel="0" collapsed="false">
      <c r="E864" s="152"/>
    </row>
    <row r="865" customFormat="false" ht="12.75" hidden="false" customHeight="false" outlineLevel="0" collapsed="false">
      <c r="E865" s="152"/>
    </row>
    <row r="866" customFormat="false" ht="12.75" hidden="false" customHeight="false" outlineLevel="0" collapsed="false">
      <c r="E866" s="152"/>
    </row>
    <row r="867" customFormat="false" ht="12.75" hidden="false" customHeight="false" outlineLevel="0" collapsed="false">
      <c r="E867" s="152"/>
    </row>
    <row r="868" customFormat="false" ht="12.75" hidden="false" customHeight="false" outlineLevel="0" collapsed="false">
      <c r="E868" s="152"/>
    </row>
    <row r="869" customFormat="false" ht="12.75" hidden="false" customHeight="false" outlineLevel="0" collapsed="false">
      <c r="E869" s="152"/>
    </row>
    <row r="870" customFormat="false" ht="12.75" hidden="false" customHeight="false" outlineLevel="0" collapsed="false">
      <c r="E870" s="152"/>
    </row>
    <row r="871" customFormat="false" ht="12.75" hidden="false" customHeight="false" outlineLevel="0" collapsed="false">
      <c r="E871" s="152"/>
    </row>
    <row r="872" customFormat="false" ht="12.75" hidden="false" customHeight="false" outlineLevel="0" collapsed="false">
      <c r="E872" s="152"/>
    </row>
    <row r="873" customFormat="false" ht="12.75" hidden="false" customHeight="false" outlineLevel="0" collapsed="false">
      <c r="E873" s="152"/>
    </row>
    <row r="874" customFormat="false" ht="12.75" hidden="false" customHeight="false" outlineLevel="0" collapsed="false">
      <c r="E874" s="152"/>
    </row>
    <row r="875" customFormat="false" ht="12.75" hidden="false" customHeight="false" outlineLevel="0" collapsed="false">
      <c r="E875" s="152"/>
    </row>
    <row r="876" customFormat="false" ht="12.75" hidden="false" customHeight="false" outlineLevel="0" collapsed="false">
      <c r="E876" s="152"/>
    </row>
    <row r="877" customFormat="false" ht="12.75" hidden="false" customHeight="false" outlineLevel="0" collapsed="false">
      <c r="E877" s="152"/>
    </row>
    <row r="878" customFormat="false" ht="12.75" hidden="false" customHeight="false" outlineLevel="0" collapsed="false">
      <c r="E878" s="152"/>
    </row>
    <row r="879" customFormat="false" ht="12.75" hidden="false" customHeight="false" outlineLevel="0" collapsed="false">
      <c r="E879" s="152"/>
    </row>
    <row r="880" customFormat="false" ht="12.75" hidden="false" customHeight="false" outlineLevel="0" collapsed="false">
      <c r="E880" s="152"/>
    </row>
    <row r="881" customFormat="false" ht="12.75" hidden="false" customHeight="false" outlineLevel="0" collapsed="false">
      <c r="E881" s="152"/>
    </row>
    <row r="882" customFormat="false" ht="12.75" hidden="false" customHeight="false" outlineLevel="0" collapsed="false">
      <c r="E882" s="152"/>
    </row>
    <row r="883" customFormat="false" ht="12.75" hidden="false" customHeight="false" outlineLevel="0" collapsed="false">
      <c r="E883" s="152"/>
    </row>
    <row r="884" customFormat="false" ht="12.75" hidden="false" customHeight="false" outlineLevel="0" collapsed="false">
      <c r="E884" s="152"/>
    </row>
    <row r="885" customFormat="false" ht="12.75" hidden="false" customHeight="false" outlineLevel="0" collapsed="false">
      <c r="E885" s="152"/>
    </row>
    <row r="886" customFormat="false" ht="12.75" hidden="false" customHeight="false" outlineLevel="0" collapsed="false">
      <c r="E886" s="152"/>
    </row>
    <row r="887" customFormat="false" ht="12.75" hidden="false" customHeight="false" outlineLevel="0" collapsed="false">
      <c r="E887" s="152"/>
    </row>
    <row r="888" customFormat="false" ht="12.75" hidden="false" customHeight="false" outlineLevel="0" collapsed="false">
      <c r="E888" s="152"/>
    </row>
    <row r="889" customFormat="false" ht="12.75" hidden="false" customHeight="false" outlineLevel="0" collapsed="false">
      <c r="E889" s="152"/>
    </row>
    <row r="890" customFormat="false" ht="12.75" hidden="false" customHeight="false" outlineLevel="0" collapsed="false">
      <c r="E890" s="152"/>
    </row>
    <row r="891" customFormat="false" ht="12.75" hidden="false" customHeight="false" outlineLevel="0" collapsed="false">
      <c r="E891" s="152"/>
    </row>
    <row r="892" customFormat="false" ht="12.75" hidden="false" customHeight="false" outlineLevel="0" collapsed="false">
      <c r="E892" s="152"/>
    </row>
    <row r="893" customFormat="false" ht="12.75" hidden="false" customHeight="false" outlineLevel="0" collapsed="false">
      <c r="E893" s="152"/>
    </row>
    <row r="894" customFormat="false" ht="12.75" hidden="false" customHeight="false" outlineLevel="0" collapsed="false">
      <c r="E894" s="152"/>
    </row>
    <row r="895" customFormat="false" ht="12.75" hidden="false" customHeight="false" outlineLevel="0" collapsed="false">
      <c r="E895" s="152"/>
    </row>
    <row r="896" customFormat="false" ht="12.75" hidden="false" customHeight="false" outlineLevel="0" collapsed="false">
      <c r="E896" s="152"/>
    </row>
    <row r="897" customFormat="false" ht="12.75" hidden="false" customHeight="false" outlineLevel="0" collapsed="false">
      <c r="E897" s="152"/>
    </row>
    <row r="898" customFormat="false" ht="12.75" hidden="false" customHeight="false" outlineLevel="0" collapsed="false">
      <c r="E898" s="152"/>
    </row>
    <row r="899" customFormat="false" ht="12.75" hidden="false" customHeight="false" outlineLevel="0" collapsed="false">
      <c r="E899" s="152"/>
    </row>
    <row r="900" customFormat="false" ht="12.75" hidden="false" customHeight="false" outlineLevel="0" collapsed="false">
      <c r="E900" s="152"/>
    </row>
    <row r="901" customFormat="false" ht="12.75" hidden="false" customHeight="false" outlineLevel="0" collapsed="false">
      <c r="E901" s="152"/>
    </row>
    <row r="902" customFormat="false" ht="12.75" hidden="false" customHeight="false" outlineLevel="0" collapsed="false">
      <c r="E902" s="152"/>
    </row>
    <row r="903" customFormat="false" ht="12.75" hidden="false" customHeight="false" outlineLevel="0" collapsed="false">
      <c r="E903" s="152"/>
    </row>
    <row r="904" customFormat="false" ht="12.75" hidden="false" customHeight="false" outlineLevel="0" collapsed="false">
      <c r="E904" s="152"/>
    </row>
    <row r="905" customFormat="false" ht="12.75" hidden="false" customHeight="false" outlineLevel="0" collapsed="false">
      <c r="E905" s="152"/>
    </row>
    <row r="906" customFormat="false" ht="12.75" hidden="false" customHeight="false" outlineLevel="0" collapsed="false">
      <c r="E906" s="152"/>
    </row>
    <row r="907" customFormat="false" ht="12.75" hidden="false" customHeight="false" outlineLevel="0" collapsed="false">
      <c r="E907" s="152"/>
    </row>
    <row r="908" customFormat="false" ht="12.75" hidden="false" customHeight="false" outlineLevel="0" collapsed="false">
      <c r="E908" s="152"/>
    </row>
    <row r="909" customFormat="false" ht="12.75" hidden="false" customHeight="false" outlineLevel="0" collapsed="false">
      <c r="E909" s="152"/>
    </row>
    <row r="910" customFormat="false" ht="12.75" hidden="false" customHeight="false" outlineLevel="0" collapsed="false">
      <c r="E910" s="152"/>
    </row>
    <row r="911" customFormat="false" ht="12.75" hidden="false" customHeight="false" outlineLevel="0" collapsed="false">
      <c r="E911" s="152"/>
    </row>
    <row r="912" customFormat="false" ht="12.75" hidden="false" customHeight="false" outlineLevel="0" collapsed="false">
      <c r="E912" s="152"/>
    </row>
    <row r="913" customFormat="false" ht="12.75" hidden="false" customHeight="false" outlineLevel="0" collapsed="false">
      <c r="E913" s="152"/>
    </row>
    <row r="914" customFormat="false" ht="12.75" hidden="false" customHeight="false" outlineLevel="0" collapsed="false">
      <c r="E914" s="152"/>
    </row>
    <row r="915" customFormat="false" ht="12.75" hidden="false" customHeight="false" outlineLevel="0" collapsed="false">
      <c r="E915" s="152"/>
    </row>
    <row r="916" customFormat="false" ht="12.75" hidden="false" customHeight="false" outlineLevel="0" collapsed="false">
      <c r="E916" s="152"/>
    </row>
    <row r="917" customFormat="false" ht="12.75" hidden="false" customHeight="false" outlineLevel="0" collapsed="false">
      <c r="E917" s="152"/>
    </row>
    <row r="918" customFormat="false" ht="12.75" hidden="false" customHeight="false" outlineLevel="0" collapsed="false">
      <c r="E918" s="152"/>
    </row>
    <row r="919" customFormat="false" ht="12.75" hidden="false" customHeight="false" outlineLevel="0" collapsed="false">
      <c r="E919" s="152"/>
    </row>
    <row r="920" customFormat="false" ht="12.75" hidden="false" customHeight="false" outlineLevel="0" collapsed="false">
      <c r="E920" s="152"/>
    </row>
    <row r="921" customFormat="false" ht="12.75" hidden="false" customHeight="false" outlineLevel="0" collapsed="false">
      <c r="E921" s="152"/>
    </row>
    <row r="922" customFormat="false" ht="12.75" hidden="false" customHeight="false" outlineLevel="0" collapsed="false">
      <c r="E922" s="152"/>
    </row>
    <row r="923" customFormat="false" ht="12.75" hidden="false" customHeight="false" outlineLevel="0" collapsed="false">
      <c r="E923" s="152"/>
    </row>
    <row r="924" customFormat="false" ht="12.75" hidden="false" customHeight="false" outlineLevel="0" collapsed="false">
      <c r="E924" s="152"/>
    </row>
    <row r="925" customFormat="false" ht="12.75" hidden="false" customHeight="false" outlineLevel="0" collapsed="false">
      <c r="E925" s="152"/>
    </row>
    <row r="926" customFormat="false" ht="12.75" hidden="false" customHeight="false" outlineLevel="0" collapsed="false">
      <c r="E926" s="152"/>
    </row>
    <row r="927" customFormat="false" ht="12.75" hidden="false" customHeight="false" outlineLevel="0" collapsed="false">
      <c r="E927" s="152"/>
    </row>
    <row r="928" customFormat="false" ht="12.75" hidden="false" customHeight="false" outlineLevel="0" collapsed="false">
      <c r="E928" s="152"/>
    </row>
    <row r="929" customFormat="false" ht="12.75" hidden="false" customHeight="false" outlineLevel="0" collapsed="false">
      <c r="E929" s="152"/>
    </row>
    <row r="930" customFormat="false" ht="12.75" hidden="false" customHeight="false" outlineLevel="0" collapsed="false">
      <c r="E930" s="152"/>
    </row>
    <row r="931" customFormat="false" ht="12.75" hidden="false" customHeight="false" outlineLevel="0" collapsed="false">
      <c r="E931" s="152"/>
    </row>
    <row r="932" customFormat="false" ht="12.75" hidden="false" customHeight="false" outlineLevel="0" collapsed="false">
      <c r="E932" s="152"/>
    </row>
    <row r="933" customFormat="false" ht="12.75" hidden="false" customHeight="false" outlineLevel="0" collapsed="false">
      <c r="E933" s="152"/>
    </row>
    <row r="934" customFormat="false" ht="12.75" hidden="false" customHeight="false" outlineLevel="0" collapsed="false">
      <c r="E934" s="152"/>
    </row>
    <row r="935" customFormat="false" ht="12.75" hidden="false" customHeight="false" outlineLevel="0" collapsed="false">
      <c r="E935" s="152"/>
    </row>
    <row r="936" customFormat="false" ht="12.75" hidden="false" customHeight="false" outlineLevel="0" collapsed="false">
      <c r="E936" s="152"/>
    </row>
    <row r="937" customFormat="false" ht="12.75" hidden="false" customHeight="false" outlineLevel="0" collapsed="false">
      <c r="E937" s="152"/>
    </row>
    <row r="938" customFormat="false" ht="12.75" hidden="false" customHeight="false" outlineLevel="0" collapsed="false">
      <c r="E938" s="152"/>
    </row>
    <row r="939" customFormat="false" ht="12.75" hidden="false" customHeight="false" outlineLevel="0" collapsed="false">
      <c r="E939" s="152"/>
    </row>
    <row r="940" customFormat="false" ht="12.75" hidden="false" customHeight="false" outlineLevel="0" collapsed="false">
      <c r="E940" s="152"/>
    </row>
    <row r="941" customFormat="false" ht="12.75" hidden="false" customHeight="false" outlineLevel="0" collapsed="false">
      <c r="E941" s="152"/>
    </row>
    <row r="942" customFormat="false" ht="12.75" hidden="false" customHeight="false" outlineLevel="0" collapsed="false">
      <c r="E942" s="152"/>
    </row>
    <row r="943" customFormat="false" ht="12.75" hidden="false" customHeight="false" outlineLevel="0" collapsed="false">
      <c r="E943" s="152"/>
    </row>
    <row r="944" customFormat="false" ht="12.75" hidden="false" customHeight="false" outlineLevel="0" collapsed="false">
      <c r="E944" s="152"/>
    </row>
    <row r="945" customFormat="false" ht="12.75" hidden="false" customHeight="false" outlineLevel="0" collapsed="false">
      <c r="E945" s="152"/>
    </row>
    <row r="946" customFormat="false" ht="12.75" hidden="false" customHeight="false" outlineLevel="0" collapsed="false">
      <c r="E946" s="152"/>
    </row>
    <row r="947" customFormat="false" ht="12.75" hidden="false" customHeight="false" outlineLevel="0" collapsed="false">
      <c r="E947" s="152"/>
    </row>
    <row r="948" customFormat="false" ht="12.75" hidden="false" customHeight="false" outlineLevel="0" collapsed="false">
      <c r="E948" s="152"/>
    </row>
    <row r="949" customFormat="false" ht="12.75" hidden="false" customHeight="false" outlineLevel="0" collapsed="false">
      <c r="E949" s="152"/>
    </row>
    <row r="950" customFormat="false" ht="12.75" hidden="false" customHeight="false" outlineLevel="0" collapsed="false">
      <c r="E950" s="152"/>
    </row>
    <row r="951" customFormat="false" ht="12.75" hidden="false" customHeight="false" outlineLevel="0" collapsed="false">
      <c r="E951" s="152"/>
    </row>
    <row r="952" customFormat="false" ht="12.75" hidden="false" customHeight="false" outlineLevel="0" collapsed="false">
      <c r="E952" s="152"/>
    </row>
    <row r="953" customFormat="false" ht="12.75" hidden="false" customHeight="false" outlineLevel="0" collapsed="false">
      <c r="E953" s="152"/>
    </row>
    <row r="954" customFormat="false" ht="12.75" hidden="false" customHeight="false" outlineLevel="0" collapsed="false">
      <c r="E954" s="152"/>
    </row>
    <row r="955" customFormat="false" ht="12.75" hidden="false" customHeight="false" outlineLevel="0" collapsed="false">
      <c r="E955" s="152"/>
    </row>
    <row r="956" customFormat="false" ht="12.75" hidden="false" customHeight="false" outlineLevel="0" collapsed="false">
      <c r="E956" s="152"/>
    </row>
    <row r="957" customFormat="false" ht="12.75" hidden="false" customHeight="false" outlineLevel="0" collapsed="false">
      <c r="E957" s="152"/>
    </row>
    <row r="958" customFormat="false" ht="12.75" hidden="false" customHeight="false" outlineLevel="0" collapsed="false">
      <c r="E958" s="152"/>
    </row>
    <row r="959" customFormat="false" ht="12.75" hidden="false" customHeight="false" outlineLevel="0" collapsed="false">
      <c r="E959" s="152"/>
    </row>
    <row r="960" customFormat="false" ht="12.75" hidden="false" customHeight="false" outlineLevel="0" collapsed="false">
      <c r="E960" s="152"/>
    </row>
    <row r="961" customFormat="false" ht="12.75" hidden="false" customHeight="false" outlineLevel="0" collapsed="false">
      <c r="E961" s="152"/>
    </row>
    <row r="962" customFormat="false" ht="12.75" hidden="false" customHeight="false" outlineLevel="0" collapsed="false">
      <c r="E962" s="152"/>
    </row>
    <row r="963" customFormat="false" ht="12.75" hidden="false" customHeight="false" outlineLevel="0" collapsed="false">
      <c r="E963" s="152"/>
    </row>
    <row r="964" customFormat="false" ht="12.75" hidden="false" customHeight="false" outlineLevel="0" collapsed="false">
      <c r="E964" s="152"/>
    </row>
    <row r="965" customFormat="false" ht="12.75" hidden="false" customHeight="false" outlineLevel="0" collapsed="false">
      <c r="E965" s="152"/>
    </row>
    <row r="966" customFormat="false" ht="12.75" hidden="false" customHeight="false" outlineLevel="0" collapsed="false">
      <c r="E966" s="152"/>
    </row>
    <row r="967" customFormat="false" ht="12.75" hidden="false" customHeight="false" outlineLevel="0" collapsed="false">
      <c r="E967" s="152"/>
    </row>
    <row r="968" customFormat="false" ht="12.75" hidden="false" customHeight="false" outlineLevel="0" collapsed="false">
      <c r="E968" s="152"/>
    </row>
    <row r="969" customFormat="false" ht="12.75" hidden="false" customHeight="false" outlineLevel="0" collapsed="false">
      <c r="E969" s="152"/>
    </row>
    <row r="970" customFormat="false" ht="12.75" hidden="false" customHeight="false" outlineLevel="0" collapsed="false">
      <c r="E970" s="152"/>
    </row>
    <row r="971" customFormat="false" ht="12.75" hidden="false" customHeight="false" outlineLevel="0" collapsed="false">
      <c r="E971" s="152"/>
    </row>
    <row r="972" customFormat="false" ht="12.75" hidden="false" customHeight="false" outlineLevel="0" collapsed="false">
      <c r="E972" s="152"/>
    </row>
    <row r="973" customFormat="false" ht="12.75" hidden="false" customHeight="false" outlineLevel="0" collapsed="false">
      <c r="E973" s="152"/>
    </row>
    <row r="974" customFormat="false" ht="12.75" hidden="false" customHeight="false" outlineLevel="0" collapsed="false">
      <c r="E974" s="152"/>
    </row>
    <row r="975" customFormat="false" ht="12.75" hidden="false" customHeight="false" outlineLevel="0" collapsed="false">
      <c r="E975" s="152"/>
    </row>
    <row r="976" customFormat="false" ht="12.75" hidden="false" customHeight="false" outlineLevel="0" collapsed="false">
      <c r="E976" s="152"/>
    </row>
    <row r="977" customFormat="false" ht="12.75" hidden="false" customHeight="false" outlineLevel="0" collapsed="false">
      <c r="E977" s="152"/>
    </row>
    <row r="978" customFormat="false" ht="12.75" hidden="false" customHeight="false" outlineLevel="0" collapsed="false">
      <c r="E978" s="152"/>
    </row>
    <row r="979" customFormat="false" ht="12.75" hidden="false" customHeight="false" outlineLevel="0" collapsed="false">
      <c r="E979" s="152"/>
    </row>
    <row r="980" customFormat="false" ht="12.75" hidden="false" customHeight="false" outlineLevel="0" collapsed="false">
      <c r="E980" s="152"/>
    </row>
    <row r="981" customFormat="false" ht="12.75" hidden="false" customHeight="false" outlineLevel="0" collapsed="false">
      <c r="E981" s="152"/>
    </row>
    <row r="982" customFormat="false" ht="12.75" hidden="false" customHeight="false" outlineLevel="0" collapsed="false">
      <c r="E982" s="152"/>
    </row>
    <row r="983" customFormat="false" ht="12.75" hidden="false" customHeight="false" outlineLevel="0" collapsed="false">
      <c r="E983" s="152"/>
    </row>
    <row r="984" customFormat="false" ht="12.75" hidden="false" customHeight="false" outlineLevel="0" collapsed="false">
      <c r="E984" s="152"/>
    </row>
    <row r="985" customFormat="false" ht="12.75" hidden="false" customHeight="false" outlineLevel="0" collapsed="false">
      <c r="E985" s="152"/>
    </row>
    <row r="986" customFormat="false" ht="12.75" hidden="false" customHeight="false" outlineLevel="0" collapsed="false">
      <c r="E986" s="152"/>
    </row>
    <row r="987" customFormat="false" ht="12.75" hidden="false" customHeight="false" outlineLevel="0" collapsed="false">
      <c r="E987" s="152"/>
    </row>
    <row r="988" customFormat="false" ht="12.75" hidden="false" customHeight="false" outlineLevel="0" collapsed="false">
      <c r="E988" s="152"/>
    </row>
    <row r="989" customFormat="false" ht="12.75" hidden="false" customHeight="false" outlineLevel="0" collapsed="false">
      <c r="E989" s="152"/>
    </row>
    <row r="990" customFormat="false" ht="12.75" hidden="false" customHeight="false" outlineLevel="0" collapsed="false">
      <c r="E990" s="152"/>
    </row>
    <row r="991" customFormat="false" ht="12.75" hidden="false" customHeight="false" outlineLevel="0" collapsed="false">
      <c r="E991" s="152"/>
    </row>
    <row r="992" customFormat="false" ht="12.75" hidden="false" customHeight="false" outlineLevel="0" collapsed="false">
      <c r="E992" s="152"/>
    </row>
    <row r="993" customFormat="false" ht="12.75" hidden="false" customHeight="false" outlineLevel="0" collapsed="false">
      <c r="E993" s="152"/>
    </row>
    <row r="994" customFormat="false" ht="12.75" hidden="false" customHeight="false" outlineLevel="0" collapsed="false">
      <c r="E994" s="152"/>
    </row>
    <row r="995" customFormat="false" ht="12.75" hidden="false" customHeight="false" outlineLevel="0" collapsed="false">
      <c r="E995" s="152"/>
    </row>
    <row r="996" customFormat="false" ht="12.75" hidden="false" customHeight="false" outlineLevel="0" collapsed="false">
      <c r="E996" s="152"/>
    </row>
    <row r="997" customFormat="false" ht="12.75" hidden="false" customHeight="false" outlineLevel="0" collapsed="false">
      <c r="E997" s="152"/>
    </row>
    <row r="998" customFormat="false" ht="12.75" hidden="false" customHeight="false" outlineLevel="0" collapsed="false">
      <c r="E998" s="152"/>
    </row>
    <row r="999" customFormat="false" ht="12.75" hidden="false" customHeight="false" outlineLevel="0" collapsed="false">
      <c r="E999" s="152"/>
    </row>
    <row r="1000" customFormat="false" ht="12.75" hidden="false" customHeight="false" outlineLevel="0" collapsed="false">
      <c r="E1000" s="152"/>
    </row>
    <row r="1001" customFormat="false" ht="12.75" hidden="false" customHeight="false" outlineLevel="0" collapsed="false">
      <c r="E1001" s="152"/>
    </row>
    <row r="1002" customFormat="false" ht="12.75" hidden="false" customHeight="false" outlineLevel="0" collapsed="false">
      <c r="E1002" s="152"/>
    </row>
    <row r="1003" customFormat="false" ht="12.75" hidden="false" customHeight="false" outlineLevel="0" collapsed="false">
      <c r="E1003" s="152"/>
    </row>
    <row r="1004" customFormat="false" ht="12.75" hidden="false" customHeight="false" outlineLevel="0" collapsed="false">
      <c r="E1004" s="152"/>
    </row>
    <row r="1005" customFormat="false" ht="12.75" hidden="false" customHeight="false" outlineLevel="0" collapsed="false">
      <c r="E1005" s="152"/>
    </row>
    <row r="1006" customFormat="false" ht="12.75" hidden="false" customHeight="false" outlineLevel="0" collapsed="false">
      <c r="E1006" s="152"/>
    </row>
    <row r="1007" customFormat="false" ht="12.75" hidden="false" customHeight="false" outlineLevel="0" collapsed="false">
      <c r="E1007" s="152"/>
    </row>
    <row r="1008" customFormat="false" ht="12.75" hidden="false" customHeight="false" outlineLevel="0" collapsed="false">
      <c r="E1008" s="152"/>
    </row>
    <row r="1009" customFormat="false" ht="12.75" hidden="false" customHeight="false" outlineLevel="0" collapsed="false">
      <c r="E1009" s="152"/>
    </row>
    <row r="1010" customFormat="false" ht="12.75" hidden="false" customHeight="false" outlineLevel="0" collapsed="false">
      <c r="E1010" s="152"/>
    </row>
    <row r="1011" customFormat="false" ht="12.75" hidden="false" customHeight="false" outlineLevel="0" collapsed="false">
      <c r="E1011" s="152"/>
    </row>
    <row r="1012" customFormat="false" ht="12.75" hidden="false" customHeight="false" outlineLevel="0" collapsed="false">
      <c r="E1012" s="152"/>
    </row>
    <row r="1013" customFormat="false" ht="12.75" hidden="false" customHeight="false" outlineLevel="0" collapsed="false">
      <c r="E1013" s="152"/>
    </row>
    <row r="1014" customFormat="false" ht="12.75" hidden="false" customHeight="false" outlineLevel="0" collapsed="false">
      <c r="E1014" s="152"/>
    </row>
    <row r="1015" customFormat="false" ht="12.75" hidden="false" customHeight="false" outlineLevel="0" collapsed="false">
      <c r="E1015" s="152"/>
    </row>
    <row r="1016" customFormat="false" ht="12.75" hidden="false" customHeight="false" outlineLevel="0" collapsed="false">
      <c r="E1016" s="152"/>
    </row>
    <row r="1017" customFormat="false" ht="12.75" hidden="false" customHeight="false" outlineLevel="0" collapsed="false">
      <c r="E1017" s="152"/>
    </row>
    <row r="1018" customFormat="false" ht="12.75" hidden="false" customHeight="false" outlineLevel="0" collapsed="false">
      <c r="E1018" s="152"/>
    </row>
    <row r="1019" customFormat="false" ht="12.75" hidden="false" customHeight="false" outlineLevel="0" collapsed="false">
      <c r="E1019" s="152"/>
    </row>
    <row r="1020" customFormat="false" ht="12.75" hidden="false" customHeight="false" outlineLevel="0" collapsed="false">
      <c r="E1020" s="152"/>
    </row>
    <row r="1021" customFormat="false" ht="12.75" hidden="false" customHeight="false" outlineLevel="0" collapsed="false">
      <c r="E1021" s="152"/>
    </row>
    <row r="1022" customFormat="false" ht="12.75" hidden="false" customHeight="false" outlineLevel="0" collapsed="false">
      <c r="E1022" s="152"/>
    </row>
    <row r="1023" customFormat="false" ht="12.75" hidden="false" customHeight="false" outlineLevel="0" collapsed="false">
      <c r="E1023" s="152"/>
    </row>
    <row r="1024" customFormat="false" ht="12.75" hidden="false" customHeight="false" outlineLevel="0" collapsed="false">
      <c r="E1024" s="152"/>
    </row>
    <row r="1025" customFormat="false" ht="12.75" hidden="false" customHeight="false" outlineLevel="0" collapsed="false">
      <c r="E1025" s="152"/>
    </row>
    <row r="1026" customFormat="false" ht="12.75" hidden="false" customHeight="false" outlineLevel="0" collapsed="false">
      <c r="E1026" s="152"/>
    </row>
    <row r="1027" customFormat="false" ht="12.75" hidden="false" customHeight="false" outlineLevel="0" collapsed="false">
      <c r="E1027" s="152"/>
    </row>
    <row r="1028" customFormat="false" ht="12.75" hidden="false" customHeight="false" outlineLevel="0" collapsed="false">
      <c r="E1028" s="152"/>
    </row>
    <row r="1029" customFormat="false" ht="12.75" hidden="false" customHeight="false" outlineLevel="0" collapsed="false">
      <c r="E1029" s="152"/>
    </row>
    <row r="1030" customFormat="false" ht="12.75" hidden="false" customHeight="false" outlineLevel="0" collapsed="false">
      <c r="E1030" s="152"/>
    </row>
    <row r="1031" customFormat="false" ht="12.75" hidden="false" customHeight="false" outlineLevel="0" collapsed="false">
      <c r="E1031" s="152"/>
    </row>
    <row r="1032" customFormat="false" ht="12.75" hidden="false" customHeight="false" outlineLevel="0" collapsed="false">
      <c r="E1032" s="152"/>
    </row>
    <row r="1033" customFormat="false" ht="12.75" hidden="false" customHeight="false" outlineLevel="0" collapsed="false">
      <c r="E1033" s="152"/>
    </row>
    <row r="1034" customFormat="false" ht="12.75" hidden="false" customHeight="false" outlineLevel="0" collapsed="false">
      <c r="E1034" s="152"/>
    </row>
    <row r="1035" customFormat="false" ht="12.75" hidden="false" customHeight="false" outlineLevel="0" collapsed="false">
      <c r="E1035" s="152"/>
    </row>
    <row r="1036" customFormat="false" ht="12.75" hidden="false" customHeight="false" outlineLevel="0" collapsed="false">
      <c r="E1036" s="152"/>
    </row>
    <row r="1037" customFormat="false" ht="12.75" hidden="false" customHeight="false" outlineLevel="0" collapsed="false">
      <c r="E1037" s="152"/>
    </row>
    <row r="1038" customFormat="false" ht="12.75" hidden="false" customHeight="false" outlineLevel="0" collapsed="false">
      <c r="E1038" s="152"/>
    </row>
    <row r="1039" customFormat="false" ht="12.75" hidden="false" customHeight="false" outlineLevel="0" collapsed="false">
      <c r="E1039" s="152"/>
    </row>
    <row r="1040" customFormat="false" ht="12.75" hidden="false" customHeight="false" outlineLevel="0" collapsed="false">
      <c r="E1040" s="152"/>
    </row>
    <row r="1041" customFormat="false" ht="12.75" hidden="false" customHeight="false" outlineLevel="0" collapsed="false">
      <c r="E1041" s="152"/>
    </row>
    <row r="1042" customFormat="false" ht="12.75" hidden="false" customHeight="false" outlineLevel="0" collapsed="false">
      <c r="E1042" s="152"/>
    </row>
    <row r="1043" customFormat="false" ht="12.75" hidden="false" customHeight="false" outlineLevel="0" collapsed="false">
      <c r="E1043" s="152"/>
    </row>
    <row r="1044" customFormat="false" ht="12.75" hidden="false" customHeight="false" outlineLevel="0" collapsed="false">
      <c r="E1044" s="152"/>
    </row>
    <row r="1045" customFormat="false" ht="12.75" hidden="false" customHeight="false" outlineLevel="0" collapsed="false">
      <c r="E1045" s="152"/>
    </row>
    <row r="1046" customFormat="false" ht="12.75" hidden="false" customHeight="false" outlineLevel="0" collapsed="false">
      <c r="E1046" s="152"/>
    </row>
    <row r="1047" customFormat="false" ht="12.75" hidden="false" customHeight="false" outlineLevel="0" collapsed="false">
      <c r="E1047" s="152"/>
    </row>
    <row r="1048" customFormat="false" ht="12.75" hidden="false" customHeight="false" outlineLevel="0" collapsed="false">
      <c r="E1048" s="152"/>
    </row>
    <row r="1049" customFormat="false" ht="12.75" hidden="false" customHeight="false" outlineLevel="0" collapsed="false">
      <c r="E1049" s="152"/>
    </row>
  </sheetData>
  <mergeCells count="7">
    <mergeCell ref="A2:H2"/>
    <mergeCell ref="A3:H3"/>
    <mergeCell ref="A4:H4"/>
    <mergeCell ref="G6:H6"/>
    <mergeCell ref="G7:H7"/>
    <mergeCell ref="G8:H8"/>
    <mergeCell ref="G10:H10"/>
  </mergeCells>
  <printOptions headings="false" gridLines="false" gridLinesSet="true" horizontalCentered="true" verticalCentered="false"/>
  <pageMargins left="0.5" right="0.5" top="0.5" bottom="0.5" header="0.5" footer="0.5"/>
  <pageSetup paperSize="1" scale="100" fitToWidth="1" fitToHeight="7" pageOrder="downThenOver" orientation="portrait" blackAndWhite="false" draft="false" cellComments="none" horizontalDpi="300" verticalDpi="300" copies="1"/>
  <headerFooter differentFirst="false" differentOddEven="false">
    <oddHeader>&amp;CATTACHMENT B </oddHeader>
    <oddFooter>&amp;L&amp;F&amp;C&amp;A&amp;RSDGE ---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2001-03-26T05:24:06Z</dcterms:created>
  <dc:creator>MELVILLE</dc:creator>
  <dc:description/>
  <dc:language>en-US</dc:language>
  <cp:lastModifiedBy>Mohamed A. Derbas</cp:lastModifiedBy>
  <cp:lastPrinted>2001-05-18T18:35:40Z</cp:lastPrinted>
  <dcterms:modified xsi:type="dcterms:W3CDTF">2001-04-02T16:26:11Z</dcterms:modified>
  <cp:revision>0</cp:revision>
  <dc:subject>R:MISC</dc:subject>
  <dc:title>A.01-01-044 Derbas Att. A</dc:title>
</cp:coreProperties>
</file>