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ies" sheetId="1" state="visible" r:id="rId3"/>
    <sheet name="EOLSupplies" sheetId="2" state="visible" r:id="rId4"/>
    <sheet name="BaseloadMarkets" sheetId="3" state="visible" r:id="rId5"/>
    <sheet name="SwingMarkets" sheetId="4" state="visible" r:id="rId6"/>
    <sheet name="EOLMarkets" sheetId="5" state="visible" r:id="rId7"/>
    <sheet name="OCCMarkets" sheetId="6" state="visible" r:id="rId8"/>
    <sheet name="EES" sheetId="7" state="visible" r:id="rId9"/>
    <sheet name="Border" sheetId="8" state="visible" r:id="rId10"/>
    <sheet name="Summary" sheetId="9" state="visible" r:id="rId11"/>
    <sheet name="Harbor Cogen" sheetId="10" state="visible" r:id="rId12"/>
    <sheet name="5 Day" sheetId="11" state="visible" r:id="rId13"/>
    <sheet name="Hub" sheetId="12" state="visible" r:id="rId14"/>
    <sheet name="Oxy" sheetId="13" state="visible" r:id="rId15"/>
    <sheet name="Smurfit" sheetId="14" state="visible" r:id="rId16"/>
  </sheets>
  <definedNames>
    <definedName function="false" hidden="false" localSheetId="2" name="_xlnm.Print_Titles" vbProcedure="false">BaseloadMarkets!$A:$A</definedName>
    <definedName function="false" hidden="false" localSheetId="7" name="_xlnm.Print_Area" vbProcedure="false">Border!$A$3:$T$35</definedName>
    <definedName function="false" hidden="false" localSheetId="7" name="_xlnm.Print_Titles" vbProcedure="false">Border!$A:$A</definedName>
    <definedName function="false" hidden="false" localSheetId="4" name="_xlnm.Print_Area" vbProcedure="false">EOLMarkets!$A$1:$ET$37</definedName>
    <definedName function="false" hidden="false" localSheetId="4" name="_xlnm.Print_Titles" vbProcedure="false">EOLMarkets!$A:$A</definedName>
    <definedName function="false" hidden="false" localSheetId="1" name="_xlnm.Print_Area" vbProcedure="false">EOLSupplies!$A$1:$DV$37</definedName>
    <definedName function="false" hidden="false" localSheetId="1" name="_xlnm.Print_Titles" vbProcedure="false">EOLSupplies!$A:$A</definedName>
    <definedName function="false" hidden="false" localSheetId="5" name="_xlnm.Print_Titles" vbProcedure="false">OCCMarkets!$A:$A</definedName>
    <definedName function="false" hidden="false" localSheetId="8" name="_xlnm.Print_Area" vbProcedure="false">Summary!$A$1:$R$109</definedName>
    <definedName function="false" hidden="false" localSheetId="3" name="_xlnm.Print_Titles" vbProcedure="false">SwingMarkets!$A:$A</definedName>
    <definedName function="false" hidden="false" name="BaseloadMarkets" vbProcedure="false">BaseloadMarkets!$A$1:$DU$41</definedName>
    <definedName function="false" hidden="false" name="CanFibre" vbProcedure="false">OCCMarkets!$A$1:$AB$37</definedName>
    <definedName function="false" hidden="false" name="EES" vbProcedure="false">EES!$A$1:$AV$36</definedName>
    <definedName function="false" hidden="false" name="EOLMarkets" vbProcedure="false">EOLMarkets!$A$1:$IK$37</definedName>
    <definedName function="false" hidden="false" name="EOLMarkets2" vbProcedure="false">#REF!</definedName>
    <definedName function="false" hidden="false" name="EOLMarkets3" vbProcedure="false">#REF!</definedName>
    <definedName function="false" hidden="false" name="EOLMarkets4" vbProcedure="false">#REF!</definedName>
    <definedName function="false" hidden="false" name="EOLMarkets5" vbProcedure="false">#REF!</definedName>
    <definedName function="false" hidden="false" name="EOLMarkets6" vbProcedure="false">#REF!</definedName>
    <definedName function="false" hidden="false" name="EOLSuplies4" vbProcedure="false">#REF!</definedName>
    <definedName function="false" hidden="false" name="EOLSuppies3" vbProcedure="false">#REF!</definedName>
    <definedName function="false" hidden="false" name="EOLSupplies" vbProcedure="false">EOLSupplies!$A$1:$ED$37</definedName>
    <definedName function="false" hidden="false" name="EOLSupplies2" vbProcedure="false">#REF!</definedName>
    <definedName function="false" hidden="false" name="EOLSupplies3" vbProcedure="false">#REF!</definedName>
    <definedName function="false" hidden="false" name="EOLSupplies4" vbProcedure="false">#REF!</definedName>
    <definedName function="false" hidden="false" name="EOLSupplies5" vbProcedure="false">#REF!</definedName>
    <definedName function="false" hidden="false" name="Filtrol" vbProcedure="false">OCCMarkets!$A$1:$U$37</definedName>
    <definedName function="false" hidden="false" name="Harbor" vbProcedure="false">OCCMarkets!$A$1:$BR$37</definedName>
    <definedName function="false" hidden="false" name="Hub" vbProcedure="false">Hub!$A$1:$HA$38</definedName>
    <definedName function="false" hidden="false" name="Oxy" vbProcedure="false">Oxy!$A$1:$G$37</definedName>
    <definedName function="false" hidden="false" name="Pasadena" vbProcedure="false">OCCMarkets!$A$1:$N$37</definedName>
    <definedName function="false" hidden="false" name="Smurfit" vbProcedure="false">Smurfit!$A$1:$AO$38</definedName>
    <definedName function="false" hidden="false" name="Supplies" vbProcedure="false">Supplies!$A$1:$BH$44</definedName>
    <definedName function="false" hidden="false" name="Top" vbProcedure="false">BaseloadMarkets!$A$1</definedName>
    <definedName function="false" hidden="false" localSheetId="1" name="CanFibre" vbProcedure="false">EOLSupplies!$A$1:$B$37</definedName>
    <definedName function="false" hidden="false" localSheetId="1" name="Filtrol" vbProcedure="false">EOLSupplies!$A$1:$B$37</definedName>
    <definedName function="false" hidden="false" localSheetId="1" name="Pasadena" vbProcedure="false">EOLSupplies!$A$1:$B$37</definedName>
    <definedName function="false" hidden="false" localSheetId="1" name="Smurfit" vbProcedure="false">EOLSupplies!$A$1:$B$37</definedName>
    <definedName function="false" hidden="false" localSheetId="1" name="Top" vbProcedure="false">EOLSupplies!$A$1</definedName>
    <definedName function="false" hidden="false" localSheetId="3" name="CanFibre" vbProcedure="false">SwingMarkets!$A$1:$B$37</definedName>
    <definedName function="false" hidden="false" localSheetId="3" name="Filtrol" vbProcedure="false">SwingMarkets!$A$1:$B$37</definedName>
    <definedName function="false" hidden="false" localSheetId="3" name="Pasadena" vbProcedure="false">SwingMarkets!$A$1:$B$37</definedName>
    <definedName function="false" hidden="false" localSheetId="3" name="Smurfit" vbProcedure="false">SwingMarkets!$A$1:$B$37</definedName>
    <definedName function="false" hidden="false" localSheetId="3" name="Top" vbProcedure="false">SwingMarkets!$A$1</definedName>
    <definedName function="false" hidden="false" localSheetId="4" name="CanFibre" vbProcedure="false">EOLMarkets!$A$1:$B$37</definedName>
    <definedName function="false" hidden="false" localSheetId="4" name="Filtrol" vbProcedure="false">EOLMarkets!$A$1:$B$37</definedName>
    <definedName function="false" hidden="false" localSheetId="4" name="Pasadena" vbProcedure="false">EOLMarkets!$A$1:$B$37</definedName>
    <definedName function="false" hidden="false" localSheetId="4" name="Smurfit" vbProcedure="false">EOLMarkets!$A$1:$B$37</definedName>
    <definedName function="false" hidden="false" localSheetId="4" name="Top" vbProcedure="false">EOLMarkets!$A$1</definedName>
    <definedName function="false" hidden="false" localSheetId="5" name="Smurfit" vbProcedure="false">OCCMarkets!$A$1:$BK$37</definedName>
    <definedName function="false" hidden="false" localSheetId="5" name="Top" vbProcedure="false">OCCMarkets!$A$1</definedName>
    <definedName function="false" hidden="false" localSheetId="8" name="EES" vbProcedure="false">EES!$A$1:$AV$36</definedName>
    <definedName function="false" hidden="false" localSheetId="8" name="Oxy" vbProcedure="false">Oxy!$A$1:$G$37</definedName>
    <definedName function="false" hidden="false" localSheetId="9" name="Smurfit" vbProcedure="false">'Harbor Cogen'!$A$1:$F$38</definedName>
    <definedName function="false" hidden="false" localSheetId="11" name="Oxy" vbProcedure="false">Hub!$A$1:$G$37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1" authorId="0">
      <text>
        <r>
          <rPr>
            <b val="true"/>
            <sz val="8"/>
            <color rgb="FF000000"/>
            <rFont val="Tahoma"/>
            <family val="0"/>
          </rPr>
          <t xml:space="preserve">msharif:
</t>
        </r>
        <r>
          <rPr>
            <sz val="8"/>
            <color rgb="FF000000"/>
            <rFont val="Tahoma"/>
            <family val="0"/>
          </rPr>
          <t xml:space="preserve">9KUB delivered for EES to K# D12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29</xdr:row>
                <xdr:rowOff>7</xdr:rowOff>
              </xdr:from>
              <xdr:to>
                <xdr:col>5</xdr:col>
                <xdr:colOff>24</xdr:colOff>
                <xdr:row>33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<sst xmlns="http://schemas.openxmlformats.org/spreadsheetml/2006/main" count="1408" uniqueCount="305">
  <si>
    <t xml:space="preserve">Supplies</t>
  </si>
  <si>
    <t xml:space="preserve">Border Avg +.06</t>
  </si>
  <si>
    <t xml:space="preserve">Border Avg +.0025</t>
  </si>
  <si>
    <t xml:space="preserve">Border Avg +.01</t>
  </si>
  <si>
    <t xml:space="preserve">Border Avg +.02</t>
  </si>
  <si>
    <t xml:space="preserve">Border Avg +.015</t>
  </si>
  <si>
    <t xml:space="preserve">Socal Index</t>
  </si>
  <si>
    <t xml:space="preserve">GDA</t>
  </si>
  <si>
    <t xml:space="preserve">Counterparty</t>
  </si>
  <si>
    <t xml:space="preserve">Oxy</t>
  </si>
  <si>
    <t xml:space="preserve">Texaco</t>
  </si>
  <si>
    <t xml:space="preserve">Western</t>
  </si>
  <si>
    <t xml:space="preserve">CA HUB</t>
  </si>
  <si>
    <t xml:space="preserve">Aquila</t>
  </si>
  <si>
    <t xml:space="preserve">Coral</t>
  </si>
  <si>
    <t xml:space="preserve">EPME</t>
  </si>
  <si>
    <t xml:space="preserve">Oneok</t>
  </si>
  <si>
    <t xml:space="preserve">Vintage Gas</t>
  </si>
  <si>
    <t xml:space="preserve">Cook</t>
  </si>
  <si>
    <t xml:space="preserve">Burlington</t>
  </si>
  <si>
    <t xml:space="preserve">Dynegy</t>
  </si>
  <si>
    <t xml:space="preserve">Agave</t>
  </si>
  <si>
    <t xml:space="preserve">TransCan</t>
  </si>
  <si>
    <t xml:space="preserve">SCEM</t>
  </si>
  <si>
    <t xml:space="preserve">Barrett</t>
  </si>
  <si>
    <t xml:space="preserve">Nevada Power</t>
  </si>
  <si>
    <t xml:space="preserve">Altrade(Southern)</t>
  </si>
  <si>
    <t xml:space="preserve">PG&amp;E</t>
  </si>
  <si>
    <t xml:space="preserve">Williams</t>
  </si>
  <si>
    <t xml:space="preserve">CA Hub</t>
  </si>
  <si>
    <t xml:space="preserve">USGT</t>
  </si>
  <si>
    <t xml:space="preserve">SDG&amp;E</t>
  </si>
  <si>
    <t xml:space="preserve">Duke</t>
  </si>
  <si>
    <t xml:space="preserve"> </t>
  </si>
  <si>
    <t xml:space="preserve">Contract #</t>
  </si>
  <si>
    <t xml:space="preserve">KS0202DD</t>
  </si>
  <si>
    <t xml:space="preserve">P2702</t>
  </si>
  <si>
    <t xml:space="preserve">Swing</t>
  </si>
  <si>
    <t xml:space="preserve">Make-up</t>
  </si>
  <si>
    <t xml:space="preserve">MidMonth Base</t>
  </si>
  <si>
    <t xml:space="preserve">Deal #</t>
  </si>
  <si>
    <t xml:space="preserve">319556/326042</t>
  </si>
  <si>
    <t xml:space="preserve">319597/326081</t>
  </si>
  <si>
    <t xml:space="preserve">322974/324573</t>
  </si>
  <si>
    <t xml:space="preserve">328113,6&amp;8</t>
  </si>
  <si>
    <t xml:space="preserve">Total</t>
  </si>
  <si>
    <t xml:space="preserve">Pipeline</t>
  </si>
  <si>
    <t xml:space="preserve">KRS</t>
  </si>
  <si>
    <t xml:space="preserve">CA Prod</t>
  </si>
  <si>
    <t xml:space="preserve">Topock</t>
  </si>
  <si>
    <t xml:space="preserve">Ehrenberg</t>
  </si>
  <si>
    <t xml:space="preserve">Storage</t>
  </si>
  <si>
    <t xml:space="preserve">TW</t>
  </si>
  <si>
    <t xml:space="preserve">Ehren</t>
  </si>
  <si>
    <t xml:space="preserve">SOCWR</t>
  </si>
  <si>
    <t xml:space="preserve">TW/STG</t>
  </si>
  <si>
    <t xml:space="preserve">Ehr</t>
  </si>
  <si>
    <t xml:space="preserve">Kern</t>
  </si>
  <si>
    <t xml:space="preserve">TW 8255</t>
  </si>
  <si>
    <t xml:space="preserve">Ehren 97YW</t>
  </si>
  <si>
    <t xml:space="preserve">Stor</t>
  </si>
  <si>
    <t xml:space="preserve">Top</t>
  </si>
  <si>
    <t xml:space="preserve">Totals</t>
  </si>
  <si>
    <t xml:space="preserve">Short Position:</t>
  </si>
  <si>
    <t xml:space="preserve">Markets</t>
  </si>
  <si>
    <t xml:space="preserve">Border Avg + .025</t>
  </si>
  <si>
    <t xml:space="preserve">314573/314634</t>
  </si>
  <si>
    <t xml:space="preserve">EOL</t>
  </si>
  <si>
    <t xml:space="preserve">Daily</t>
  </si>
  <si>
    <t xml:space="preserve">Cumulative</t>
  </si>
  <si>
    <t xml:space="preserve">Baseload</t>
  </si>
  <si>
    <t xml:space="preserve">CounterParty</t>
  </si>
  <si>
    <t xml:space="preserve">Day Of</t>
  </si>
  <si>
    <t xml:space="preserve">MTD</t>
  </si>
  <si>
    <t xml:space="preserve">Week</t>
  </si>
  <si>
    <t xml:space="preserve">Long/(Short)</t>
  </si>
  <si>
    <t xml:space="preserve">Delivered</t>
  </si>
  <si>
    <t xml:space="preserve">Nom</t>
  </si>
  <si>
    <t xml:space="preserve">Sched</t>
  </si>
  <si>
    <t xml:space="preserve">Long/Short</t>
  </si>
  <si>
    <t xml:space="preserve">Border Avg +.03</t>
  </si>
  <si>
    <t xml:space="preserve">Border Avg+.02</t>
  </si>
  <si>
    <t xml:space="preserve">Border Avg +.0275</t>
  </si>
  <si>
    <t xml:space="preserve">OCC</t>
  </si>
  <si>
    <t xml:space="preserve">JC Energy</t>
  </si>
  <si>
    <t xml:space="preserve">Tractebel</t>
  </si>
  <si>
    <t xml:space="preserve">Glendale</t>
  </si>
  <si>
    <t xml:space="preserve">Socal</t>
  </si>
  <si>
    <t xml:space="preserve">Net to 131490</t>
  </si>
  <si>
    <t xml:space="preserve">Sat</t>
  </si>
  <si>
    <t xml:space="preserve">Sun</t>
  </si>
  <si>
    <t xml:space="preserve">Mon</t>
  </si>
  <si>
    <t xml:space="preserve">Tues</t>
  </si>
  <si>
    <t xml:space="preserve">Wed</t>
  </si>
  <si>
    <t xml:space="preserve">Thu</t>
  </si>
  <si>
    <t xml:space="preserve">Fri</t>
  </si>
  <si>
    <t xml:space="preserve">SOCAL.SWGEU.GDP.DA</t>
  </si>
  <si>
    <t xml:space="preserve">318964/320533</t>
  </si>
  <si>
    <t xml:space="preserve">Reliant</t>
  </si>
  <si>
    <t xml:space="preserve">SoCal</t>
  </si>
  <si>
    <t xml:space="preserve">CONAGRA</t>
  </si>
  <si>
    <t xml:space="preserve">Needles</t>
  </si>
  <si>
    <t xml:space="preserve">TW/Top/CA Prod</t>
  </si>
  <si>
    <t xml:space="preserve">Border Avg +.04</t>
  </si>
  <si>
    <t xml:space="preserve">Border Avg +.025</t>
  </si>
  <si>
    <t xml:space="preserve">Border Avg +.0175</t>
  </si>
  <si>
    <t xml:space="preserve">Border Avg +.0225</t>
  </si>
  <si>
    <t xml:space="preserve">Southern</t>
  </si>
  <si>
    <t xml:space="preserve">77350/303938</t>
  </si>
  <si>
    <t xml:space="preserve">C09</t>
  </si>
  <si>
    <t xml:space="preserve">3rd Party</t>
  </si>
  <si>
    <t xml:space="preserve">F08</t>
  </si>
  <si>
    <t xml:space="preserve">3rd party/</t>
  </si>
  <si>
    <t xml:space="preserve">C219</t>
  </si>
  <si>
    <t xml:space="preserve">S18</t>
  </si>
  <si>
    <t xml:space="preserve">C01</t>
  </si>
  <si>
    <t xml:space="preserve">S07</t>
  </si>
  <si>
    <t xml:space="preserve">S19</t>
  </si>
  <si>
    <t xml:space="preserve">S88</t>
  </si>
  <si>
    <t xml:space="preserve">E57</t>
  </si>
  <si>
    <t xml:space="preserve">TOTAL</t>
  </si>
  <si>
    <t xml:space="preserve">Pasadena</t>
  </si>
  <si>
    <t xml:space="preserve">9KUB/9KUC</t>
  </si>
  <si>
    <t xml:space="preserve">Akzo/Filtrol</t>
  </si>
  <si>
    <t xml:space="preserve">Wheeler</t>
  </si>
  <si>
    <t xml:space="preserve">Filtrol</t>
  </si>
  <si>
    <t xml:space="preserve">CanFibre</t>
  </si>
  <si>
    <t xml:space="preserve">Smurfit</t>
  </si>
  <si>
    <t xml:space="preserve">9KUB</t>
  </si>
  <si>
    <t xml:space="preserve">Harbor Cogen</t>
  </si>
  <si>
    <t xml:space="preserve">Demand</t>
  </si>
  <si>
    <t xml:space="preserve">Top/Ehr</t>
  </si>
  <si>
    <t xml:space="preserve">50% Length</t>
  </si>
  <si>
    <t xml:space="preserve">Scheduled</t>
  </si>
  <si>
    <t xml:space="preserve">Imbalance</t>
  </si>
  <si>
    <t xml:space="preserve">TOP</t>
  </si>
  <si>
    <t xml:space="preserve">CA PROD</t>
  </si>
  <si>
    <t xml:space="preserve">07/07 K# 97YE</t>
  </si>
  <si>
    <t xml:space="preserve">07/06 P2702</t>
  </si>
  <si>
    <t xml:space="preserve">07/05 k# 97YG &amp; 97YW</t>
  </si>
  <si>
    <t xml:space="preserve">07/05 EPME 9LCG Coral Stg</t>
  </si>
  <si>
    <t xml:space="preserve">07/11 EPME 9LCG Coral Stg</t>
  </si>
  <si>
    <t xml:space="preserve">ACCESS DEMAND SPLIT</t>
  </si>
  <si>
    <t xml:space="preserve">EES</t>
  </si>
  <si>
    <t xml:space="preserve">El Paso</t>
  </si>
  <si>
    <t xml:space="preserve">Altrade/Sout</t>
  </si>
  <si>
    <t xml:space="preserve">Amoco</t>
  </si>
  <si>
    <t xml:space="preserve">Astra</t>
  </si>
  <si>
    <t xml:space="preserve">Deal #:</t>
  </si>
  <si>
    <t xml:space="preserve">Stor/</t>
  </si>
  <si>
    <t xml:space="preserve">152174/322688</t>
  </si>
  <si>
    <t xml:space="preserve">319215/319163/319024/324308/324414</t>
  </si>
  <si>
    <t xml:space="preserve">Z99</t>
  </si>
  <si>
    <t xml:space="preserve">97YW</t>
  </si>
  <si>
    <t xml:space="preserve">9KZR</t>
  </si>
  <si>
    <t xml:space="preserve">97YH</t>
  </si>
  <si>
    <t xml:space="preserve">ACCESS</t>
  </si>
  <si>
    <t xml:space="preserve">Non-ECT</t>
  </si>
  <si>
    <t xml:space="preserve">Date</t>
  </si>
  <si>
    <t xml:space="preserve">EPNG</t>
  </si>
  <si>
    <t xml:space="preserve">9KUB/9L4W Top</t>
  </si>
  <si>
    <t xml:space="preserve">9KUC-Ehr</t>
  </si>
  <si>
    <t xml:space="preserve">KS0202DD/KRS</t>
  </si>
  <si>
    <t xml:space="preserve">8255/TW</t>
  </si>
  <si>
    <t xml:space="preserve">BOOKOUT</t>
  </si>
  <si>
    <t xml:space="preserve">426J/Mojave</t>
  </si>
  <si>
    <t xml:space="preserve">26816/26884/27270 TW</t>
  </si>
  <si>
    <t xml:space="preserve">Stg</t>
  </si>
  <si>
    <t xml:space="preserve">DEMAND</t>
  </si>
  <si>
    <t xml:space="preserve">DIFFERENCE</t>
  </si>
  <si>
    <t xml:space="preserve">Socal Border Demand and Projections:</t>
  </si>
  <si>
    <t xml:space="preserve">MARKETS</t>
  </si>
  <si>
    <t xml:space="preserve">SUPPLIES</t>
  </si>
  <si>
    <t xml:space="preserve">EES BORDER DEMAND</t>
  </si>
  <si>
    <t xml:space="preserve">PHYSICAL STORAGE INJECTIONS</t>
  </si>
  <si>
    <t xml:space="preserve">NEGATIVE CARRYOVER</t>
  </si>
  <si>
    <t xml:space="preserve">TOLERANCE (10%)</t>
  </si>
  <si>
    <t xml:space="preserve">IMBALANCE SALES</t>
  </si>
  <si>
    <t xml:space="preserve">CUSTOMER DEMAND</t>
  </si>
  <si>
    <t xml:space="preserve">TOTAL BORDER DEMAND</t>
  </si>
  <si>
    <t xml:space="preserve">    STORAGE WITHDRAWAL</t>
  </si>
  <si>
    <t xml:space="preserve">POSITIVE CARRYOVER</t>
  </si>
  <si>
    <t xml:space="preserve">    EL PASO/TW    TO       SOCAL</t>
  </si>
  <si>
    <t xml:space="preserve">KERN, PG&amp;E, MOJAVE, &amp; T.W. TO BORDER</t>
  </si>
  <si>
    <t xml:space="preserve">IMBALANCE PURCHASES</t>
  </si>
  <si>
    <t xml:space="preserve">TOTAL BORDER SUPPLY</t>
  </si>
  <si>
    <t xml:space="preserve">ACTUALS THRU</t>
  </si>
  <si>
    <t xml:space="preserve">TOTAL     DAILY BALANCE LONG/(SHORT)</t>
  </si>
  <si>
    <t xml:space="preserve">MTD BALANCE LONG/(SHORT) </t>
  </si>
  <si>
    <t xml:space="preserve">DATE:</t>
  </si>
  <si>
    <t xml:space="preserve">Socal Imbalance Summary</t>
  </si>
  <si>
    <t xml:space="preserve">Monthly Projected</t>
  </si>
  <si>
    <t xml:space="preserve">Current Fow Date</t>
  </si>
  <si>
    <t xml:space="preserve">Month-to-Date</t>
  </si>
  <si>
    <t xml:space="preserve">Baseload Border Markets:</t>
  </si>
  <si>
    <t xml:space="preserve">Mkt. Positions</t>
  </si>
  <si>
    <t xml:space="preserve">Occidental Purchase Deal No. 107872</t>
  </si>
  <si>
    <t xml:space="preserve">Obligation Per Day:</t>
  </si>
  <si>
    <t xml:space="preserve">Total Monthly Obligation:</t>
  </si>
  <si>
    <t xml:space="preserve">Smurfit Stone Container</t>
  </si>
  <si>
    <t xml:space="preserve">Daily Obligation:</t>
  </si>
  <si>
    <t xml:space="preserve">Month-to-Date Obligation:</t>
  </si>
  <si>
    <t xml:space="preserve">City Of Glendale (Match Amoco)</t>
  </si>
  <si>
    <t xml:space="preserve">Daily Scheduled:</t>
  </si>
  <si>
    <t xml:space="preserve">Month-to-Date Scheduled:</t>
  </si>
  <si>
    <t xml:space="preserve">Daily Over/(Under):</t>
  </si>
  <si>
    <t xml:space="preserve">Month-to-Date Over/(Under):</t>
  </si>
  <si>
    <t xml:space="preserve">EOL Markets Baseload</t>
  </si>
  <si>
    <t xml:space="preserve">Total Baseload Mkts</t>
  </si>
  <si>
    <t xml:space="preserve">Non-EOL</t>
  </si>
  <si>
    <t xml:space="preserve">Swing Border Markets:</t>
  </si>
  <si>
    <t xml:space="preserve">EOL Markets Swing</t>
  </si>
  <si>
    <t xml:space="preserve">Total Swing Markets</t>
  </si>
  <si>
    <t xml:space="preserve">Total Markets</t>
  </si>
  <si>
    <t xml:space="preserve">     Plus:  EES Demand</t>
  </si>
  <si>
    <t xml:space="preserve">     Non-Core</t>
  </si>
  <si>
    <t xml:space="preserve">Firm Border Supplies:</t>
  </si>
  <si>
    <t xml:space="preserve">CA Hub (Also See Varying Deal Below)</t>
  </si>
  <si>
    <t xml:space="preserve">Coral (Match To City of Glendale)</t>
  </si>
  <si>
    <t xml:space="preserve">Vintage</t>
  </si>
  <si>
    <t xml:space="preserve">Weekdays Only</t>
  </si>
  <si>
    <t xml:space="preserve">EOL Supplies Baseload</t>
  </si>
  <si>
    <t xml:space="preserve">Total Baseload Supplies</t>
  </si>
  <si>
    <t xml:space="preserve">Swing Border Supplies:</t>
  </si>
  <si>
    <t xml:space="preserve">EOL Supplies Swing</t>
  </si>
  <si>
    <t xml:space="preserve">COOK</t>
  </si>
  <si>
    <t xml:space="preserve">PGE ENERGY</t>
  </si>
  <si>
    <t xml:space="preserve">Total Swing Supplies</t>
  </si>
  <si>
    <t xml:space="preserve">Total Supplies</t>
  </si>
  <si>
    <t xml:space="preserve">Daily Position Break-out</t>
  </si>
  <si>
    <t xml:space="preserve">Beginning Balance</t>
  </si>
  <si>
    <t xml:space="preserve">Net Demand for Transport</t>
  </si>
  <si>
    <t xml:space="preserve">Baseload Supply --  Non-EOL</t>
  </si>
  <si>
    <t xml:space="preserve">Baseload Supply --  EOL</t>
  </si>
  <si>
    <t xml:space="preserve">Total Transport</t>
  </si>
  <si>
    <t xml:space="preserve">EOL Swing Supply</t>
  </si>
  <si>
    <t xml:space="preserve">Non-EOL Swing Supply</t>
  </si>
  <si>
    <t xml:space="preserve">Baseload Market -- Non-EOL</t>
  </si>
  <si>
    <t xml:space="preserve">Baseload Market -- EOL</t>
  </si>
  <si>
    <t xml:space="preserve">Non-EOL Swing Market</t>
  </si>
  <si>
    <t xml:space="preserve">EOL Swing Market</t>
  </si>
  <si>
    <t xml:space="preserve">California Prod.</t>
  </si>
  <si>
    <t xml:space="preserve">Oxy Call over 20,000</t>
  </si>
  <si>
    <t xml:space="preserve">Transport to EES</t>
  </si>
  <si>
    <t xml:space="preserve">Extra KRS</t>
  </si>
  <si>
    <t xml:space="preserve">     Plus:  Swing Supplies</t>
  </si>
  <si>
    <t xml:space="preserve">Extra EPNG</t>
  </si>
  <si>
    <t xml:space="preserve">Total to EES</t>
  </si>
  <si>
    <t xml:space="preserve">El Paso cuts</t>
  </si>
  <si>
    <t xml:space="preserve">TW Cuts</t>
  </si>
  <si>
    <t xml:space="preserve">Ending Balance</t>
  </si>
  <si>
    <t xml:space="preserve">Next Day --</t>
  </si>
  <si>
    <t xml:space="preserve">Total Daily Balance:</t>
  </si>
  <si>
    <t xml:space="preserve">Assumptions</t>
  </si>
  <si>
    <t xml:space="preserve">Our Transport</t>
  </si>
  <si>
    <t xml:space="preserve">Border Purchases</t>
  </si>
  <si>
    <t xml:space="preserve">Daily ECT Imbalance:</t>
  </si>
  <si>
    <t xml:space="preserve">Jul Beg. Position</t>
  </si>
  <si>
    <t xml:space="preserve">Daily EES Imbalance:</t>
  </si>
  <si>
    <t xml:space="preserve">Purchases</t>
  </si>
  <si>
    <t xml:space="preserve">Total ECT/EES Daily Imbalance:</t>
  </si>
  <si>
    <t xml:space="preserve">=</t>
  </si>
  <si>
    <t xml:space="preserve">Wheeler Ridge</t>
  </si>
  <si>
    <t xml:space="preserve">Month-to-Date Imbalance   ECT:</t>
  </si>
  <si>
    <t xml:space="preserve">     Topock - 98UY</t>
  </si>
  <si>
    <t xml:space="preserve">Month-to-Date Imbalance   EES:</t>
  </si>
  <si>
    <t xml:space="preserve">Total Month-to-Date Imbalance:</t>
  </si>
  <si>
    <t xml:space="preserve">ECT Imbalance Projected at Month-End:</t>
  </si>
  <si>
    <t xml:space="preserve">Kern-Must sell</t>
  </si>
  <si>
    <t xml:space="preserve">EES Imbalance Projected at Month-End:</t>
  </si>
  <si>
    <t xml:space="preserve">Total Imbalance Projected at Month-End:</t>
  </si>
  <si>
    <t xml:space="preserve">TW </t>
  </si>
  <si>
    <t xml:space="preserve">Available to Sell</t>
  </si>
  <si>
    <t xml:space="preserve">    Less Market short</t>
  </si>
  <si>
    <t xml:space="preserve">(assumes no OFO's on weekends)</t>
  </si>
  <si>
    <t xml:space="preserve">     Less Pasadena, Can Fibre,Filtrol, Harbor,Smurfit</t>
  </si>
  <si>
    <t xml:space="preserve">assumes</t>
  </si>
  <si>
    <t xml:space="preserve">to ECT over 07/01 - 07/31</t>
  </si>
  <si>
    <t xml:space="preserve">     Less EES</t>
  </si>
  <si>
    <t xml:space="preserve">to EES over 07/01 - 07/31</t>
  </si>
  <si>
    <t xml:space="preserve">     less  mid month basloads</t>
  </si>
  <si>
    <t xml:space="preserve">accounts for the Oxy Plan to fulfill the 620000 total obligation</t>
  </si>
  <si>
    <t xml:space="preserve">Request</t>
  </si>
  <si>
    <t xml:space="preserve">5 Day Balancing</t>
  </si>
  <si>
    <t xml:space="preserve">Non-Core</t>
  </si>
  <si>
    <t xml:space="preserve">Total </t>
  </si>
  <si>
    <t xml:space="preserve">5 Day</t>
  </si>
  <si>
    <t xml:space="preserve">Access</t>
  </si>
  <si>
    <t xml:space="preserve">Total 5</t>
  </si>
  <si>
    <t xml:space="preserve">Usage</t>
  </si>
  <si>
    <t xml:space="preserve">Balance</t>
  </si>
  <si>
    <t xml:space="preserve">50% Demand</t>
  </si>
  <si>
    <t xml:space="preserve">Day Balance</t>
  </si>
  <si>
    <t xml:space="preserve">Hub Deals</t>
  </si>
  <si>
    <t xml:space="preserve">Deal No.:</t>
  </si>
  <si>
    <t xml:space="preserve">Daily Lend Deal</t>
  </si>
  <si>
    <t xml:space="preserve">Daily Sched</t>
  </si>
  <si>
    <t xml:space="preserve">Variance</t>
  </si>
  <si>
    <t xml:space="preserve">Obligation</t>
  </si>
  <si>
    <t xml:space="preserve">Daily Park Deal</t>
  </si>
  <si>
    <t xml:space="preserve">Occidental</t>
  </si>
  <si>
    <t xml:space="preserve">Deal No.</t>
  </si>
  <si>
    <t xml:space="preserve">Obligated Take</t>
  </si>
  <si>
    <t xml:space="preserve">Per Day</t>
  </si>
  <si>
    <t xml:space="preserve">Smurfit Accounts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</si>
</sst>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0"/>
    <numFmt numFmtId="167" formatCode="\$#,##0.000000"/>
    <numFmt numFmtId="168" formatCode="mmmm\-yy"/>
    <numFmt numFmtId="169" formatCode="#,##0"/>
    <numFmt numFmtId="170" formatCode="_(* #,##0_);_(* \(#,##0\);_(* \-??_);_(@_)"/>
    <numFmt numFmtId="171" formatCode="[$-409]d\-mmm"/>
    <numFmt numFmtId="172" formatCode="[$-409]#,##0_);[RED]\(#,##0\)"/>
    <numFmt numFmtId="173" formatCode="[$-409]m/d/yyyy"/>
    <numFmt numFmtId="174" formatCode="@"/>
    <numFmt numFmtId="175" formatCode="mmmm\-yyyy"/>
    <numFmt numFmtId="176" formatCode="0.0000"/>
    <numFmt numFmtId="177" formatCode="[$-409]#,##0_);\(#,##0\)"/>
    <numFmt numFmtId="178" formatCode="[$-409]m/d/yyyy\ h:mm"/>
    <numFmt numFmtId="179" formatCode="dd\-mmm\-yy"/>
    <numFmt numFmtId="180" formatCode="[$-409]d\-mmm\-yy"/>
    <numFmt numFmtId="181" formatCode="0%"/>
  </numFmts>
  <fonts count="4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0"/>
      <color rgb="FF003366"/>
      <name val="Arial"/>
      <family val="2"/>
    </font>
    <font>
      <b val="true"/>
      <sz val="10"/>
      <color rgb="FF800000"/>
      <name val="Arial"/>
      <family val="2"/>
    </font>
    <font>
      <sz val="10"/>
      <color rgb="FF000080"/>
      <name val="Arial"/>
      <family val="2"/>
    </font>
    <font>
      <sz val="10"/>
      <color rgb="FF0000FF"/>
      <name val="Arial"/>
      <family val="2"/>
    </font>
    <font>
      <b val="true"/>
      <u val="single"/>
      <sz val="14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24"/>
      <color rgb="FF000000"/>
      <name val="Arial"/>
      <family val="2"/>
    </font>
    <font>
      <sz val="24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b val="true"/>
      <u val="single"/>
      <sz val="9"/>
      <color rgb="FF000000"/>
      <name val="Arial"/>
      <family val="2"/>
    </font>
    <font>
      <b val="true"/>
      <sz val="7.5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4"/>
      <name val="Arial"/>
      <family val="2"/>
    </font>
    <font>
      <b val="true"/>
      <sz val="11"/>
      <color rgb="FF000080"/>
      <name val="Arial"/>
      <family val="2"/>
    </font>
    <font>
      <i val="true"/>
      <sz val="11"/>
      <name val="Arial"/>
      <family val="2"/>
    </font>
    <font>
      <b val="true"/>
      <sz val="11"/>
      <color rgb="FF800000"/>
      <name val="Arial"/>
      <family val="2"/>
    </font>
    <font>
      <b val="true"/>
      <sz val="10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00FF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1"/>
      <color rgb="FF800000"/>
      <name val="Arial"/>
      <family val="2"/>
    </font>
    <font>
      <b val="true"/>
      <sz val="11"/>
      <color rgb="FF000000"/>
      <name val="Arial"/>
      <family val="2"/>
    </font>
    <font>
      <b val="true"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99CC"/>
        <bgColor rgb="FFFF808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1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0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2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3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23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22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2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2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7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8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7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8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2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8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2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7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7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3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3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7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3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3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3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1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570960</xdr:colOff>
      <xdr:row>35</xdr:row>
      <xdr:rowOff>37800</xdr:rowOff>
    </xdr:from>
    <xdr:to>
      <xdr:col>17</xdr:col>
      <xdr:colOff>571680</xdr:colOff>
      <xdr:row>36</xdr:row>
      <xdr:rowOff>95760</xdr:rowOff>
    </xdr:to>
    <xdr:sp>
      <xdr:nvSpPr>
        <xdr:cNvPr id="0" name="Line 1"/>
        <xdr:cNvSpPr/>
      </xdr:nvSpPr>
      <xdr:spPr>
        <a:xfrm flipV="1">
          <a:off x="13788000" y="6767640"/>
          <a:ext cx="720" cy="219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5.99"/>
    <col collapsed="false" customWidth="true" hidden="false" outlineLevel="0" max="2" min="2" style="1" width="12.82"/>
    <col collapsed="false" customWidth="true" hidden="false" outlineLevel="0" max="3" min="3" style="2" width="22.15"/>
    <col collapsed="false" customWidth="true" hidden="false" outlineLevel="0" max="4" min="4" style="2" width="17.65"/>
    <col collapsed="false" customWidth="true" hidden="false" outlineLevel="0" max="5" min="5" style="2" width="19.99"/>
    <col collapsed="false" customWidth="true" hidden="false" outlineLevel="0" max="7" min="6" style="2" width="19.49"/>
    <col collapsed="false" customWidth="true" hidden="false" outlineLevel="0" max="9" min="8" style="2" width="16.15"/>
    <col collapsed="false" customWidth="true" hidden="false" outlineLevel="0" max="10" min="10" style="2" width="19.65"/>
    <col collapsed="false" customWidth="true" hidden="false" outlineLevel="0" max="13" min="11" style="2" width="19.15"/>
    <col collapsed="false" customWidth="true" hidden="false" outlineLevel="0" max="15" min="14" style="2" width="20.65"/>
    <col collapsed="false" customWidth="true" hidden="false" outlineLevel="0" max="16" min="16" style="2" width="18.15"/>
    <col collapsed="false" customWidth="true" hidden="false" outlineLevel="0" max="17" min="17" style="2" width="16.15"/>
    <col collapsed="false" customWidth="true" hidden="false" outlineLevel="0" max="18" min="18" style="2" width="17.82"/>
    <col collapsed="false" customWidth="true" hidden="false" outlineLevel="0" max="21" min="19" style="2" width="16.15"/>
    <col collapsed="false" customWidth="true" hidden="false" outlineLevel="0" max="23" min="22" style="2" width="17.82"/>
    <col collapsed="false" customWidth="true" hidden="false" outlineLevel="0" max="24" min="24" style="2" width="16.15"/>
    <col collapsed="false" customWidth="true" hidden="false" outlineLevel="0" max="27" min="25" style="2" width="18.82"/>
    <col collapsed="false" customWidth="true" hidden="false" outlineLevel="0" max="45" min="28" style="2" width="16.15"/>
    <col collapsed="false" customWidth="true" hidden="false" outlineLevel="0" max="46" min="46" style="3" width="15.15"/>
    <col collapsed="false" customWidth="true" hidden="false" outlineLevel="0" max="47" min="47" style="1" width="20.99"/>
    <col collapsed="false" customWidth="true" hidden="false" outlineLevel="0" max="58" min="48" style="2" width="16.15"/>
    <col collapsed="false" customWidth="true" hidden="false" outlineLevel="0" max="59" min="59" style="1" width="12.82"/>
    <col collapsed="false" customWidth="true" hidden="false" outlineLevel="0" max="60" min="60" style="4" width="12.82"/>
    <col collapsed="false" customWidth="true" hidden="false" outlineLevel="0" max="64" min="61" style="1" width="12.82"/>
    <col collapsed="false" customWidth="false" hidden="false" outlineLevel="0" max="257" min="65" style="1" width="9.32"/>
  </cols>
  <sheetData>
    <row r="1" customFormat="false" ht="18" hidden="false" customHeight="false" outlineLevel="0" collapsed="false">
      <c r="A1" s="5" t="s">
        <v>0</v>
      </c>
      <c r="B1" s="6"/>
      <c r="C1" s="7" t="n">
        <f aca="false">+BaseloadMarkets!B1</f>
        <v>36708</v>
      </c>
      <c r="D1" s="8" t="s">
        <v>1</v>
      </c>
      <c r="E1" s="8" t="s">
        <v>2</v>
      </c>
      <c r="F1" s="8" t="s">
        <v>3</v>
      </c>
      <c r="G1" s="8" t="s">
        <v>4</v>
      </c>
      <c r="H1" s="8"/>
      <c r="I1" s="8"/>
      <c r="J1" s="8"/>
      <c r="K1" s="8"/>
      <c r="L1" s="8"/>
      <c r="M1" s="8"/>
      <c r="N1" s="8"/>
      <c r="O1" s="8" t="n">
        <v>5</v>
      </c>
      <c r="P1" s="8" t="s">
        <v>5</v>
      </c>
      <c r="Q1" s="8" t="n">
        <v>4.86</v>
      </c>
      <c r="R1" s="8" t="s">
        <v>4</v>
      </c>
      <c r="S1" s="8" t="n">
        <v>5.04</v>
      </c>
      <c r="T1" s="8" t="n">
        <v>5.06</v>
      </c>
      <c r="U1" s="8" t="n">
        <v>4.9</v>
      </c>
      <c r="V1" s="8" t="n">
        <v>4.91</v>
      </c>
      <c r="W1" s="8" t="n">
        <v>5.04</v>
      </c>
      <c r="X1" s="8" t="n">
        <v>4.99</v>
      </c>
      <c r="Y1" s="8" t="n">
        <v>5.04</v>
      </c>
      <c r="Z1" s="8" t="n">
        <v>4.64</v>
      </c>
      <c r="AA1" s="8"/>
      <c r="AB1" s="5" t="n">
        <v>4.71</v>
      </c>
      <c r="AC1" s="8" t="n">
        <v>4.83</v>
      </c>
      <c r="AD1" s="8" t="n">
        <v>4.86</v>
      </c>
      <c r="AE1" s="8" t="s">
        <v>6</v>
      </c>
      <c r="AF1" s="8" t="n">
        <v>4.88</v>
      </c>
      <c r="AG1" s="8" t="n">
        <v>4.65</v>
      </c>
      <c r="AH1" s="8" t="n">
        <v>4.83</v>
      </c>
      <c r="AI1" s="8" t="n">
        <v>4.79</v>
      </c>
      <c r="AJ1" s="8" t="n">
        <v>4.86</v>
      </c>
      <c r="AK1" s="8" t="n">
        <v>4.54</v>
      </c>
      <c r="AL1" s="8" t="n">
        <v>4.75</v>
      </c>
      <c r="AM1" s="8"/>
      <c r="AN1" s="8"/>
      <c r="AO1" s="8"/>
      <c r="AP1" s="8"/>
      <c r="AQ1" s="8"/>
      <c r="AR1" s="8"/>
      <c r="AS1" s="8"/>
      <c r="AT1" s="8"/>
      <c r="AU1" s="8"/>
      <c r="AV1" s="8" t="s">
        <v>7</v>
      </c>
      <c r="AW1" s="8" t="n">
        <v>4.6</v>
      </c>
      <c r="AX1" s="8" t="n">
        <v>4.67</v>
      </c>
      <c r="AY1" s="8" t="n">
        <v>4.51</v>
      </c>
      <c r="AZ1" s="8" t="n">
        <v>4.51</v>
      </c>
      <c r="BA1" s="8"/>
      <c r="BB1" s="8"/>
      <c r="BC1" s="8"/>
      <c r="BD1" s="8"/>
      <c r="BE1" s="8"/>
      <c r="BF1" s="8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9" t="s">
        <v>8</v>
      </c>
      <c r="B2" s="10"/>
      <c r="C2" s="11"/>
      <c r="D2" s="11" t="s">
        <v>9</v>
      </c>
      <c r="E2" s="11" t="s">
        <v>10</v>
      </c>
      <c r="F2" s="11" t="s">
        <v>10</v>
      </c>
      <c r="G2" s="11" t="s">
        <v>11</v>
      </c>
      <c r="H2" s="11" t="s">
        <v>12</v>
      </c>
      <c r="I2" s="11" t="s">
        <v>12</v>
      </c>
      <c r="J2" s="11" t="s">
        <v>12</v>
      </c>
      <c r="K2" s="11" t="s">
        <v>12</v>
      </c>
      <c r="L2" s="11" t="s">
        <v>12</v>
      </c>
      <c r="M2" s="11" t="s">
        <v>12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15</v>
      </c>
      <c r="S2" s="11" t="s">
        <v>15</v>
      </c>
      <c r="T2" s="11" t="s">
        <v>15</v>
      </c>
      <c r="U2" s="11" t="s">
        <v>15</v>
      </c>
      <c r="V2" s="11" t="s">
        <v>15</v>
      </c>
      <c r="W2" s="11" t="s">
        <v>16</v>
      </c>
      <c r="X2" s="11" t="s">
        <v>16</v>
      </c>
      <c r="Y2" s="11" t="s">
        <v>17</v>
      </c>
      <c r="Z2" s="11" t="s">
        <v>18</v>
      </c>
      <c r="AA2" s="11" t="s">
        <v>12</v>
      </c>
      <c r="AB2" s="12" t="s">
        <v>19</v>
      </c>
      <c r="AC2" s="11" t="s">
        <v>9</v>
      </c>
      <c r="AD2" s="11" t="s">
        <v>9</v>
      </c>
      <c r="AE2" s="11" t="s">
        <v>20</v>
      </c>
      <c r="AF2" s="11" t="s">
        <v>18</v>
      </c>
      <c r="AG2" s="11" t="s">
        <v>19</v>
      </c>
      <c r="AH2" s="11" t="s">
        <v>9</v>
      </c>
      <c r="AI2" s="11" t="s">
        <v>21</v>
      </c>
      <c r="AJ2" s="11" t="s">
        <v>22</v>
      </c>
      <c r="AK2" s="11" t="s">
        <v>23</v>
      </c>
      <c r="AL2" s="11" t="s">
        <v>19</v>
      </c>
      <c r="AM2" s="11" t="s">
        <v>15</v>
      </c>
      <c r="AN2" s="11" t="s">
        <v>24</v>
      </c>
      <c r="AO2" s="11" t="s">
        <v>25</v>
      </c>
      <c r="AP2" s="11" t="s">
        <v>10</v>
      </c>
      <c r="AQ2" s="11" t="s">
        <v>26</v>
      </c>
      <c r="AR2" s="11" t="s">
        <v>27</v>
      </c>
      <c r="AS2" s="11" t="s">
        <v>21</v>
      </c>
      <c r="AT2" s="13" t="s">
        <v>28</v>
      </c>
      <c r="AU2" s="13" t="s">
        <v>29</v>
      </c>
      <c r="AV2" s="13" t="s">
        <v>18</v>
      </c>
      <c r="AW2" s="11" t="s">
        <v>30</v>
      </c>
      <c r="AX2" s="13" t="s">
        <v>31</v>
      </c>
      <c r="AY2" s="13" t="s">
        <v>32</v>
      </c>
      <c r="AZ2" s="13" t="s">
        <v>14</v>
      </c>
      <c r="BA2" s="13"/>
      <c r="BB2" s="13"/>
      <c r="BC2" s="13"/>
      <c r="BD2" s="13"/>
      <c r="BE2" s="13"/>
      <c r="BF2" s="11"/>
      <c r="BG2" s="14"/>
      <c r="BH2" s="11" t="s">
        <v>33</v>
      </c>
      <c r="BI2" s="11" t="s">
        <v>33</v>
      </c>
      <c r="BJ2" s="11" t="s">
        <v>33</v>
      </c>
      <c r="BK2" s="11" t="s">
        <v>33</v>
      </c>
      <c r="BL2" s="11" t="s">
        <v>33</v>
      </c>
      <c r="BM2" s="11" t="s">
        <v>33</v>
      </c>
      <c r="BN2" s="11" t="s">
        <v>33</v>
      </c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2.75" hidden="false" customHeight="false" outlineLevel="0" collapsed="false">
      <c r="A3" s="9" t="s">
        <v>34</v>
      </c>
      <c r="B3" s="15" t="s">
        <v>35</v>
      </c>
      <c r="C3" s="16" t="s">
        <v>35</v>
      </c>
      <c r="D3" s="17" t="s">
        <v>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6" t="s">
        <v>37</v>
      </c>
      <c r="AC3" s="17" t="s">
        <v>37</v>
      </c>
      <c r="AD3" s="17" t="s">
        <v>37</v>
      </c>
      <c r="AE3" s="17" t="s">
        <v>37</v>
      </c>
      <c r="AF3" s="17" t="s">
        <v>37</v>
      </c>
      <c r="AG3" s="17" t="s">
        <v>37</v>
      </c>
      <c r="AH3" s="17" t="s">
        <v>37</v>
      </c>
      <c r="AI3" s="17" t="s">
        <v>37</v>
      </c>
      <c r="AJ3" s="17" t="s">
        <v>37</v>
      </c>
      <c r="AK3" s="17" t="s">
        <v>37</v>
      </c>
      <c r="AL3" s="17" t="s">
        <v>37</v>
      </c>
      <c r="AM3" s="17" t="s">
        <v>37</v>
      </c>
      <c r="AN3" s="17" t="s">
        <v>37</v>
      </c>
      <c r="AO3" s="17" t="s">
        <v>37</v>
      </c>
      <c r="AP3" s="18" t="s">
        <v>37</v>
      </c>
      <c r="AQ3" s="18" t="s">
        <v>37</v>
      </c>
      <c r="AR3" s="18" t="s">
        <v>37</v>
      </c>
      <c r="AS3" s="18" t="s">
        <v>37</v>
      </c>
      <c r="AT3" s="19" t="s">
        <v>38</v>
      </c>
      <c r="AU3" s="18" t="s">
        <v>37</v>
      </c>
      <c r="AV3" s="19" t="s">
        <v>39</v>
      </c>
      <c r="AW3" s="17" t="s">
        <v>37</v>
      </c>
      <c r="AX3" s="19" t="s">
        <v>37</v>
      </c>
      <c r="AY3" s="19" t="s">
        <v>37</v>
      </c>
      <c r="AZ3" s="19" t="s">
        <v>37</v>
      </c>
      <c r="BA3" s="19"/>
      <c r="BB3" s="19"/>
      <c r="BC3" s="19"/>
      <c r="BD3" s="19"/>
      <c r="BE3" s="19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false" outlineLevel="0" collapsed="false">
      <c r="A4" s="9" t="s">
        <v>40</v>
      </c>
      <c r="B4" s="10"/>
      <c r="C4" s="12"/>
      <c r="D4" s="11" t="n">
        <v>107872</v>
      </c>
      <c r="E4" s="11" t="n">
        <v>213194</v>
      </c>
      <c r="F4" s="11" t="n">
        <v>292034</v>
      </c>
      <c r="G4" s="11" t="n">
        <v>291896</v>
      </c>
      <c r="H4" s="11" t="n">
        <v>131490</v>
      </c>
      <c r="I4" s="11" t="n">
        <v>168003</v>
      </c>
      <c r="J4" s="11" t="n">
        <v>168093</v>
      </c>
      <c r="K4" s="11" t="n">
        <v>245352</v>
      </c>
      <c r="L4" s="11" t="n">
        <v>301942</v>
      </c>
      <c r="M4" s="11"/>
      <c r="N4" s="11" t="n">
        <v>152174</v>
      </c>
      <c r="O4" s="11" t="n">
        <v>314835</v>
      </c>
      <c r="P4" s="11" t="n">
        <v>314616</v>
      </c>
      <c r="Q4" s="11" t="n">
        <v>312318</v>
      </c>
      <c r="R4" s="11" t="n">
        <v>305735</v>
      </c>
      <c r="S4" s="11" t="n">
        <v>314194</v>
      </c>
      <c r="T4" s="11" t="n">
        <v>314482</v>
      </c>
      <c r="U4" s="11" t="n">
        <v>316516</v>
      </c>
      <c r="V4" s="11" t="n">
        <v>316584</v>
      </c>
      <c r="W4" s="11" t="n">
        <v>314511</v>
      </c>
      <c r="X4" s="11" t="n">
        <v>314599</v>
      </c>
      <c r="Y4" s="11" t="n">
        <v>314321</v>
      </c>
      <c r="Z4" s="11" t="n">
        <v>321982</v>
      </c>
      <c r="AA4" s="11"/>
      <c r="AB4" s="12" t="n">
        <v>319402</v>
      </c>
      <c r="AC4" s="11" t="n">
        <v>319609</v>
      </c>
      <c r="AD4" s="11" t="n">
        <v>319627</v>
      </c>
      <c r="AE4" s="11" t="s">
        <v>41</v>
      </c>
      <c r="AF4" s="11" t="s">
        <v>42</v>
      </c>
      <c r="AG4" s="11" t="n">
        <v>319335</v>
      </c>
      <c r="AH4" s="11" t="n">
        <v>319696</v>
      </c>
      <c r="AI4" s="11" t="n">
        <v>320959</v>
      </c>
      <c r="AJ4" s="11" t="n">
        <v>320868</v>
      </c>
      <c r="AK4" s="11" t="s">
        <v>43</v>
      </c>
      <c r="AL4" s="11" t="n">
        <v>320686</v>
      </c>
      <c r="AM4" s="11" t="n">
        <v>326159</v>
      </c>
      <c r="AN4" s="11" t="n">
        <v>326269</v>
      </c>
      <c r="AO4" s="11" t="n">
        <v>326049</v>
      </c>
      <c r="AP4" s="11" t="n">
        <v>326482</v>
      </c>
      <c r="AQ4" s="11" t="n">
        <v>327402</v>
      </c>
      <c r="AR4" s="11" t="n">
        <v>327472</v>
      </c>
      <c r="AS4" s="11" t="n">
        <v>328307</v>
      </c>
      <c r="AT4" s="13" t="s">
        <v>44</v>
      </c>
      <c r="AU4" s="13" t="n">
        <v>330614</v>
      </c>
      <c r="AV4" s="13" t="n">
        <v>335791</v>
      </c>
      <c r="AW4" s="11" t="n">
        <v>340887</v>
      </c>
      <c r="AX4" s="13" t="n">
        <v>341242</v>
      </c>
      <c r="AY4" s="13" t="n">
        <v>344253</v>
      </c>
      <c r="AZ4" s="13" t="n">
        <v>344172</v>
      </c>
      <c r="BA4" s="13"/>
      <c r="BB4" s="13"/>
      <c r="BC4" s="13"/>
      <c r="BD4" s="13"/>
      <c r="BE4" s="13"/>
      <c r="BF4" s="11"/>
      <c r="BG4" s="11" t="s">
        <v>45</v>
      </c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false" outlineLevel="0" collapsed="false">
      <c r="A5" s="20" t="s">
        <v>46</v>
      </c>
      <c r="B5" s="21" t="s">
        <v>27</v>
      </c>
      <c r="C5" s="22" t="s">
        <v>47</v>
      </c>
      <c r="D5" s="22" t="s">
        <v>48</v>
      </c>
      <c r="E5" s="22" t="s">
        <v>49</v>
      </c>
      <c r="F5" s="22" t="s">
        <v>50</v>
      </c>
      <c r="G5" s="22" t="s">
        <v>51</v>
      </c>
      <c r="H5" s="22" t="s">
        <v>52</v>
      </c>
      <c r="I5" s="22" t="s">
        <v>52</v>
      </c>
      <c r="J5" s="22" t="s">
        <v>52</v>
      </c>
      <c r="K5" s="22" t="s">
        <v>52</v>
      </c>
      <c r="L5" s="22" t="s">
        <v>52</v>
      </c>
      <c r="M5" s="22" t="s">
        <v>52</v>
      </c>
      <c r="N5" s="22" t="s">
        <v>52</v>
      </c>
      <c r="O5" s="22" t="s">
        <v>49</v>
      </c>
      <c r="P5" s="22" t="s">
        <v>49</v>
      </c>
      <c r="Q5" s="22" t="s">
        <v>49</v>
      </c>
      <c r="R5" s="22" t="s">
        <v>49</v>
      </c>
      <c r="S5" s="22" t="s">
        <v>49</v>
      </c>
      <c r="T5" s="22" t="s">
        <v>49</v>
      </c>
      <c r="U5" s="22" t="s">
        <v>53</v>
      </c>
      <c r="V5" s="22" t="s">
        <v>49</v>
      </c>
      <c r="W5" s="22" t="s">
        <v>49</v>
      </c>
      <c r="X5" s="22" t="s">
        <v>49</v>
      </c>
      <c r="Y5" s="22" t="s">
        <v>48</v>
      </c>
      <c r="Z5" s="22" t="s">
        <v>53</v>
      </c>
      <c r="AA5" s="22" t="s">
        <v>51</v>
      </c>
      <c r="AB5" s="22" t="s">
        <v>49</v>
      </c>
      <c r="AC5" s="22" t="s">
        <v>54</v>
      </c>
      <c r="AD5" s="22" t="s">
        <v>48</v>
      </c>
      <c r="AE5" s="22" t="s">
        <v>55</v>
      </c>
      <c r="AF5" s="22" t="s">
        <v>55</v>
      </c>
      <c r="AG5" s="22" t="s">
        <v>49</v>
      </c>
      <c r="AH5" s="22" t="s">
        <v>48</v>
      </c>
      <c r="AI5" s="22" t="s">
        <v>52</v>
      </c>
      <c r="AJ5" s="22" t="s">
        <v>53</v>
      </c>
      <c r="AK5" s="22" t="s">
        <v>52</v>
      </c>
      <c r="AL5" s="22" t="s">
        <v>56</v>
      </c>
      <c r="AM5" s="22" t="s">
        <v>56</v>
      </c>
      <c r="AN5" s="22" t="s">
        <v>57</v>
      </c>
      <c r="AO5" s="22" t="s">
        <v>57</v>
      </c>
      <c r="AP5" s="22" t="s">
        <v>58</v>
      </c>
      <c r="AQ5" s="22" t="s">
        <v>59</v>
      </c>
      <c r="AR5" s="22" t="s">
        <v>52</v>
      </c>
      <c r="AS5" s="22" t="s">
        <v>52</v>
      </c>
      <c r="AT5" s="23" t="s">
        <v>49</v>
      </c>
      <c r="AU5" s="23" t="s">
        <v>60</v>
      </c>
      <c r="AV5" s="23" t="s">
        <v>60</v>
      </c>
      <c r="AW5" s="22" t="s">
        <v>60</v>
      </c>
      <c r="AX5" s="23" t="s">
        <v>61</v>
      </c>
      <c r="AY5" s="23"/>
      <c r="AZ5" s="23"/>
      <c r="BA5" s="23"/>
      <c r="BB5" s="23"/>
      <c r="BC5" s="23"/>
      <c r="BD5" s="23"/>
      <c r="BE5" s="23"/>
      <c r="BF5" s="22"/>
      <c r="BG5" s="21" t="s">
        <v>0</v>
      </c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24" t="n">
        <f aca="false">+BaseloadMarkets!A6</f>
        <v>36708</v>
      </c>
      <c r="B6" s="25" t="n">
        <v>3980</v>
      </c>
      <c r="C6" s="25" t="n">
        <f aca="false">14926-3980</f>
        <v>10946</v>
      </c>
      <c r="D6" s="25" t="n">
        <v>30000</v>
      </c>
      <c r="E6" s="25" t="n">
        <v>10000</v>
      </c>
      <c r="F6" s="25" t="n">
        <v>10000</v>
      </c>
      <c r="G6" s="25" t="n">
        <v>5000</v>
      </c>
      <c r="H6" s="25" t="n">
        <v>5000</v>
      </c>
      <c r="I6" s="25" t="n">
        <v>968</v>
      </c>
      <c r="J6" s="25" t="n">
        <v>4193</v>
      </c>
      <c r="K6" s="25" t="n">
        <v>4000</v>
      </c>
      <c r="L6" s="25" t="n">
        <v>10000</v>
      </c>
      <c r="M6" s="25"/>
      <c r="N6" s="25" t="n">
        <v>0</v>
      </c>
      <c r="O6" s="25" t="n">
        <v>5000</v>
      </c>
      <c r="P6" s="25" t="n">
        <v>4178</v>
      </c>
      <c r="Q6" s="25" t="n">
        <v>10000</v>
      </c>
      <c r="R6" s="25" t="n">
        <v>10000</v>
      </c>
      <c r="S6" s="25" t="n">
        <v>10000</v>
      </c>
      <c r="T6" s="25" t="n">
        <v>10000</v>
      </c>
      <c r="U6" s="25" t="n">
        <f aca="false">3400+5165+2489</f>
        <v>11054</v>
      </c>
      <c r="V6" s="25" t="n">
        <v>18056</v>
      </c>
      <c r="W6" s="25" t="n">
        <v>8094</v>
      </c>
      <c r="X6" s="25" t="n">
        <v>9420</v>
      </c>
      <c r="Y6" s="25" t="n">
        <v>3000</v>
      </c>
      <c r="Z6" s="25"/>
      <c r="AA6" s="25"/>
      <c r="AB6" s="25" t="n">
        <v>4942</v>
      </c>
      <c r="AC6" s="25" t="n">
        <v>14000</v>
      </c>
      <c r="AD6" s="25" t="n">
        <v>16000</v>
      </c>
      <c r="AE6" s="25" t="n">
        <v>20000</v>
      </c>
      <c r="AF6" s="25" t="n">
        <v>12310</v>
      </c>
      <c r="AG6" s="25" t="n">
        <v>9890</v>
      </c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6"/>
      <c r="AU6" s="26"/>
      <c r="AV6" s="26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7" t="n">
        <f aca="false">SUM(B6:BF6)</f>
        <v>270031</v>
      </c>
      <c r="BH6" s="28" t="n">
        <f aca="false">A6</f>
        <v>36708</v>
      </c>
      <c r="BI6" s="29"/>
      <c r="BJ6" s="29"/>
      <c r="BK6" s="30"/>
      <c r="BL6" s="30"/>
    </row>
    <row r="7" customFormat="false" ht="12.75" hidden="false" customHeight="false" outlineLevel="0" collapsed="false">
      <c r="A7" s="24" t="n">
        <f aca="false">+BaseloadMarkets!A7</f>
        <v>36709</v>
      </c>
      <c r="B7" s="25" t="n">
        <v>3980</v>
      </c>
      <c r="C7" s="25" t="n">
        <f aca="false">17964-3980</f>
        <v>13984</v>
      </c>
      <c r="D7" s="25" t="n">
        <v>0</v>
      </c>
      <c r="E7" s="25" t="n">
        <v>10000</v>
      </c>
      <c r="F7" s="25" t="n">
        <v>10000</v>
      </c>
      <c r="G7" s="25" t="n">
        <v>5000</v>
      </c>
      <c r="H7" s="25" t="n">
        <v>5000</v>
      </c>
      <c r="I7" s="25" t="n">
        <v>968</v>
      </c>
      <c r="J7" s="25" t="n">
        <v>4193</v>
      </c>
      <c r="K7" s="25" t="n">
        <v>4000</v>
      </c>
      <c r="L7" s="25" t="n">
        <v>10000</v>
      </c>
      <c r="M7" s="25"/>
      <c r="N7" s="25" t="n">
        <v>0</v>
      </c>
      <c r="O7" s="25" t="n">
        <v>5000</v>
      </c>
      <c r="P7" s="25" t="n">
        <v>4178</v>
      </c>
      <c r="Q7" s="25" t="n">
        <v>10000</v>
      </c>
      <c r="R7" s="25" t="n">
        <v>10000</v>
      </c>
      <c r="S7" s="25" t="n">
        <v>10000</v>
      </c>
      <c r="T7" s="25" t="n">
        <v>10000</v>
      </c>
      <c r="U7" s="25" t="n">
        <f aca="false">2310+2316+4807</f>
        <v>9433</v>
      </c>
      <c r="V7" s="25" t="n">
        <v>16215</v>
      </c>
      <c r="W7" s="25" t="n">
        <v>6788</v>
      </c>
      <c r="X7" s="25" t="n">
        <v>8705</v>
      </c>
      <c r="Y7" s="25" t="n">
        <v>3000</v>
      </c>
      <c r="Z7" s="25"/>
      <c r="AA7" s="25"/>
      <c r="AB7" s="25" t="n">
        <v>5746</v>
      </c>
      <c r="AC7" s="25" t="n">
        <v>14000</v>
      </c>
      <c r="AD7" s="25" t="n">
        <v>16000</v>
      </c>
      <c r="AE7" s="25" t="n">
        <v>20000</v>
      </c>
      <c r="AF7" s="25" t="n">
        <v>11892</v>
      </c>
      <c r="AG7" s="25" t="n">
        <v>11492</v>
      </c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6"/>
      <c r="AU7" s="26"/>
      <c r="AV7" s="26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7" t="n">
        <f aca="false">SUM(B7:BF7)</f>
        <v>239574</v>
      </c>
      <c r="BH7" s="28" t="n">
        <f aca="false">BH6+1</f>
        <v>36709</v>
      </c>
      <c r="BI7" s="29"/>
      <c r="BJ7" s="29"/>
      <c r="BK7" s="30"/>
      <c r="BL7" s="30"/>
    </row>
    <row r="8" customFormat="false" ht="12.75" hidden="false" customHeight="false" outlineLevel="0" collapsed="false">
      <c r="A8" s="24" t="n">
        <f aca="false">+BaseloadMarkets!A8</f>
        <v>36710</v>
      </c>
      <c r="B8" s="25" t="n">
        <v>3980</v>
      </c>
      <c r="C8" s="25" t="n">
        <f aca="false">16607-3980</f>
        <v>12627</v>
      </c>
      <c r="D8" s="25" t="n">
        <v>10000</v>
      </c>
      <c r="E8" s="25" t="n">
        <v>10000</v>
      </c>
      <c r="F8" s="25" t="n">
        <v>10000</v>
      </c>
      <c r="G8" s="25" t="n">
        <v>5000</v>
      </c>
      <c r="H8" s="25" t="n">
        <v>5000</v>
      </c>
      <c r="I8" s="25" t="n">
        <v>965</v>
      </c>
      <c r="J8" s="25" t="n">
        <v>4182</v>
      </c>
      <c r="K8" s="25" t="n">
        <v>4000</v>
      </c>
      <c r="L8" s="25" t="n">
        <v>10000</v>
      </c>
      <c r="M8" s="25"/>
      <c r="N8" s="25" t="n">
        <v>2491</v>
      </c>
      <c r="O8" s="25" t="n">
        <v>5000</v>
      </c>
      <c r="P8" s="25" t="n">
        <v>4178</v>
      </c>
      <c r="Q8" s="25" t="n">
        <v>10000</v>
      </c>
      <c r="R8" s="25" t="n">
        <v>10000</v>
      </c>
      <c r="S8" s="25" t="n">
        <v>10000</v>
      </c>
      <c r="T8" s="25" t="n">
        <v>10000</v>
      </c>
      <c r="U8" s="25" t="n">
        <f aca="false">5039+3061+1852</f>
        <v>9952</v>
      </c>
      <c r="V8" s="25" t="n">
        <v>17080</v>
      </c>
      <c r="W8" s="25" t="n">
        <v>7556</v>
      </c>
      <c r="X8" s="25" t="n">
        <v>9125</v>
      </c>
      <c r="Y8" s="25" t="n">
        <v>3000</v>
      </c>
      <c r="Z8" s="25"/>
      <c r="AA8" s="25"/>
      <c r="AB8" s="25" t="n">
        <v>5752</v>
      </c>
      <c r="AC8" s="25" t="n">
        <v>14000</v>
      </c>
      <c r="AD8" s="25" t="n">
        <v>16000</v>
      </c>
      <c r="AE8" s="25" t="n">
        <v>20000</v>
      </c>
      <c r="AF8" s="25" t="n">
        <v>11457</v>
      </c>
      <c r="AG8" s="25" t="n">
        <v>11505</v>
      </c>
      <c r="AH8" s="25" t="n">
        <v>15000</v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6"/>
      <c r="AU8" s="26"/>
      <c r="AV8" s="26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7" t="n">
        <f aca="false">SUM(B8:BF8)</f>
        <v>267850</v>
      </c>
      <c r="BH8" s="28" t="n">
        <f aca="false">BH7+1</f>
        <v>36710</v>
      </c>
      <c r="BI8" s="29"/>
      <c r="BJ8" s="29"/>
      <c r="BK8" s="30"/>
      <c r="BL8" s="30"/>
    </row>
    <row r="9" customFormat="false" ht="12.75" hidden="false" customHeight="false" outlineLevel="0" collapsed="false">
      <c r="A9" s="24" t="n">
        <f aca="false">+BaseloadMarkets!A9</f>
        <v>36711</v>
      </c>
      <c r="B9" s="25" t="n">
        <v>3980</v>
      </c>
      <c r="C9" s="25" t="n">
        <f aca="false">13677-3980</f>
        <v>9697</v>
      </c>
      <c r="D9" s="25" t="n">
        <v>0</v>
      </c>
      <c r="E9" s="25" t="n">
        <v>10000</v>
      </c>
      <c r="F9" s="25" t="n">
        <v>10000</v>
      </c>
      <c r="G9" s="25" t="n">
        <v>5000</v>
      </c>
      <c r="H9" s="25" t="n">
        <v>5000</v>
      </c>
      <c r="I9" s="25" t="n">
        <v>968</v>
      </c>
      <c r="J9" s="25" t="n">
        <v>4193</v>
      </c>
      <c r="K9" s="25" t="n">
        <v>4000</v>
      </c>
      <c r="L9" s="25" t="n">
        <v>10000</v>
      </c>
      <c r="M9" s="25"/>
      <c r="N9" s="25" t="n">
        <v>0</v>
      </c>
      <c r="O9" s="25" t="n">
        <v>5000</v>
      </c>
      <c r="P9" s="25" t="n">
        <v>4178</v>
      </c>
      <c r="Q9" s="25" t="n">
        <v>10000</v>
      </c>
      <c r="R9" s="25" t="n">
        <v>10000</v>
      </c>
      <c r="S9" s="25" t="n">
        <v>10000</v>
      </c>
      <c r="T9" s="25" t="n">
        <v>10000</v>
      </c>
      <c r="U9" s="25" t="n">
        <f aca="false">2497+8326+3703</f>
        <v>14526</v>
      </c>
      <c r="V9" s="25" t="n">
        <v>16349</v>
      </c>
      <c r="W9" s="25" t="n">
        <v>6506</v>
      </c>
      <c r="X9" s="25" t="n">
        <f aca="false">5000+3552</f>
        <v>8552</v>
      </c>
      <c r="Y9" s="25" t="n">
        <v>3000</v>
      </c>
      <c r="Z9" s="25"/>
      <c r="AA9" s="25"/>
      <c r="AB9" s="25" t="n">
        <v>5818</v>
      </c>
      <c r="AC9" s="25" t="n">
        <v>14000</v>
      </c>
      <c r="AD9" s="25" t="n">
        <v>16000</v>
      </c>
      <c r="AE9" s="25" t="n">
        <v>20000</v>
      </c>
      <c r="AF9" s="25" t="n">
        <f aca="false">4000+4222+631+2585</f>
        <v>11438</v>
      </c>
      <c r="AG9" s="25" t="n">
        <v>11638</v>
      </c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6"/>
      <c r="AU9" s="26"/>
      <c r="AV9" s="26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7" t="n">
        <f aca="false">SUM(B9:BF9)</f>
        <v>239843</v>
      </c>
      <c r="BH9" s="28" t="n">
        <f aca="false">BH8+1</f>
        <v>36711</v>
      </c>
      <c r="BI9" s="29"/>
      <c r="BJ9" s="29"/>
      <c r="BK9" s="30"/>
      <c r="BL9" s="30"/>
    </row>
    <row r="10" customFormat="false" ht="12.75" hidden="false" customHeight="false" outlineLevel="0" collapsed="false">
      <c r="A10" s="24" t="n">
        <f aca="false">+BaseloadMarkets!A10</f>
        <v>36712</v>
      </c>
      <c r="B10" s="25" t="n">
        <v>3980</v>
      </c>
      <c r="C10" s="25" t="n">
        <f aca="false">27378-3980</f>
        <v>23398</v>
      </c>
      <c r="D10" s="25" t="n">
        <v>30000</v>
      </c>
      <c r="E10" s="25" t="n">
        <v>10000</v>
      </c>
      <c r="F10" s="25" t="n">
        <v>10000</v>
      </c>
      <c r="G10" s="25" t="n">
        <v>5000</v>
      </c>
      <c r="H10" s="25" t="n">
        <v>5000</v>
      </c>
      <c r="I10" s="25" t="n">
        <v>968</v>
      </c>
      <c r="J10" s="25" t="n">
        <v>4193</v>
      </c>
      <c r="K10" s="25" t="n">
        <v>4000</v>
      </c>
      <c r="L10" s="25" t="n">
        <v>10000</v>
      </c>
      <c r="M10" s="25"/>
      <c r="N10" s="25" t="n">
        <v>2500</v>
      </c>
      <c r="O10" s="25" t="n">
        <v>5000</v>
      </c>
      <c r="P10" s="25" t="n">
        <v>4178</v>
      </c>
      <c r="Q10" s="25" t="n">
        <v>10000</v>
      </c>
      <c r="R10" s="25" t="n">
        <v>10000</v>
      </c>
      <c r="S10" s="25" t="n">
        <v>10000</v>
      </c>
      <c r="T10" s="25" t="n">
        <v>10000</v>
      </c>
      <c r="U10" s="25" t="n">
        <f aca="false">2604+2430+5611</f>
        <v>10645</v>
      </c>
      <c r="V10" s="25" t="n">
        <v>20000</v>
      </c>
      <c r="W10" s="25" t="n">
        <v>5948</v>
      </c>
      <c r="X10" s="25" t="n">
        <f aca="false">5000+3240</f>
        <v>8240</v>
      </c>
      <c r="Y10" s="25" t="n">
        <v>3000</v>
      </c>
      <c r="Z10" s="25"/>
      <c r="AA10" s="25"/>
      <c r="AB10" s="25" t="n">
        <v>5774</v>
      </c>
      <c r="AC10" s="25"/>
      <c r="AD10" s="25" t="n">
        <v>16000</v>
      </c>
      <c r="AE10" s="25" t="n">
        <v>20000</v>
      </c>
      <c r="AF10" s="25" t="n">
        <v>11381</v>
      </c>
      <c r="AG10" s="25" t="n">
        <v>11551</v>
      </c>
      <c r="AH10" s="25"/>
      <c r="AI10" s="25"/>
      <c r="AJ10" s="25"/>
      <c r="AK10" s="25"/>
      <c r="AL10" s="25" t="n">
        <v>17044</v>
      </c>
      <c r="AM10" s="25"/>
      <c r="AN10" s="25"/>
      <c r="AO10" s="25"/>
      <c r="AP10" s="25"/>
      <c r="AQ10" s="25"/>
      <c r="AR10" s="25"/>
      <c r="AS10" s="25"/>
      <c r="AT10" s="26"/>
      <c r="AU10" s="26"/>
      <c r="AV10" s="26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7" t="n">
        <f aca="false">SUM(B10:BF10)</f>
        <v>287800</v>
      </c>
      <c r="BH10" s="28" t="n">
        <f aca="false">BH9+1</f>
        <v>36712</v>
      </c>
      <c r="BI10" s="29"/>
      <c r="BJ10" s="29"/>
      <c r="BK10" s="30"/>
      <c r="BL10" s="30"/>
    </row>
    <row r="11" customFormat="false" ht="12.75" hidden="false" customHeight="false" outlineLevel="0" collapsed="false">
      <c r="A11" s="24" t="n">
        <f aca="false">+BaseloadMarkets!A11</f>
        <v>36713</v>
      </c>
      <c r="B11" s="25" t="n">
        <v>3981</v>
      </c>
      <c r="C11" s="25" t="n">
        <f aca="false">4890-1</f>
        <v>4889</v>
      </c>
      <c r="D11" s="25" t="n">
        <v>30000</v>
      </c>
      <c r="E11" s="25" t="n">
        <v>10000</v>
      </c>
      <c r="F11" s="25" t="n">
        <v>10000</v>
      </c>
      <c r="G11" s="25" t="n">
        <v>5000</v>
      </c>
      <c r="H11" s="25" t="n">
        <v>5000</v>
      </c>
      <c r="I11" s="25" t="n">
        <v>887</v>
      </c>
      <c r="J11" s="25" t="n">
        <v>3926</v>
      </c>
      <c r="K11" s="25" t="n">
        <v>4000</v>
      </c>
      <c r="L11" s="25" t="n">
        <v>10000</v>
      </c>
      <c r="M11" s="25"/>
      <c r="N11" s="25" t="n">
        <v>2290</v>
      </c>
      <c r="O11" s="25" t="n">
        <v>5000</v>
      </c>
      <c r="P11" s="25" t="n">
        <v>4178</v>
      </c>
      <c r="Q11" s="25" t="n">
        <v>6091</v>
      </c>
      <c r="R11" s="25" t="n">
        <v>6091</v>
      </c>
      <c r="S11" s="25" t="n">
        <v>6091</v>
      </c>
      <c r="T11" s="25" t="n">
        <v>6091</v>
      </c>
      <c r="U11" s="25" t="n">
        <f aca="false">5936+2861+2720</f>
        <v>11517</v>
      </c>
      <c r="V11" s="25" t="n">
        <v>12179</v>
      </c>
      <c r="W11" s="25" t="n">
        <f aca="false">3055+3055</f>
        <v>6110</v>
      </c>
      <c r="X11" s="25" t="n">
        <v>6350</v>
      </c>
      <c r="Y11" s="25" t="n">
        <v>3000</v>
      </c>
      <c r="Z11" s="25"/>
      <c r="AA11" s="25"/>
      <c r="AB11" s="25"/>
      <c r="AC11" s="25"/>
      <c r="AD11" s="25"/>
      <c r="AE11" s="25"/>
      <c r="AF11" s="25"/>
      <c r="AG11" s="25" t="n">
        <v>5946</v>
      </c>
      <c r="AH11" s="25"/>
      <c r="AI11" s="25" t="n">
        <v>20000</v>
      </c>
      <c r="AJ11" s="25" t="n">
        <v>10000</v>
      </c>
      <c r="AK11" s="25"/>
      <c r="AL11" s="25"/>
      <c r="AM11" s="25"/>
      <c r="AN11" s="25"/>
      <c r="AO11" s="25"/>
      <c r="AP11" s="25"/>
      <c r="AQ11" s="25"/>
      <c r="AR11" s="25"/>
      <c r="AS11" s="25"/>
      <c r="AT11" s="26"/>
      <c r="AU11" s="26"/>
      <c r="AV11" s="26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7" t="n">
        <f aca="false">SUM(B11:BF11)</f>
        <v>198617</v>
      </c>
      <c r="BH11" s="28" t="n">
        <f aca="false">BH10+1</f>
        <v>36713</v>
      </c>
      <c r="BI11" s="29"/>
      <c r="BJ11" s="29"/>
      <c r="BK11" s="30"/>
      <c r="BL11" s="30"/>
    </row>
    <row r="12" customFormat="false" ht="12.75" hidden="false" customHeight="false" outlineLevel="0" collapsed="false">
      <c r="A12" s="24" t="n">
        <f aca="false">+BaseloadMarkets!A12</f>
        <v>36714</v>
      </c>
      <c r="B12" s="25" t="n">
        <v>3981</v>
      </c>
      <c r="C12" s="25" t="n">
        <f aca="false">21980-3981</f>
        <v>17999</v>
      </c>
      <c r="D12" s="25" t="n">
        <v>30000</v>
      </c>
      <c r="E12" s="25" t="n">
        <v>10000</v>
      </c>
      <c r="F12" s="25" t="n">
        <v>10000</v>
      </c>
      <c r="G12" s="25" t="n">
        <v>5000</v>
      </c>
      <c r="H12" s="25" t="n">
        <v>5000</v>
      </c>
      <c r="I12" s="25" t="n">
        <v>968</v>
      </c>
      <c r="J12" s="25" t="n">
        <v>4189</v>
      </c>
      <c r="K12" s="25" t="n">
        <v>4000</v>
      </c>
      <c r="L12" s="25" t="n">
        <v>10000</v>
      </c>
      <c r="M12" s="25" t="n">
        <v>6777</v>
      </c>
      <c r="N12" s="25" t="n">
        <v>2497</v>
      </c>
      <c r="O12" s="25" t="n">
        <v>5000</v>
      </c>
      <c r="P12" s="25" t="n">
        <v>4178</v>
      </c>
      <c r="Q12" s="25" t="n">
        <v>10000</v>
      </c>
      <c r="R12" s="25" t="n">
        <v>10000</v>
      </c>
      <c r="S12" s="25" t="n">
        <v>10000</v>
      </c>
      <c r="T12" s="25" t="n">
        <v>10000</v>
      </c>
      <c r="U12" s="25" t="n">
        <f aca="false">6572+3130+2895</f>
        <v>12597</v>
      </c>
      <c r="V12" s="25" t="n">
        <v>20000</v>
      </c>
      <c r="W12" s="25" t="n">
        <f aca="false">3369+3369</f>
        <v>6738</v>
      </c>
      <c r="X12" s="25" t="n">
        <v>2922</v>
      </c>
      <c r="Y12" s="25" t="n">
        <v>3000</v>
      </c>
      <c r="Z12" s="25" t="n">
        <v>2000</v>
      </c>
      <c r="AA12" s="25"/>
      <c r="AB12" s="25" t="n">
        <v>20000</v>
      </c>
      <c r="AC12" s="25"/>
      <c r="AD12" s="25"/>
      <c r="AE12" s="25"/>
      <c r="AF12" s="25"/>
      <c r="AG12" s="25"/>
      <c r="AH12" s="25"/>
      <c r="AI12" s="25"/>
      <c r="AJ12" s="25"/>
      <c r="AK12" s="25" t="n">
        <v>2955</v>
      </c>
      <c r="AL12" s="25"/>
      <c r="AM12" s="25"/>
      <c r="AN12" s="25"/>
      <c r="AO12" s="25"/>
      <c r="AP12" s="25"/>
      <c r="AQ12" s="25"/>
      <c r="AR12" s="25"/>
      <c r="AS12" s="25"/>
      <c r="AT12" s="26"/>
      <c r="AU12" s="26"/>
      <c r="AV12" s="26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7" t="n">
        <f aca="false">SUM(B12:BF12)</f>
        <v>229801</v>
      </c>
      <c r="BH12" s="28" t="n">
        <f aca="false">BH11+1</f>
        <v>36714</v>
      </c>
      <c r="BI12" s="29"/>
      <c r="BJ12" s="29"/>
      <c r="BK12" s="30"/>
      <c r="BL12" s="30"/>
    </row>
    <row r="13" customFormat="false" ht="12.75" hidden="false" customHeight="false" outlineLevel="0" collapsed="false">
      <c r="A13" s="24" t="n">
        <f aca="false">+BaseloadMarkets!A13</f>
        <v>36715</v>
      </c>
      <c r="B13" s="25" t="n">
        <v>3980</v>
      </c>
      <c r="C13" s="25"/>
      <c r="D13" s="25" t="n">
        <v>0</v>
      </c>
      <c r="E13" s="25" t="n">
        <v>10000</v>
      </c>
      <c r="F13" s="25" t="n">
        <v>10000</v>
      </c>
      <c r="G13" s="25" t="n">
        <v>5000</v>
      </c>
      <c r="H13" s="25" t="n">
        <v>5000</v>
      </c>
      <c r="I13" s="25" t="n">
        <v>876</v>
      </c>
      <c r="J13" s="25" t="n">
        <v>3890</v>
      </c>
      <c r="K13" s="25" t="n">
        <v>4000</v>
      </c>
      <c r="L13" s="25" t="n">
        <v>10000</v>
      </c>
      <c r="M13" s="25" t="n">
        <v>6141</v>
      </c>
      <c r="N13" s="25" t="n">
        <v>0</v>
      </c>
      <c r="O13" s="25" t="n">
        <v>5000</v>
      </c>
      <c r="P13" s="25" t="n">
        <v>4178</v>
      </c>
      <c r="Q13" s="25" t="n">
        <v>10000</v>
      </c>
      <c r="R13" s="25" t="n">
        <v>10000</v>
      </c>
      <c r="S13" s="25" t="n">
        <v>10000</v>
      </c>
      <c r="T13" s="25" t="n">
        <v>10000</v>
      </c>
      <c r="U13" s="25" t="n">
        <f aca="false">6820+3168+2931</f>
        <v>12919</v>
      </c>
      <c r="V13" s="25" t="n">
        <v>20000</v>
      </c>
      <c r="W13" s="25" t="n">
        <f aca="false">2976+2976</f>
        <v>5952</v>
      </c>
      <c r="X13" s="25" t="n">
        <v>6229</v>
      </c>
      <c r="Y13" s="25" t="n">
        <v>3000</v>
      </c>
      <c r="Z13" s="25" t="n">
        <v>2000</v>
      </c>
      <c r="AA13" s="25"/>
      <c r="AB13" s="25" t="n">
        <v>20000</v>
      </c>
      <c r="AC13" s="25"/>
      <c r="AD13" s="25"/>
      <c r="AE13" s="25"/>
      <c r="AF13" s="25"/>
      <c r="AG13" s="25"/>
      <c r="AH13" s="25"/>
      <c r="AI13" s="25"/>
      <c r="AJ13" s="25"/>
      <c r="AK13" s="25" t="n">
        <v>2675</v>
      </c>
      <c r="AL13" s="25"/>
      <c r="AM13" s="25"/>
      <c r="AN13" s="25"/>
      <c r="AO13" s="25"/>
      <c r="AP13" s="25"/>
      <c r="AQ13" s="25"/>
      <c r="AR13" s="25"/>
      <c r="AS13" s="25"/>
      <c r="AT13" s="26"/>
      <c r="AU13" s="26"/>
      <c r="AV13" s="26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7" t="n">
        <f aca="false">SUM(B13:BF13)</f>
        <v>180840</v>
      </c>
      <c r="BH13" s="28" t="n">
        <f aca="false">BH12+1</f>
        <v>36715</v>
      </c>
      <c r="BI13" s="29"/>
      <c r="BJ13" s="29"/>
      <c r="BK13" s="30"/>
      <c r="BL13" s="30"/>
    </row>
    <row r="14" customFormat="false" ht="12.75" hidden="false" customHeight="false" outlineLevel="0" collapsed="false">
      <c r="A14" s="24" t="n">
        <f aca="false">+BaseloadMarkets!A14</f>
        <v>36716</v>
      </c>
      <c r="B14" s="25" t="n">
        <v>3980</v>
      </c>
      <c r="C14" s="25"/>
      <c r="D14" s="25" t="n">
        <v>0</v>
      </c>
      <c r="E14" s="25" t="n">
        <v>10000</v>
      </c>
      <c r="F14" s="25" t="n">
        <v>10000</v>
      </c>
      <c r="G14" s="25" t="n">
        <v>5000</v>
      </c>
      <c r="H14" s="25" t="n">
        <v>5000</v>
      </c>
      <c r="I14" s="25" t="n">
        <v>968</v>
      </c>
      <c r="J14" s="25" t="n">
        <v>4193</v>
      </c>
      <c r="K14" s="25" t="n">
        <v>4000</v>
      </c>
      <c r="L14" s="25" t="n">
        <v>10000</v>
      </c>
      <c r="M14" s="25" t="n">
        <v>6785</v>
      </c>
      <c r="N14" s="25" t="n">
        <v>0</v>
      </c>
      <c r="O14" s="25" t="n">
        <v>5000</v>
      </c>
      <c r="P14" s="25" t="n">
        <v>4178</v>
      </c>
      <c r="Q14" s="25" t="n">
        <v>10000</v>
      </c>
      <c r="R14" s="25" t="n">
        <v>10000</v>
      </c>
      <c r="S14" s="25" t="n">
        <v>10000</v>
      </c>
      <c r="T14" s="25" t="n">
        <v>10000</v>
      </c>
      <c r="U14" s="25" t="n">
        <f aca="false">4757+2292+2119</f>
        <v>9168</v>
      </c>
      <c r="V14" s="25" t="n">
        <v>20000</v>
      </c>
      <c r="W14" s="25" t="n">
        <f aca="false">3114+3114</f>
        <v>6228</v>
      </c>
      <c r="X14" s="25" t="n">
        <v>6515</v>
      </c>
      <c r="Y14" s="25" t="n">
        <v>3000</v>
      </c>
      <c r="Z14" s="25" t="n">
        <v>2000</v>
      </c>
      <c r="AA14" s="25"/>
      <c r="AB14" s="25" t="n">
        <v>20000</v>
      </c>
      <c r="AC14" s="25"/>
      <c r="AD14" s="25"/>
      <c r="AE14" s="25"/>
      <c r="AF14" s="25"/>
      <c r="AG14" s="25"/>
      <c r="AH14" s="25"/>
      <c r="AI14" s="25"/>
      <c r="AJ14" s="25"/>
      <c r="AK14" s="25" t="n">
        <v>2955</v>
      </c>
      <c r="AL14" s="25"/>
      <c r="AM14" s="25"/>
      <c r="AN14" s="25"/>
      <c r="AO14" s="25"/>
      <c r="AP14" s="25"/>
      <c r="AQ14" s="25"/>
      <c r="AR14" s="25"/>
      <c r="AS14" s="25"/>
      <c r="AT14" s="26"/>
      <c r="AU14" s="26"/>
      <c r="AV14" s="26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7" t="n">
        <f aca="false">SUM(B14:BF14)</f>
        <v>178970</v>
      </c>
      <c r="BH14" s="28" t="n">
        <f aca="false">BH13+1</f>
        <v>36716</v>
      </c>
      <c r="BI14" s="29"/>
      <c r="BJ14" s="29"/>
      <c r="BK14" s="30"/>
      <c r="BL14" s="30"/>
    </row>
    <row r="15" customFormat="false" ht="12.75" hidden="false" customHeight="false" outlineLevel="0" collapsed="false">
      <c r="A15" s="24" t="n">
        <f aca="false">+BaseloadMarkets!A15</f>
        <v>36717</v>
      </c>
      <c r="B15" s="25" t="n">
        <v>3980</v>
      </c>
      <c r="C15" s="25"/>
      <c r="D15" s="25" t="n">
        <v>30000</v>
      </c>
      <c r="E15" s="25" t="n">
        <v>10000</v>
      </c>
      <c r="F15" s="25" t="n">
        <v>10000</v>
      </c>
      <c r="G15" s="25" t="n">
        <v>5000</v>
      </c>
      <c r="H15" s="25" t="n">
        <v>5000</v>
      </c>
      <c r="I15" s="25" t="n">
        <v>968</v>
      </c>
      <c r="J15" s="25" t="n">
        <v>4193</v>
      </c>
      <c r="K15" s="25" t="n">
        <v>4000</v>
      </c>
      <c r="L15" s="25" t="n">
        <v>10000</v>
      </c>
      <c r="M15" s="25" t="n">
        <v>6785</v>
      </c>
      <c r="N15" s="25" t="n">
        <v>2500</v>
      </c>
      <c r="O15" s="25" t="n">
        <v>5000</v>
      </c>
      <c r="P15" s="25" t="n">
        <v>4178</v>
      </c>
      <c r="Q15" s="25" t="n">
        <v>10000</v>
      </c>
      <c r="R15" s="25" t="n">
        <v>10000</v>
      </c>
      <c r="S15" s="25" t="n">
        <v>10000</v>
      </c>
      <c r="T15" s="25" t="n">
        <v>10000</v>
      </c>
      <c r="U15" s="25" t="n">
        <f aca="false">2489+2301+5165</f>
        <v>9955</v>
      </c>
      <c r="V15" s="25" t="n">
        <v>20000</v>
      </c>
      <c r="W15" s="25" t="n">
        <f aca="false">2670+2670</f>
        <v>5340</v>
      </c>
      <c r="X15" s="25" t="n">
        <v>4668</v>
      </c>
      <c r="Y15" s="25" t="n">
        <v>3000</v>
      </c>
      <c r="Z15" s="25" t="n">
        <v>2000</v>
      </c>
      <c r="AA15" s="25"/>
      <c r="AB15" s="25" t="n">
        <v>20000</v>
      </c>
      <c r="AC15" s="25"/>
      <c r="AD15" s="25"/>
      <c r="AE15" s="25"/>
      <c r="AF15" s="25"/>
      <c r="AG15" s="25"/>
      <c r="AH15" s="25"/>
      <c r="AI15" s="25"/>
      <c r="AJ15" s="25"/>
      <c r="AK15" s="25" t="n">
        <v>2955</v>
      </c>
      <c r="AL15" s="25"/>
      <c r="AM15" s="25"/>
      <c r="AN15" s="25"/>
      <c r="AO15" s="25"/>
      <c r="AP15" s="25"/>
      <c r="AQ15" s="25"/>
      <c r="AR15" s="25"/>
      <c r="AS15" s="25"/>
      <c r="AT15" s="26"/>
      <c r="AU15" s="26"/>
      <c r="AV15" s="26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7" t="n">
        <f aca="false">SUM(B15:BF15)</f>
        <v>209522</v>
      </c>
      <c r="BH15" s="28" t="n">
        <f aca="false">BH14+1</f>
        <v>36717</v>
      </c>
      <c r="BI15" s="29"/>
      <c r="BJ15" s="29"/>
      <c r="BK15" s="30"/>
      <c r="BL15" s="30"/>
    </row>
    <row r="16" customFormat="false" ht="12.75" hidden="false" customHeight="false" outlineLevel="0" collapsed="false">
      <c r="A16" s="24" t="n">
        <f aca="false">+BaseloadMarkets!A16</f>
        <v>36718</v>
      </c>
      <c r="B16" s="25" t="n">
        <v>3980</v>
      </c>
      <c r="C16" s="25" t="n">
        <f aca="false">19802-3980</f>
        <v>15822</v>
      </c>
      <c r="D16" s="25" t="n">
        <v>30000</v>
      </c>
      <c r="E16" s="25" t="n">
        <v>10000</v>
      </c>
      <c r="F16" s="25" t="n">
        <v>10000</v>
      </c>
      <c r="G16" s="25" t="n">
        <v>5000</v>
      </c>
      <c r="H16" s="25" t="n">
        <v>5000</v>
      </c>
      <c r="I16" s="25" t="n">
        <v>968</v>
      </c>
      <c r="J16" s="25" t="n">
        <v>4193</v>
      </c>
      <c r="K16" s="25" t="n">
        <v>4000</v>
      </c>
      <c r="L16" s="25" t="n">
        <v>10000</v>
      </c>
      <c r="M16" s="25" t="n">
        <v>6785</v>
      </c>
      <c r="N16" s="25" t="n">
        <v>2500</v>
      </c>
      <c r="O16" s="25" t="n">
        <v>5000</v>
      </c>
      <c r="P16" s="25" t="n">
        <v>4178</v>
      </c>
      <c r="Q16" s="25" t="n">
        <v>10000</v>
      </c>
      <c r="R16" s="25" t="n">
        <v>10000</v>
      </c>
      <c r="S16" s="25" t="n">
        <v>10000</v>
      </c>
      <c r="T16" s="25" t="n">
        <v>10000</v>
      </c>
      <c r="U16" s="25" t="n">
        <f aca="false">5760+2633+2476</f>
        <v>10869</v>
      </c>
      <c r="V16" s="25" t="n">
        <v>20000</v>
      </c>
      <c r="W16" s="25" t="n">
        <f aca="false">2907+2907</f>
        <v>5814</v>
      </c>
      <c r="X16" s="25" t="n">
        <v>5859</v>
      </c>
      <c r="Y16" s="25" t="n">
        <v>3000</v>
      </c>
      <c r="Z16" s="25" t="n">
        <v>2000</v>
      </c>
      <c r="AA16" s="25"/>
      <c r="AB16" s="25"/>
      <c r="AC16" s="25"/>
      <c r="AD16" s="25"/>
      <c r="AE16" s="25" t="n">
        <v>10000</v>
      </c>
      <c r="AF16" s="25" t="n">
        <v>20000</v>
      </c>
      <c r="AG16" s="25"/>
      <c r="AH16" s="25"/>
      <c r="AI16" s="25"/>
      <c r="AJ16" s="25"/>
      <c r="AK16" s="25" t="n">
        <v>0</v>
      </c>
      <c r="AL16" s="25"/>
      <c r="AM16" s="25" t="n">
        <v>10000</v>
      </c>
      <c r="AN16" s="25" t="n">
        <v>0</v>
      </c>
      <c r="AO16" s="25" t="n">
        <v>10000</v>
      </c>
      <c r="AP16" s="25" t="n">
        <v>18000</v>
      </c>
      <c r="AQ16" s="25"/>
      <c r="AR16" s="25"/>
      <c r="AS16" s="25"/>
      <c r="AT16" s="26"/>
      <c r="AU16" s="26"/>
      <c r="AV16" s="26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7" t="n">
        <f aca="false">SUM(B16:BF16)</f>
        <v>272968</v>
      </c>
      <c r="BH16" s="28" t="n">
        <f aca="false">BH15+1</f>
        <v>36718</v>
      </c>
      <c r="BI16" s="29"/>
      <c r="BJ16" s="29"/>
      <c r="BK16" s="30"/>
      <c r="BL16" s="30"/>
    </row>
    <row r="17" customFormat="false" ht="12.75" hidden="false" customHeight="false" outlineLevel="0" collapsed="false">
      <c r="A17" s="24" t="n">
        <f aca="false">+BaseloadMarkets!A17</f>
        <v>36719</v>
      </c>
      <c r="B17" s="25" t="n">
        <v>3980</v>
      </c>
      <c r="C17" s="25" t="n">
        <v>0</v>
      </c>
      <c r="D17" s="25" t="n">
        <v>30000</v>
      </c>
      <c r="E17" s="25" t="n">
        <v>10000</v>
      </c>
      <c r="F17" s="25" t="n">
        <v>10000</v>
      </c>
      <c r="G17" s="25" t="n">
        <v>5000</v>
      </c>
      <c r="H17" s="25" t="n">
        <v>5000</v>
      </c>
      <c r="I17" s="25" t="n">
        <v>968</v>
      </c>
      <c r="J17" s="25" t="n">
        <v>4193</v>
      </c>
      <c r="K17" s="25" t="n">
        <v>4000</v>
      </c>
      <c r="L17" s="25" t="n">
        <v>10000</v>
      </c>
      <c r="M17" s="25" t="n">
        <v>6785</v>
      </c>
      <c r="N17" s="25" t="n">
        <v>2500</v>
      </c>
      <c r="O17" s="25" t="n">
        <v>5000</v>
      </c>
      <c r="P17" s="25" t="n">
        <v>4178</v>
      </c>
      <c r="Q17" s="25" t="n">
        <v>10000</v>
      </c>
      <c r="R17" s="25" t="n">
        <v>10000</v>
      </c>
      <c r="S17" s="25" t="n">
        <v>10000</v>
      </c>
      <c r="T17" s="25" t="n">
        <v>10000</v>
      </c>
      <c r="U17" s="25" t="n">
        <f aca="false">6285+2846+2793</f>
        <v>11924</v>
      </c>
      <c r="V17" s="25" t="n">
        <v>20000</v>
      </c>
      <c r="W17" s="25" t="n">
        <f aca="false">2409+2409</f>
        <v>4818</v>
      </c>
      <c r="X17" s="25" t="n">
        <v>4730</v>
      </c>
      <c r="Y17" s="25" t="n">
        <v>3000</v>
      </c>
      <c r="Z17" s="25" t="n">
        <v>1204</v>
      </c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 t="n">
        <v>2955</v>
      </c>
      <c r="AL17" s="25"/>
      <c r="AM17" s="25"/>
      <c r="AN17" s="25"/>
      <c r="AO17" s="25"/>
      <c r="AP17" s="25"/>
      <c r="AQ17" s="25" t="n">
        <v>3033</v>
      </c>
      <c r="AR17" s="25"/>
      <c r="AS17" s="25"/>
      <c r="AT17" s="26"/>
      <c r="AU17" s="26"/>
      <c r="AV17" s="26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7" t="n">
        <f aca="false">SUM(B17:BF17)</f>
        <v>193268</v>
      </c>
      <c r="BH17" s="28" t="n">
        <f aca="false">BH16+1</f>
        <v>36719</v>
      </c>
      <c r="BI17" s="29"/>
      <c r="BJ17" s="29"/>
      <c r="BK17" s="30"/>
      <c r="BL17" s="30"/>
    </row>
    <row r="18" customFormat="false" ht="12.75" hidden="false" customHeight="false" outlineLevel="0" collapsed="false">
      <c r="A18" s="24" t="n">
        <f aca="false">+BaseloadMarkets!A18</f>
        <v>36720</v>
      </c>
      <c r="B18" s="25" t="n">
        <v>3980</v>
      </c>
      <c r="C18" s="25" t="n">
        <v>4646</v>
      </c>
      <c r="D18" s="25" t="n">
        <v>30000</v>
      </c>
      <c r="E18" s="25" t="n">
        <v>10000</v>
      </c>
      <c r="F18" s="25" t="n">
        <v>10000</v>
      </c>
      <c r="G18" s="25" t="n">
        <v>5000</v>
      </c>
      <c r="H18" s="25" t="n">
        <v>5000</v>
      </c>
      <c r="I18" s="25" t="n">
        <v>968</v>
      </c>
      <c r="J18" s="25" t="n">
        <v>4193</v>
      </c>
      <c r="K18" s="25" t="n">
        <v>4000</v>
      </c>
      <c r="L18" s="25" t="n">
        <v>10000</v>
      </c>
      <c r="M18" s="25" t="n">
        <v>6785</v>
      </c>
      <c r="N18" s="25" t="n">
        <v>2500</v>
      </c>
      <c r="O18" s="25" t="n">
        <v>5000</v>
      </c>
      <c r="P18" s="25" t="n">
        <v>4178</v>
      </c>
      <c r="Q18" s="25" t="n">
        <v>10000</v>
      </c>
      <c r="R18" s="25" t="n">
        <v>10000</v>
      </c>
      <c r="S18" s="25" t="n">
        <v>10000</v>
      </c>
      <c r="T18" s="25" t="n">
        <v>10000</v>
      </c>
      <c r="U18" s="25" t="n">
        <f aca="false">6858+3059+2942</f>
        <v>12859</v>
      </c>
      <c r="V18" s="25" t="n">
        <v>20000</v>
      </c>
      <c r="W18" s="25" t="n">
        <f aca="false">2814+2814</f>
        <v>5628</v>
      </c>
      <c r="X18" s="25" t="n">
        <v>5822</v>
      </c>
      <c r="Y18" s="25" t="n">
        <v>3000</v>
      </c>
      <c r="Z18" s="25" t="n">
        <v>1158</v>
      </c>
      <c r="AA18" s="25"/>
      <c r="AB18" s="25" t="n">
        <v>9796</v>
      </c>
      <c r="AC18" s="25"/>
      <c r="AD18" s="25"/>
      <c r="AE18" s="25"/>
      <c r="AF18" s="25" t="n">
        <v>15000</v>
      </c>
      <c r="AG18" s="25"/>
      <c r="AH18" s="25"/>
      <c r="AI18" s="25"/>
      <c r="AJ18" s="25"/>
      <c r="AK18" s="25" t="n">
        <v>2955</v>
      </c>
      <c r="AL18" s="25"/>
      <c r="AM18" s="25"/>
      <c r="AN18" s="25" t="n">
        <v>5461</v>
      </c>
      <c r="AO18" s="25"/>
      <c r="AP18" s="25"/>
      <c r="AQ18" s="25"/>
      <c r="AR18" s="25" t="n">
        <v>10000</v>
      </c>
      <c r="AS18" s="25" t="n">
        <v>20000</v>
      </c>
      <c r="AT18" s="26" t="n">
        <v>30000</v>
      </c>
      <c r="AU18" s="26"/>
      <c r="AV18" s="26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7" t="n">
        <f aca="false">SUM(B18:BF18)</f>
        <v>287929</v>
      </c>
      <c r="BH18" s="28" t="n">
        <f aca="false">BH17+1</f>
        <v>36720</v>
      </c>
      <c r="BI18" s="29"/>
      <c r="BJ18" s="29"/>
      <c r="BK18" s="30"/>
      <c r="BL18" s="30"/>
    </row>
    <row r="19" customFormat="false" ht="12.75" hidden="false" customHeight="false" outlineLevel="0" collapsed="false">
      <c r="A19" s="24" t="n">
        <f aca="false">+BaseloadMarkets!A19</f>
        <v>36721</v>
      </c>
      <c r="B19" s="25" t="n">
        <v>3980</v>
      </c>
      <c r="C19" s="25" t="n">
        <v>18508</v>
      </c>
      <c r="D19" s="25" t="n">
        <v>30000</v>
      </c>
      <c r="E19" s="25" t="n">
        <v>10000</v>
      </c>
      <c r="F19" s="25" t="n">
        <v>10000</v>
      </c>
      <c r="G19" s="25" t="n">
        <v>5000</v>
      </c>
      <c r="H19" s="25" t="n">
        <v>5000</v>
      </c>
      <c r="I19" s="25" t="n">
        <v>968</v>
      </c>
      <c r="J19" s="25" t="n">
        <v>4193</v>
      </c>
      <c r="K19" s="25" t="n">
        <v>4000</v>
      </c>
      <c r="L19" s="25" t="n">
        <v>10000</v>
      </c>
      <c r="M19" s="25" t="n">
        <v>6785</v>
      </c>
      <c r="N19" s="25" t="n">
        <v>2500</v>
      </c>
      <c r="O19" s="25" t="n">
        <v>5000</v>
      </c>
      <c r="P19" s="25" t="n">
        <v>4178</v>
      </c>
      <c r="Q19" s="25" t="n">
        <v>10000</v>
      </c>
      <c r="R19" s="25" t="n">
        <v>10000</v>
      </c>
      <c r="S19" s="25" t="n">
        <v>10000</v>
      </c>
      <c r="T19" s="25" t="n">
        <v>10000</v>
      </c>
      <c r="U19" s="25" t="n">
        <f aca="false">5747+2737+2561</f>
        <v>11045</v>
      </c>
      <c r="V19" s="25" t="n">
        <v>20000</v>
      </c>
      <c r="W19" s="25" t="n">
        <f aca="false">3273+3273</f>
        <v>6546</v>
      </c>
      <c r="X19" s="25" t="n">
        <v>6582</v>
      </c>
      <c r="Y19" s="25" t="n">
        <v>3000</v>
      </c>
      <c r="Z19" s="25" t="n">
        <v>1196</v>
      </c>
      <c r="AA19" s="25"/>
      <c r="AB19" s="25"/>
      <c r="AC19" s="25"/>
      <c r="AD19" s="25"/>
      <c r="AE19" s="25" t="n">
        <v>0</v>
      </c>
      <c r="AF19" s="25"/>
      <c r="AG19" s="25"/>
      <c r="AH19" s="25"/>
      <c r="AI19" s="25"/>
      <c r="AJ19" s="25"/>
      <c r="AK19" s="25"/>
      <c r="AL19" s="25"/>
      <c r="AM19" s="25"/>
      <c r="AN19" s="25" t="n">
        <v>5461</v>
      </c>
      <c r="AO19" s="25"/>
      <c r="AP19" s="25" t="n">
        <v>0</v>
      </c>
      <c r="AQ19" s="25"/>
      <c r="AR19" s="25"/>
      <c r="AS19" s="25"/>
      <c r="AT19" s="26"/>
      <c r="AU19" s="25" t="n">
        <v>31000</v>
      </c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7" t="n">
        <f aca="false">SUM(B19:BF19)</f>
        <v>244942</v>
      </c>
      <c r="BH19" s="28" t="n">
        <f aca="false">BH18+1</f>
        <v>36721</v>
      </c>
      <c r="BI19" s="29"/>
      <c r="BJ19" s="29"/>
      <c r="BK19" s="30"/>
      <c r="BL19" s="30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24" t="n">
        <f aca="false">+BaseloadMarkets!A20</f>
        <v>36722</v>
      </c>
      <c r="B20" s="25" t="n">
        <v>3980</v>
      </c>
      <c r="C20" s="25"/>
      <c r="D20" s="25" t="n">
        <v>0</v>
      </c>
      <c r="E20" s="25" t="n">
        <v>10000</v>
      </c>
      <c r="F20" s="25" t="n">
        <v>10000</v>
      </c>
      <c r="G20" s="25" t="n">
        <v>5000</v>
      </c>
      <c r="H20" s="25" t="n">
        <v>5000</v>
      </c>
      <c r="I20" s="25" t="n">
        <v>968</v>
      </c>
      <c r="J20" s="25" t="n">
        <v>4193</v>
      </c>
      <c r="K20" s="25" t="n">
        <v>4000</v>
      </c>
      <c r="L20" s="25" t="n">
        <v>10000</v>
      </c>
      <c r="M20" s="25" t="n">
        <v>6785</v>
      </c>
      <c r="N20" s="25" t="n">
        <v>0</v>
      </c>
      <c r="O20" s="25" t="n">
        <v>5000</v>
      </c>
      <c r="P20" s="25" t="n">
        <v>4178</v>
      </c>
      <c r="Q20" s="25" t="n">
        <v>10000</v>
      </c>
      <c r="R20" s="25" t="n">
        <v>10000</v>
      </c>
      <c r="S20" s="25" t="n">
        <v>10000</v>
      </c>
      <c r="T20" s="25" t="n">
        <v>10000</v>
      </c>
      <c r="U20" s="25" t="n">
        <f aca="false">5960+2860+2658</f>
        <v>11478</v>
      </c>
      <c r="V20" s="25" t="n">
        <v>20000</v>
      </c>
      <c r="W20" s="25" t="n">
        <f aca="false">3251+3251</f>
        <v>6502</v>
      </c>
      <c r="X20" s="25" t="n">
        <f aca="false">5000+3551</f>
        <v>8551</v>
      </c>
      <c r="Y20" s="25" t="n">
        <v>3000</v>
      </c>
      <c r="Z20" s="25" t="n">
        <v>1254</v>
      </c>
      <c r="AA20" s="25"/>
      <c r="AB20" s="25"/>
      <c r="AC20" s="25"/>
      <c r="AD20" s="25"/>
      <c r="AE20" s="25" t="n">
        <v>10000</v>
      </c>
      <c r="AF20" s="25"/>
      <c r="AG20" s="25"/>
      <c r="AH20" s="25"/>
      <c r="AI20" s="25"/>
      <c r="AJ20" s="25"/>
      <c r="AK20" s="25" t="n">
        <v>2955</v>
      </c>
      <c r="AL20" s="25"/>
      <c r="AM20" s="25"/>
      <c r="AN20" s="25"/>
      <c r="AO20" s="25"/>
      <c r="AP20" s="25"/>
      <c r="AQ20" s="25"/>
      <c r="AR20" s="25"/>
      <c r="AS20" s="25"/>
      <c r="AT20" s="26"/>
      <c r="AU20" s="26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7" t="n">
        <f aca="false">SUM(B20:BF20)</f>
        <v>172844</v>
      </c>
      <c r="BH20" s="28" t="n">
        <f aca="false">BH19+1</f>
        <v>36722</v>
      </c>
      <c r="BI20" s="29"/>
      <c r="BJ20" s="29"/>
      <c r="BK20" s="30"/>
      <c r="BL20" s="30"/>
    </row>
    <row r="21" customFormat="false" ht="12.75" hidden="false" customHeight="false" outlineLevel="0" collapsed="false">
      <c r="A21" s="24" t="n">
        <f aca="false">+BaseloadMarkets!A21</f>
        <v>36723</v>
      </c>
      <c r="B21" s="25" t="n">
        <v>3980</v>
      </c>
      <c r="C21" s="25"/>
      <c r="D21" s="25" t="n">
        <v>0</v>
      </c>
      <c r="E21" s="25" t="n">
        <v>10000</v>
      </c>
      <c r="F21" s="25" t="n">
        <v>10000</v>
      </c>
      <c r="G21" s="25" t="n">
        <v>5000</v>
      </c>
      <c r="H21" s="25" t="n">
        <v>5000</v>
      </c>
      <c r="I21" s="25" t="n">
        <v>968</v>
      </c>
      <c r="J21" s="25" t="n">
        <v>4193</v>
      </c>
      <c r="K21" s="25" t="n">
        <v>4000</v>
      </c>
      <c r="L21" s="25" t="n">
        <v>10000</v>
      </c>
      <c r="M21" s="25" t="n">
        <v>6785</v>
      </c>
      <c r="N21" s="25" t="n">
        <v>0</v>
      </c>
      <c r="O21" s="25" t="n">
        <v>5000</v>
      </c>
      <c r="P21" s="25" t="n">
        <v>4178</v>
      </c>
      <c r="Q21" s="25" t="n">
        <v>10000</v>
      </c>
      <c r="R21" s="25" t="n">
        <v>10000</v>
      </c>
      <c r="S21" s="25" t="n">
        <v>10000</v>
      </c>
      <c r="T21" s="25" t="n">
        <v>10000</v>
      </c>
      <c r="U21" s="25" t="n">
        <f aca="false">7102+2668+2527</f>
        <v>12297</v>
      </c>
      <c r="V21" s="25" t="n">
        <v>20000</v>
      </c>
      <c r="W21" s="25" t="n">
        <f aca="false">3218+3217</f>
        <v>6435</v>
      </c>
      <c r="X21" s="25" t="n">
        <f aca="false">5000+3376</f>
        <v>8376</v>
      </c>
      <c r="Y21" s="25" t="n">
        <v>3000</v>
      </c>
      <c r="Z21" s="25" t="n">
        <v>1291</v>
      </c>
      <c r="AA21" s="25"/>
      <c r="AB21" s="25"/>
      <c r="AC21" s="25"/>
      <c r="AD21" s="25"/>
      <c r="AE21" s="25" t="n">
        <v>10000</v>
      </c>
      <c r="AF21" s="25"/>
      <c r="AG21" s="25"/>
      <c r="AH21" s="25"/>
      <c r="AI21" s="25"/>
      <c r="AJ21" s="25"/>
      <c r="AK21" s="25" t="n">
        <v>2955</v>
      </c>
      <c r="AL21" s="25"/>
      <c r="AM21" s="25"/>
      <c r="AN21" s="25"/>
      <c r="AO21" s="25"/>
      <c r="AP21" s="25"/>
      <c r="AQ21" s="25"/>
      <c r="AR21" s="25"/>
      <c r="AS21" s="25"/>
      <c r="AT21" s="26"/>
      <c r="AU21" s="26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7" t="n">
        <f aca="false">SUM(B21:BF21)</f>
        <v>173458</v>
      </c>
      <c r="BH21" s="28" t="n">
        <f aca="false">BH20+1</f>
        <v>36723</v>
      </c>
      <c r="BI21" s="29"/>
      <c r="BJ21" s="29"/>
      <c r="BK21" s="30"/>
      <c r="BL21" s="30"/>
    </row>
    <row r="22" customFormat="false" ht="12.75" hidden="false" customHeight="false" outlineLevel="0" collapsed="false">
      <c r="A22" s="24" t="n">
        <f aca="false">+BaseloadMarkets!A22</f>
        <v>36724</v>
      </c>
      <c r="B22" s="25" t="n">
        <v>3980</v>
      </c>
      <c r="C22" s="25"/>
      <c r="D22" s="25" t="n">
        <v>30000</v>
      </c>
      <c r="E22" s="25" t="n">
        <v>10000</v>
      </c>
      <c r="F22" s="25" t="n">
        <v>10000</v>
      </c>
      <c r="G22" s="25" t="n">
        <v>5000</v>
      </c>
      <c r="H22" s="25" t="n">
        <v>5000</v>
      </c>
      <c r="I22" s="25" t="n">
        <v>968</v>
      </c>
      <c r="J22" s="25" t="n">
        <v>4193</v>
      </c>
      <c r="K22" s="25" t="n">
        <v>4000</v>
      </c>
      <c r="L22" s="25" t="n">
        <v>10000</v>
      </c>
      <c r="M22" s="25" t="n">
        <v>6785</v>
      </c>
      <c r="N22" s="25" t="n">
        <v>0</v>
      </c>
      <c r="O22" s="25" t="n">
        <v>5000</v>
      </c>
      <c r="P22" s="25" t="n">
        <v>4178</v>
      </c>
      <c r="Q22" s="25" t="n">
        <v>10000</v>
      </c>
      <c r="R22" s="25" t="n">
        <v>10000</v>
      </c>
      <c r="S22" s="25" t="n">
        <v>10000</v>
      </c>
      <c r="T22" s="25" t="n">
        <v>10000</v>
      </c>
      <c r="U22" s="25" t="n">
        <f aca="false">5884+2620+2623</f>
        <v>11127</v>
      </c>
      <c r="V22" s="25" t="n">
        <v>20000</v>
      </c>
      <c r="W22" s="25" t="n">
        <f aca="false">3090+3090</f>
        <v>6180</v>
      </c>
      <c r="X22" s="25" t="n">
        <f aca="false">5000+3332</f>
        <v>8332</v>
      </c>
      <c r="Y22" s="25" t="n">
        <v>3000</v>
      </c>
      <c r="Z22" s="25" t="n">
        <v>1210</v>
      </c>
      <c r="AA22" s="25" t="n">
        <v>14000</v>
      </c>
      <c r="AB22" s="25"/>
      <c r="AC22" s="25"/>
      <c r="AD22" s="25"/>
      <c r="AE22" s="25" t="n">
        <v>10000</v>
      </c>
      <c r="AF22" s="25"/>
      <c r="AG22" s="25"/>
      <c r="AH22" s="25"/>
      <c r="AI22" s="25"/>
      <c r="AJ22" s="25"/>
      <c r="AK22" s="25" t="n">
        <v>2955</v>
      </c>
      <c r="AL22" s="25"/>
      <c r="AM22" s="25"/>
      <c r="AN22" s="25"/>
      <c r="AO22" s="25"/>
      <c r="AP22" s="25"/>
      <c r="AQ22" s="25"/>
      <c r="AR22" s="25"/>
      <c r="AS22" s="25"/>
      <c r="AT22" s="26"/>
      <c r="AU22" s="26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7" t="n">
        <f aca="false">SUM(B22:BF22)</f>
        <v>215908</v>
      </c>
      <c r="BH22" s="28" t="n">
        <f aca="false">BH21+1</f>
        <v>36724</v>
      </c>
      <c r="BI22" s="29"/>
      <c r="BJ22" s="29"/>
      <c r="BK22" s="30"/>
      <c r="BL22" s="30"/>
    </row>
    <row r="23" customFormat="false" ht="12.75" hidden="false" customHeight="false" outlineLevel="0" collapsed="false">
      <c r="A23" s="24" t="n">
        <f aca="false">+BaseloadMarkets!A23</f>
        <v>36725</v>
      </c>
      <c r="B23" s="25" t="n">
        <v>3980</v>
      </c>
      <c r="C23" s="25" t="n">
        <v>14644</v>
      </c>
      <c r="D23" s="25" t="n">
        <v>30000</v>
      </c>
      <c r="E23" s="25" t="n">
        <v>10000</v>
      </c>
      <c r="F23" s="25" t="n">
        <v>10000</v>
      </c>
      <c r="G23" s="25" t="n">
        <v>5000</v>
      </c>
      <c r="H23" s="25" t="n">
        <v>5000</v>
      </c>
      <c r="I23" s="25" t="n">
        <v>968</v>
      </c>
      <c r="J23" s="25" t="n">
        <v>4193</v>
      </c>
      <c r="K23" s="25" t="n">
        <v>4000</v>
      </c>
      <c r="L23" s="25" t="n">
        <v>10000</v>
      </c>
      <c r="M23" s="25" t="n">
        <v>14715</v>
      </c>
      <c r="N23" s="25" t="n">
        <v>2500</v>
      </c>
      <c r="O23" s="25" t="n">
        <v>5000</v>
      </c>
      <c r="P23" s="25" t="n">
        <v>4178</v>
      </c>
      <c r="Q23" s="25" t="n">
        <v>10000</v>
      </c>
      <c r="R23" s="25" t="n">
        <v>10000</v>
      </c>
      <c r="S23" s="25" t="n">
        <v>10000</v>
      </c>
      <c r="T23" s="25" t="n">
        <v>10000</v>
      </c>
      <c r="U23" s="25" t="n">
        <f aca="false">6499+2602+2408</f>
        <v>11509</v>
      </c>
      <c r="V23" s="25" t="n">
        <v>20000</v>
      </c>
      <c r="W23" s="25" t="n">
        <v>10000</v>
      </c>
      <c r="X23" s="25" t="n">
        <v>4252</v>
      </c>
      <c r="Y23" s="25" t="n">
        <v>3000</v>
      </c>
      <c r="Z23" s="25" t="n">
        <v>1167</v>
      </c>
      <c r="AA23" s="25" t="n">
        <v>14000</v>
      </c>
      <c r="AB23" s="25"/>
      <c r="AC23" s="25"/>
      <c r="AD23" s="25"/>
      <c r="AE23" s="25"/>
      <c r="AF23" s="25"/>
      <c r="AG23" s="25" t="n">
        <v>12860</v>
      </c>
      <c r="AH23" s="25"/>
      <c r="AI23" s="25"/>
      <c r="AJ23" s="25"/>
      <c r="AK23" s="25"/>
      <c r="AL23" s="25"/>
      <c r="AM23" s="25"/>
      <c r="AN23" s="25"/>
      <c r="AO23" s="25"/>
      <c r="AP23" s="25" t="n">
        <v>900</v>
      </c>
      <c r="AQ23" s="25"/>
      <c r="AR23" s="25"/>
      <c r="AS23" s="25"/>
      <c r="AT23" s="26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7" t="n">
        <f aca="false">SUM(B23:BF23)</f>
        <v>241866</v>
      </c>
      <c r="BH23" s="28" t="n">
        <f aca="false">BH22+1</f>
        <v>36725</v>
      </c>
      <c r="BI23" s="29"/>
      <c r="BJ23" s="29"/>
      <c r="BK23" s="30"/>
      <c r="BL23" s="30"/>
    </row>
    <row r="24" customFormat="false" ht="12.75" hidden="false" customHeight="false" outlineLevel="0" collapsed="false">
      <c r="A24" s="24" t="n">
        <f aca="false">+BaseloadMarkets!A24</f>
        <v>36726</v>
      </c>
      <c r="B24" s="25" t="n">
        <v>3980</v>
      </c>
      <c r="C24" s="25" t="n">
        <v>0</v>
      </c>
      <c r="D24" s="25" t="n">
        <v>30000</v>
      </c>
      <c r="E24" s="25" t="n">
        <v>10000</v>
      </c>
      <c r="F24" s="25" t="n">
        <v>10000</v>
      </c>
      <c r="G24" s="25" t="n">
        <v>5000</v>
      </c>
      <c r="H24" s="25" t="n">
        <v>5000</v>
      </c>
      <c r="I24" s="25" t="n">
        <v>968</v>
      </c>
      <c r="J24" s="25" t="n">
        <v>4193</v>
      </c>
      <c r="K24" s="25" t="n">
        <v>4000</v>
      </c>
      <c r="L24" s="25" t="n">
        <v>10000</v>
      </c>
      <c r="M24" s="25" t="n">
        <f aca="false">14715</f>
        <v>14715</v>
      </c>
      <c r="N24" s="25" t="n">
        <v>2500</v>
      </c>
      <c r="O24" s="25" t="n">
        <v>5000</v>
      </c>
      <c r="P24" s="25" t="n">
        <v>4178</v>
      </c>
      <c r="Q24" s="25" t="n">
        <v>10000</v>
      </c>
      <c r="R24" s="25" t="n">
        <v>10000</v>
      </c>
      <c r="S24" s="25" t="n">
        <v>10000</v>
      </c>
      <c r="T24" s="25" t="n">
        <v>10000</v>
      </c>
      <c r="U24" s="25" t="n">
        <f aca="false">6103+2940+2261</f>
        <v>11304</v>
      </c>
      <c r="V24" s="25" t="n">
        <v>20000</v>
      </c>
      <c r="W24" s="25" t="n">
        <v>10000</v>
      </c>
      <c r="X24" s="25" t="n">
        <v>6260</v>
      </c>
      <c r="Y24" s="25" t="n">
        <v>3000</v>
      </c>
      <c r="Z24" s="25" t="n">
        <v>1150</v>
      </c>
      <c r="AA24" s="25" t="n">
        <v>14000</v>
      </c>
      <c r="AB24" s="25"/>
      <c r="AC24" s="25"/>
      <c r="AD24" s="25"/>
      <c r="AE24" s="25"/>
      <c r="AF24" s="25"/>
      <c r="AG24" s="25"/>
      <c r="AH24" s="25"/>
      <c r="AI24" s="25" t="n">
        <v>60000</v>
      </c>
      <c r="AJ24" s="25"/>
      <c r="AK24" s="25"/>
      <c r="AL24" s="25"/>
      <c r="AM24" s="25"/>
      <c r="AN24" s="25"/>
      <c r="AO24" s="25"/>
      <c r="AP24" s="25" t="n">
        <v>1646</v>
      </c>
      <c r="AQ24" s="25" t="n">
        <v>4975</v>
      </c>
      <c r="AR24" s="25"/>
      <c r="AS24" s="25"/>
      <c r="AT24" s="26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7" t="n">
        <f aca="false">SUM(B24:BF24)</f>
        <v>281869</v>
      </c>
      <c r="BH24" s="28" t="n">
        <f aca="false">BH23+1</f>
        <v>36726</v>
      </c>
      <c r="BI24" s="29"/>
      <c r="BJ24" s="29"/>
      <c r="BK24" s="30"/>
      <c r="BL24" s="30"/>
    </row>
    <row r="25" customFormat="false" ht="12.75" hidden="false" customHeight="false" outlineLevel="0" collapsed="false">
      <c r="A25" s="24" t="n">
        <f aca="false">+BaseloadMarkets!A25</f>
        <v>36727</v>
      </c>
      <c r="B25" s="25" t="n">
        <v>3980</v>
      </c>
      <c r="C25" s="25" t="n">
        <v>0</v>
      </c>
      <c r="D25" s="25" t="n">
        <v>30000</v>
      </c>
      <c r="E25" s="25" t="n">
        <v>10000</v>
      </c>
      <c r="F25" s="25" t="n">
        <v>10000</v>
      </c>
      <c r="G25" s="25" t="n">
        <v>5000</v>
      </c>
      <c r="H25" s="25" t="n">
        <v>5000</v>
      </c>
      <c r="I25" s="25" t="n">
        <v>968</v>
      </c>
      <c r="J25" s="25" t="n">
        <v>4193</v>
      </c>
      <c r="K25" s="25" t="n">
        <v>4000</v>
      </c>
      <c r="L25" s="25" t="n">
        <v>10000</v>
      </c>
      <c r="M25" s="25" t="n">
        <v>14715</v>
      </c>
      <c r="N25" s="25" t="n">
        <v>2500</v>
      </c>
      <c r="O25" s="25" t="n">
        <v>5000</v>
      </c>
      <c r="P25" s="25" t="n">
        <v>4178</v>
      </c>
      <c r="Q25" s="25" t="n">
        <v>10000</v>
      </c>
      <c r="R25" s="25" t="n">
        <v>10000</v>
      </c>
      <c r="S25" s="25" t="n">
        <v>10000</v>
      </c>
      <c r="T25" s="25" t="n">
        <v>10000</v>
      </c>
      <c r="U25" s="25" t="n">
        <f aca="false">20000-4625+2806</f>
        <v>18181</v>
      </c>
      <c r="V25" s="25" t="n">
        <v>20000</v>
      </c>
      <c r="W25" s="25" t="n">
        <v>10000</v>
      </c>
      <c r="X25" s="25" t="n">
        <v>6851</v>
      </c>
      <c r="Y25" s="25" t="n">
        <v>3000</v>
      </c>
      <c r="Z25" s="25" t="n">
        <v>1177</v>
      </c>
      <c r="AA25" s="25" t="n">
        <v>14000</v>
      </c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 t="n">
        <v>10000</v>
      </c>
      <c r="AS25" s="25"/>
      <c r="AT25" s="26"/>
      <c r="AU25" s="25"/>
      <c r="AV25" s="25" t="n">
        <v>5000</v>
      </c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7" t="n">
        <f aca="false">SUM(B25:BF25)</f>
        <v>237743</v>
      </c>
      <c r="BH25" s="28" t="n">
        <f aca="false">BH24+1</f>
        <v>36727</v>
      </c>
      <c r="BI25" s="29"/>
      <c r="BJ25" s="29"/>
      <c r="BK25" s="30"/>
      <c r="BL25" s="30"/>
    </row>
    <row r="26" customFormat="false" ht="12.75" hidden="false" customHeight="false" outlineLevel="0" collapsed="false">
      <c r="A26" s="24" t="n">
        <f aca="false">+BaseloadMarkets!A26</f>
        <v>36728</v>
      </c>
      <c r="B26" s="25" t="n">
        <v>3980</v>
      </c>
      <c r="C26" s="25"/>
      <c r="D26" s="25" t="n">
        <v>30000</v>
      </c>
      <c r="E26" s="25" t="n">
        <v>10000</v>
      </c>
      <c r="F26" s="25" t="n">
        <v>10000</v>
      </c>
      <c r="G26" s="25" t="n">
        <v>5000</v>
      </c>
      <c r="H26" s="25" t="n">
        <v>5000</v>
      </c>
      <c r="I26" s="25" t="n">
        <v>968</v>
      </c>
      <c r="J26" s="25" t="n">
        <v>4193</v>
      </c>
      <c r="K26" s="25" t="n">
        <v>4000</v>
      </c>
      <c r="L26" s="25" t="n">
        <v>10000</v>
      </c>
      <c r="M26" s="25" t="n">
        <v>14715</v>
      </c>
      <c r="N26" s="25" t="n">
        <v>2500</v>
      </c>
      <c r="O26" s="25" t="n">
        <v>5000</v>
      </c>
      <c r="P26" s="25" t="n">
        <v>4178</v>
      </c>
      <c r="Q26" s="25" t="n">
        <v>10000</v>
      </c>
      <c r="R26" s="25" t="n">
        <v>10000</v>
      </c>
      <c r="S26" s="25" t="n">
        <v>10000</v>
      </c>
      <c r="T26" s="25" t="n">
        <v>10000</v>
      </c>
      <c r="U26" s="25" t="n">
        <f aca="false">20000-4625+2970</f>
        <v>18345</v>
      </c>
      <c r="V26" s="25" t="n">
        <v>20000</v>
      </c>
      <c r="W26" s="25" t="n">
        <v>10000</v>
      </c>
      <c r="X26" s="25" t="n">
        <v>6920</v>
      </c>
      <c r="Y26" s="25" t="n">
        <v>3000</v>
      </c>
      <c r="Z26" s="25" t="n">
        <v>1177</v>
      </c>
      <c r="AA26" s="25" t="n">
        <v>14000</v>
      </c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6"/>
      <c r="AU26" s="25"/>
      <c r="AV26" s="25" t="n">
        <v>5000</v>
      </c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7" t="n">
        <f aca="false">SUM(B26:BF26)</f>
        <v>227976</v>
      </c>
      <c r="BH26" s="28" t="n">
        <f aca="false">BH25+1</f>
        <v>36728</v>
      </c>
      <c r="BI26" s="29"/>
      <c r="BJ26" s="29"/>
      <c r="BK26" s="30"/>
      <c r="BL26" s="30"/>
    </row>
    <row r="27" customFormat="false" ht="12.75" hidden="false" customHeight="false" outlineLevel="0" collapsed="false">
      <c r="A27" s="24" t="n">
        <f aca="false">+BaseloadMarkets!A27</f>
        <v>36729</v>
      </c>
      <c r="B27" s="25" t="n">
        <v>3980</v>
      </c>
      <c r="C27" s="25" t="n">
        <v>15696</v>
      </c>
      <c r="D27" s="25" t="n">
        <v>0</v>
      </c>
      <c r="E27" s="25" t="n">
        <v>10000</v>
      </c>
      <c r="F27" s="25" t="n">
        <v>10000</v>
      </c>
      <c r="G27" s="25" t="n">
        <v>5000</v>
      </c>
      <c r="H27" s="25" t="n">
        <v>5000</v>
      </c>
      <c r="I27" s="25" t="n">
        <v>968</v>
      </c>
      <c r="J27" s="25" t="n">
        <v>4193</v>
      </c>
      <c r="K27" s="25" t="n">
        <v>4000</v>
      </c>
      <c r="L27" s="25" t="n">
        <v>10000</v>
      </c>
      <c r="M27" s="25" t="n">
        <v>14715</v>
      </c>
      <c r="N27" s="25" t="n">
        <v>0</v>
      </c>
      <c r="O27" s="25" t="n">
        <v>5000</v>
      </c>
      <c r="P27" s="25" t="n">
        <v>4178</v>
      </c>
      <c r="Q27" s="25" t="n">
        <v>10000</v>
      </c>
      <c r="R27" s="25" t="n">
        <v>10000</v>
      </c>
      <c r="S27" s="25" t="n">
        <v>10000</v>
      </c>
      <c r="T27" s="25" t="n">
        <v>10000</v>
      </c>
      <c r="U27" s="25" t="n">
        <v>20000</v>
      </c>
      <c r="V27" s="25" t="n">
        <v>20000</v>
      </c>
      <c r="W27" s="25" t="n">
        <v>10000</v>
      </c>
      <c r="X27" s="25" t="n">
        <v>10460</v>
      </c>
      <c r="Y27" s="25" t="n">
        <v>3000</v>
      </c>
      <c r="Z27" s="25" t="n">
        <v>993</v>
      </c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 t="n">
        <v>10000</v>
      </c>
      <c r="AS27" s="25"/>
      <c r="AT27" s="26"/>
      <c r="AU27" s="25"/>
      <c r="AV27" s="25" t="n">
        <v>5000</v>
      </c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7" t="n">
        <f aca="false">SUM(B27:BF27)</f>
        <v>212183</v>
      </c>
      <c r="BH27" s="28" t="n">
        <f aca="false">BH26+1</f>
        <v>36729</v>
      </c>
      <c r="BI27" s="29"/>
      <c r="BJ27" s="29"/>
      <c r="BK27" s="30"/>
      <c r="BL27" s="30"/>
    </row>
    <row r="28" customFormat="false" ht="12.75" hidden="false" customHeight="false" outlineLevel="0" collapsed="false">
      <c r="A28" s="24" t="n">
        <f aca="false">+BaseloadMarkets!A28</f>
        <v>36730</v>
      </c>
      <c r="B28" s="25" t="n">
        <v>3980</v>
      </c>
      <c r="C28" s="25" t="n">
        <v>22945</v>
      </c>
      <c r="D28" s="25" t="n">
        <v>0</v>
      </c>
      <c r="E28" s="25" t="n">
        <v>10000</v>
      </c>
      <c r="F28" s="25" t="n">
        <v>10000</v>
      </c>
      <c r="G28" s="25" t="n">
        <v>5000</v>
      </c>
      <c r="H28" s="25" t="n">
        <v>5000</v>
      </c>
      <c r="I28" s="25" t="n">
        <v>968</v>
      </c>
      <c r="J28" s="25" t="n">
        <v>4193</v>
      </c>
      <c r="K28" s="25" t="n">
        <v>4000</v>
      </c>
      <c r="L28" s="25" t="n">
        <v>10000</v>
      </c>
      <c r="M28" s="25" t="n">
        <v>14715</v>
      </c>
      <c r="N28" s="25" t="n">
        <v>0</v>
      </c>
      <c r="O28" s="25" t="n">
        <v>5000</v>
      </c>
      <c r="P28" s="25" t="n">
        <v>4178</v>
      </c>
      <c r="Q28" s="25" t="n">
        <v>10000</v>
      </c>
      <c r="R28" s="25" t="n">
        <v>10000</v>
      </c>
      <c r="S28" s="25" t="n">
        <v>10000</v>
      </c>
      <c r="T28" s="25" t="n">
        <v>10000</v>
      </c>
      <c r="U28" s="25" t="n">
        <v>20000</v>
      </c>
      <c r="V28" s="25" t="n">
        <v>20000</v>
      </c>
      <c r="W28" s="25" t="n">
        <v>10000</v>
      </c>
      <c r="X28" s="25" t="n">
        <v>10460</v>
      </c>
      <c r="Y28" s="25" t="n">
        <v>3000</v>
      </c>
      <c r="Z28" s="25" t="n">
        <v>383</v>
      </c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 t="n">
        <v>10000</v>
      </c>
      <c r="AS28" s="25"/>
      <c r="AT28" s="26"/>
      <c r="AU28" s="25"/>
      <c r="AV28" s="25" t="n">
        <v>5000</v>
      </c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7" t="n">
        <f aca="false">SUM(B28:BF28)</f>
        <v>218822</v>
      </c>
      <c r="BH28" s="28" t="n">
        <f aca="false">BH27+1</f>
        <v>36730</v>
      </c>
      <c r="BI28" s="29"/>
      <c r="BJ28" s="29"/>
      <c r="BK28" s="30"/>
      <c r="BL28" s="30"/>
    </row>
    <row r="29" customFormat="false" ht="12.75" hidden="false" customHeight="false" outlineLevel="0" collapsed="false">
      <c r="A29" s="24" t="n">
        <f aca="false">+BaseloadMarkets!A29</f>
        <v>36731</v>
      </c>
      <c r="B29" s="25" t="n">
        <v>3980</v>
      </c>
      <c r="C29" s="25" t="n">
        <v>17052</v>
      </c>
      <c r="D29" s="25" t="n">
        <v>30000</v>
      </c>
      <c r="E29" s="25" t="n">
        <v>10000</v>
      </c>
      <c r="F29" s="25" t="n">
        <v>10000</v>
      </c>
      <c r="G29" s="25" t="n">
        <v>5000</v>
      </c>
      <c r="H29" s="25" t="n">
        <v>5000</v>
      </c>
      <c r="I29" s="25" t="n">
        <f aca="false">968-45</f>
        <v>923</v>
      </c>
      <c r="J29" s="25" t="n">
        <v>4193</v>
      </c>
      <c r="K29" s="25" t="n">
        <v>4000</v>
      </c>
      <c r="L29" s="25" t="n">
        <v>10000</v>
      </c>
      <c r="M29" s="25" t="n">
        <v>14715</v>
      </c>
      <c r="N29" s="25" t="n">
        <v>2500</v>
      </c>
      <c r="O29" s="25" t="n">
        <v>5000</v>
      </c>
      <c r="P29" s="25" t="n">
        <v>4178</v>
      </c>
      <c r="Q29" s="25" t="n">
        <v>10000</v>
      </c>
      <c r="R29" s="25" t="n">
        <v>10000</v>
      </c>
      <c r="S29" s="25" t="n">
        <v>10000</v>
      </c>
      <c r="T29" s="25" t="n">
        <v>10000</v>
      </c>
      <c r="U29" s="25" t="n">
        <v>20000</v>
      </c>
      <c r="V29" s="25" t="n">
        <v>20000</v>
      </c>
      <c r="W29" s="25" t="n">
        <v>10000</v>
      </c>
      <c r="X29" s="25" t="n">
        <v>10460</v>
      </c>
      <c r="Y29" s="25" t="n">
        <v>3000</v>
      </c>
      <c r="Z29" s="25" t="n">
        <v>1015</v>
      </c>
      <c r="AA29" s="25" t="n">
        <v>14000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 t="n">
        <v>20000</v>
      </c>
      <c r="AS29" s="25"/>
      <c r="AT29" s="26"/>
      <c r="AU29" s="25"/>
      <c r="AV29" s="25" t="n">
        <v>5000</v>
      </c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7" t="n">
        <f aca="false">SUM(B29:BF29)</f>
        <v>270016</v>
      </c>
      <c r="BH29" s="28" t="n">
        <f aca="false">BH28+1</f>
        <v>36731</v>
      </c>
      <c r="BI29" s="29"/>
      <c r="BJ29" s="29"/>
      <c r="BK29" s="30"/>
      <c r="BL29" s="30"/>
    </row>
    <row r="30" customFormat="false" ht="12.75" hidden="false" customHeight="false" outlineLevel="0" collapsed="false">
      <c r="A30" s="24" t="n">
        <f aca="false">+BaseloadMarkets!A30</f>
        <v>36732</v>
      </c>
      <c r="B30" s="25" t="n">
        <v>3980</v>
      </c>
      <c r="C30" s="25" t="n">
        <v>5340</v>
      </c>
      <c r="D30" s="25" t="n">
        <v>30000</v>
      </c>
      <c r="E30" s="25" t="n">
        <v>10000</v>
      </c>
      <c r="F30" s="25" t="n">
        <v>10000</v>
      </c>
      <c r="G30" s="25" t="n">
        <v>5000</v>
      </c>
      <c r="H30" s="25" t="n">
        <v>5000</v>
      </c>
      <c r="I30" s="25" t="n">
        <f aca="false">968</f>
        <v>968</v>
      </c>
      <c r="J30" s="25" t="n">
        <v>4193</v>
      </c>
      <c r="K30" s="25" t="n">
        <v>4000</v>
      </c>
      <c r="L30" s="25" t="n">
        <v>10000</v>
      </c>
      <c r="M30" s="25" t="n">
        <v>14715</v>
      </c>
      <c r="N30" s="25" t="n">
        <v>2500</v>
      </c>
      <c r="O30" s="25" t="n">
        <v>5000</v>
      </c>
      <c r="P30" s="25" t="n">
        <v>4178</v>
      </c>
      <c r="Q30" s="25" t="n">
        <v>10000</v>
      </c>
      <c r="R30" s="25" t="n">
        <v>10000</v>
      </c>
      <c r="S30" s="25" t="n">
        <v>10000</v>
      </c>
      <c r="T30" s="25" t="n">
        <v>10000</v>
      </c>
      <c r="U30" s="25" t="n">
        <f aca="false">20000-4625+2984</f>
        <v>18359</v>
      </c>
      <c r="V30" s="25" t="n">
        <v>20000</v>
      </c>
      <c r="W30" s="25" t="n">
        <v>10000</v>
      </c>
      <c r="X30" s="25" t="n">
        <v>4992</v>
      </c>
      <c r="Y30" s="25" t="n">
        <v>3000</v>
      </c>
      <c r="Z30" s="25" t="n">
        <v>1182</v>
      </c>
      <c r="AA30" s="25" t="n">
        <v>14000</v>
      </c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 t="n">
        <v>2000</v>
      </c>
      <c r="AQ30" s="25"/>
      <c r="AR30" s="25"/>
      <c r="AS30" s="25"/>
      <c r="AT30" s="26"/>
      <c r="AU30" s="25"/>
      <c r="AV30" s="25" t="n">
        <v>5000</v>
      </c>
      <c r="AW30" s="25" t="n">
        <v>5000</v>
      </c>
      <c r="AX30" s="25" t="n">
        <v>24000</v>
      </c>
      <c r="AY30" s="25"/>
      <c r="AZ30" s="25"/>
      <c r="BA30" s="25"/>
      <c r="BB30" s="25"/>
      <c r="BC30" s="25"/>
      <c r="BD30" s="25"/>
      <c r="BE30" s="25"/>
      <c r="BF30" s="25"/>
      <c r="BG30" s="27" t="n">
        <f aca="false">SUM(B30:BF30)</f>
        <v>262407</v>
      </c>
      <c r="BH30" s="28" t="n">
        <f aca="false">BH29+1</f>
        <v>36732</v>
      </c>
      <c r="BI30" s="29"/>
      <c r="BJ30" s="29"/>
      <c r="BK30" s="30"/>
      <c r="BL30" s="30"/>
    </row>
    <row r="31" customFormat="false" ht="12.75" hidden="false" customHeight="false" outlineLevel="0" collapsed="false">
      <c r="A31" s="24" t="n">
        <f aca="false">+BaseloadMarkets!A31</f>
        <v>36733</v>
      </c>
      <c r="B31" s="25" t="n">
        <v>3980</v>
      </c>
      <c r="C31" s="25"/>
      <c r="D31" s="25" t="n">
        <v>30000</v>
      </c>
      <c r="E31" s="25" t="n">
        <v>10000</v>
      </c>
      <c r="F31" s="25" t="n">
        <v>10000</v>
      </c>
      <c r="G31" s="25" t="n">
        <v>5000</v>
      </c>
      <c r="H31" s="25" t="n">
        <v>5000</v>
      </c>
      <c r="I31" s="25" t="n">
        <v>968</v>
      </c>
      <c r="J31" s="25" t="n">
        <v>4193</v>
      </c>
      <c r="K31" s="25" t="n">
        <v>4000</v>
      </c>
      <c r="L31" s="25" t="n">
        <v>10000</v>
      </c>
      <c r="M31" s="25" t="n">
        <v>14715</v>
      </c>
      <c r="N31" s="25" t="n">
        <v>2500</v>
      </c>
      <c r="O31" s="25" t="n">
        <v>5000</v>
      </c>
      <c r="P31" s="25" t="n">
        <v>4178</v>
      </c>
      <c r="Q31" s="25" t="n">
        <v>10000</v>
      </c>
      <c r="R31" s="25" t="n">
        <v>10000</v>
      </c>
      <c r="S31" s="25" t="n">
        <v>5443</v>
      </c>
      <c r="T31" s="25" t="n">
        <v>10000</v>
      </c>
      <c r="U31" s="25" t="n">
        <f aca="false">20000-4625+2654</f>
        <v>18029</v>
      </c>
      <c r="V31" s="25" t="n">
        <v>20000</v>
      </c>
      <c r="W31" s="25" t="n">
        <v>10000</v>
      </c>
      <c r="X31" s="25" t="n">
        <v>5695</v>
      </c>
      <c r="Y31" s="25" t="n">
        <v>3000</v>
      </c>
      <c r="Z31" s="25" t="n">
        <v>1226</v>
      </c>
      <c r="AA31" s="25" t="n">
        <v>14000</v>
      </c>
      <c r="AB31" s="25" t="n">
        <f aca="false">5434+10868</f>
        <v>16302</v>
      </c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6"/>
      <c r="AU31" s="25"/>
      <c r="AV31" s="25" t="n">
        <v>5000</v>
      </c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7" t="n">
        <f aca="false">SUM(B31:BF31)</f>
        <v>238229</v>
      </c>
      <c r="BH31" s="28" t="n">
        <f aca="false">BH30+1</f>
        <v>36733</v>
      </c>
      <c r="BI31" s="29"/>
      <c r="BJ31" s="29"/>
      <c r="BK31" s="30"/>
      <c r="BL31" s="30"/>
    </row>
    <row r="32" customFormat="false" ht="12.75" hidden="false" customHeight="false" outlineLevel="0" collapsed="false">
      <c r="A32" s="24" t="n">
        <f aca="false">+BaseloadMarkets!A32</f>
        <v>36734</v>
      </c>
      <c r="B32" s="25" t="n">
        <v>3980</v>
      </c>
      <c r="C32" s="25" t="n">
        <v>2713</v>
      </c>
      <c r="D32" s="25" t="n">
        <v>30000</v>
      </c>
      <c r="E32" s="25" t="n">
        <v>10000</v>
      </c>
      <c r="F32" s="25" t="n">
        <v>10000</v>
      </c>
      <c r="G32" s="25" t="n">
        <v>5000</v>
      </c>
      <c r="H32" s="25" t="n">
        <v>5000</v>
      </c>
      <c r="I32" s="25" t="n">
        <v>950</v>
      </c>
      <c r="J32" s="25" t="n">
        <v>4193</v>
      </c>
      <c r="K32" s="25" t="n">
        <v>4000</v>
      </c>
      <c r="L32" s="25" t="n">
        <v>10000</v>
      </c>
      <c r="M32" s="25" t="n">
        <v>14715</v>
      </c>
      <c r="N32" s="25" t="n">
        <v>2500</v>
      </c>
      <c r="O32" s="25" t="n">
        <v>5000</v>
      </c>
      <c r="P32" s="25" t="n">
        <v>4178</v>
      </c>
      <c r="Q32" s="25" t="n">
        <v>10000</v>
      </c>
      <c r="R32" s="25" t="n">
        <v>10000</v>
      </c>
      <c r="S32" s="25" t="n">
        <v>10000</v>
      </c>
      <c r="T32" s="25" t="n">
        <v>10000</v>
      </c>
      <c r="U32" s="25" t="n">
        <f aca="false">20000-4625+2655</f>
        <v>18030</v>
      </c>
      <c r="V32" s="25" t="n">
        <v>20000</v>
      </c>
      <c r="W32" s="25" t="n">
        <v>10000</v>
      </c>
      <c r="X32" s="25" t="n">
        <v>6092</v>
      </c>
      <c r="Y32" s="25" t="n">
        <v>3000</v>
      </c>
      <c r="Z32" s="25" t="n">
        <v>1130</v>
      </c>
      <c r="AA32" s="25" t="n">
        <v>14000</v>
      </c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 t="n">
        <v>12000</v>
      </c>
      <c r="AQ32" s="25"/>
      <c r="AR32" s="25"/>
      <c r="AS32" s="25"/>
      <c r="AT32" s="26"/>
      <c r="AU32" s="25"/>
      <c r="AV32" s="25" t="n">
        <v>2816</v>
      </c>
      <c r="AW32" s="25"/>
      <c r="AX32" s="25"/>
      <c r="AY32" s="25" t="n">
        <v>10000</v>
      </c>
      <c r="AZ32" s="25" t="n">
        <v>25000</v>
      </c>
      <c r="BA32" s="25"/>
      <c r="BB32" s="25"/>
      <c r="BC32" s="25"/>
      <c r="BD32" s="25"/>
      <c r="BE32" s="25"/>
      <c r="BF32" s="25"/>
      <c r="BG32" s="27" t="n">
        <f aca="false">SUM(B32:BF32)</f>
        <v>274297</v>
      </c>
      <c r="BH32" s="28" t="n">
        <f aca="false">BH31+1</f>
        <v>36734</v>
      </c>
      <c r="BI32" s="29"/>
      <c r="BJ32" s="29"/>
      <c r="BK32" s="30"/>
      <c r="BL32" s="30"/>
    </row>
    <row r="33" customFormat="false" ht="12.75" hidden="false" customHeight="false" outlineLevel="0" collapsed="false">
      <c r="A33" s="24" t="n">
        <f aca="false">+BaseloadMarkets!A33</f>
        <v>36735</v>
      </c>
      <c r="B33" s="25" t="n">
        <v>3980</v>
      </c>
      <c r="C33" s="25" t="n">
        <v>43947</v>
      </c>
      <c r="D33" s="25" t="n">
        <v>30000</v>
      </c>
      <c r="E33" s="25" t="n">
        <v>10000</v>
      </c>
      <c r="F33" s="25" t="n">
        <v>10000</v>
      </c>
      <c r="G33" s="25" t="n">
        <v>5000</v>
      </c>
      <c r="H33" s="25" t="n">
        <v>5000</v>
      </c>
      <c r="I33" s="25" t="n">
        <v>968</v>
      </c>
      <c r="J33" s="25" t="n">
        <v>4193</v>
      </c>
      <c r="K33" s="25" t="n">
        <v>4000</v>
      </c>
      <c r="L33" s="25" t="n">
        <v>10000</v>
      </c>
      <c r="M33" s="25" t="n">
        <v>14715</v>
      </c>
      <c r="N33" s="25" t="n">
        <v>2500</v>
      </c>
      <c r="O33" s="25" t="n">
        <v>608</v>
      </c>
      <c r="P33" s="25" t="n">
        <v>4178</v>
      </c>
      <c r="Q33" s="25" t="n">
        <v>10000</v>
      </c>
      <c r="R33" s="25" t="n">
        <v>10000</v>
      </c>
      <c r="S33" s="25" t="n">
        <v>8663</v>
      </c>
      <c r="T33" s="25" t="n">
        <v>10000</v>
      </c>
      <c r="U33" s="25" t="n">
        <v>18988</v>
      </c>
      <c r="V33" s="25" t="n">
        <v>20000</v>
      </c>
      <c r="W33" s="25" t="n">
        <v>10000</v>
      </c>
      <c r="X33" s="25" t="n">
        <v>8519</v>
      </c>
      <c r="Y33" s="25" t="n">
        <v>3000</v>
      </c>
      <c r="Z33" s="25" t="n">
        <v>2000</v>
      </c>
      <c r="AA33" s="25" t="n">
        <v>14000</v>
      </c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 t="n">
        <v>1158</v>
      </c>
      <c r="AQ33" s="25"/>
      <c r="AR33" s="25"/>
      <c r="AS33" s="25"/>
      <c r="AT33" s="26"/>
      <c r="AU33" s="25"/>
      <c r="AV33" s="25" t="n">
        <v>5000</v>
      </c>
      <c r="AW33" s="25"/>
      <c r="AX33" s="25"/>
      <c r="AY33" s="25" t="n">
        <v>20000</v>
      </c>
      <c r="AZ33" s="25"/>
      <c r="BA33" s="25"/>
      <c r="BB33" s="25"/>
      <c r="BC33" s="25"/>
      <c r="BD33" s="25"/>
      <c r="BE33" s="25"/>
      <c r="BF33" s="25"/>
      <c r="BG33" s="27" t="n">
        <f aca="false">SUM(B33:BF33)</f>
        <v>290417</v>
      </c>
      <c r="BH33" s="28" t="n">
        <f aca="false">BH32+1</f>
        <v>36735</v>
      </c>
      <c r="BI33" s="29"/>
      <c r="BJ33" s="29"/>
      <c r="BK33" s="30"/>
      <c r="BL33" s="30"/>
    </row>
    <row r="34" customFormat="false" ht="12.75" hidden="false" customHeight="false" outlineLevel="0" collapsed="false">
      <c r="A34" s="24" t="n">
        <f aca="false">+BaseloadMarkets!A34</f>
        <v>36736</v>
      </c>
      <c r="B34" s="25" t="n">
        <v>3980</v>
      </c>
      <c r="C34" s="25" t="n">
        <v>10029</v>
      </c>
      <c r="D34" s="25" t="n">
        <v>5000</v>
      </c>
      <c r="E34" s="25" t="n">
        <v>10000</v>
      </c>
      <c r="F34" s="25" t="n">
        <v>10000</v>
      </c>
      <c r="G34" s="25" t="n">
        <v>5000</v>
      </c>
      <c r="H34" s="25" t="n">
        <v>5000</v>
      </c>
      <c r="I34" s="25" t="n">
        <v>968</v>
      </c>
      <c r="J34" s="25" t="n">
        <v>4193</v>
      </c>
      <c r="K34" s="25" t="n">
        <v>4000</v>
      </c>
      <c r="L34" s="25" t="n">
        <v>10000</v>
      </c>
      <c r="M34" s="25" t="n">
        <v>12963</v>
      </c>
      <c r="N34" s="25" t="n">
        <v>0</v>
      </c>
      <c r="O34" s="25" t="n">
        <v>3870</v>
      </c>
      <c r="P34" s="25" t="n">
        <v>4178</v>
      </c>
      <c r="Q34" s="25" t="n">
        <v>10000</v>
      </c>
      <c r="R34" s="25" t="n">
        <v>10000</v>
      </c>
      <c r="S34" s="25" t="n">
        <v>10000</v>
      </c>
      <c r="T34" s="25" t="n">
        <v>10000</v>
      </c>
      <c r="U34" s="25" t="n">
        <v>18196</v>
      </c>
      <c r="V34" s="25" t="n">
        <v>20000</v>
      </c>
      <c r="W34" s="25" t="n">
        <v>10000</v>
      </c>
      <c r="X34" s="25" t="n">
        <v>10372</v>
      </c>
      <c r="Y34" s="25" t="n">
        <v>3000</v>
      </c>
      <c r="Z34" s="25" t="n">
        <v>1175</v>
      </c>
      <c r="AA34" s="25"/>
      <c r="AB34" s="25"/>
      <c r="AC34" s="25"/>
      <c r="AD34" s="25"/>
      <c r="AE34" s="25"/>
      <c r="AF34" s="25" t="n">
        <v>1338</v>
      </c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 t="n">
        <v>24133</v>
      </c>
      <c r="AS34" s="25"/>
      <c r="AT34" s="26"/>
      <c r="AU34" s="25"/>
      <c r="AV34" s="25" t="n">
        <v>3043</v>
      </c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7" t="n">
        <f aca="false">SUM(B34:BF34)</f>
        <v>220438</v>
      </c>
      <c r="BH34" s="28" t="n">
        <f aca="false">BH33+1</f>
        <v>36736</v>
      </c>
      <c r="BI34" s="29"/>
      <c r="BJ34" s="29"/>
      <c r="BK34" s="30"/>
      <c r="BL34" s="30"/>
    </row>
    <row r="35" customFormat="false" ht="12.75" hidden="false" customHeight="false" outlineLevel="0" collapsed="false">
      <c r="A35" s="24" t="n">
        <f aca="false">+BaseloadMarkets!A35</f>
        <v>36737</v>
      </c>
      <c r="B35" s="25" t="n">
        <v>3980</v>
      </c>
      <c r="C35" s="25" t="n">
        <v>25596</v>
      </c>
      <c r="D35" s="25" t="n">
        <v>5000</v>
      </c>
      <c r="E35" s="25" t="n">
        <v>10000</v>
      </c>
      <c r="F35" s="25" t="n">
        <v>10000</v>
      </c>
      <c r="G35" s="25" t="n">
        <v>5000</v>
      </c>
      <c r="H35" s="25" t="n">
        <v>5000</v>
      </c>
      <c r="I35" s="25" t="n">
        <v>968</v>
      </c>
      <c r="J35" s="25" t="n">
        <v>4193</v>
      </c>
      <c r="K35" s="25" t="n">
        <v>4000</v>
      </c>
      <c r="L35" s="25" t="n">
        <v>10000</v>
      </c>
      <c r="M35" s="25" t="n">
        <v>14715</v>
      </c>
      <c r="N35" s="25" t="n">
        <v>0</v>
      </c>
      <c r="O35" s="25" t="n">
        <v>3681</v>
      </c>
      <c r="P35" s="25" t="n">
        <v>4178</v>
      </c>
      <c r="Q35" s="25" t="n">
        <v>10000</v>
      </c>
      <c r="R35" s="25" t="n">
        <v>10000</v>
      </c>
      <c r="S35" s="25" t="n">
        <v>10000</v>
      </c>
      <c r="T35" s="25" t="n">
        <v>10000</v>
      </c>
      <c r="U35" s="25" t="n">
        <v>18133</v>
      </c>
      <c r="V35" s="25" t="n">
        <v>20000</v>
      </c>
      <c r="W35" s="25" t="n">
        <v>10000</v>
      </c>
      <c r="X35" s="25" t="n">
        <v>10323</v>
      </c>
      <c r="Y35" s="25" t="n">
        <v>3000</v>
      </c>
      <c r="Z35" s="25" t="n">
        <v>1183</v>
      </c>
      <c r="AA35" s="25"/>
      <c r="AB35" s="25"/>
      <c r="AC35" s="25"/>
      <c r="AD35" s="25"/>
      <c r="AE35" s="25"/>
      <c r="AF35" s="25" t="n">
        <v>1338</v>
      </c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 t="n">
        <v>23903</v>
      </c>
      <c r="AS35" s="25"/>
      <c r="AT35" s="26"/>
      <c r="AU35" s="25"/>
      <c r="AV35" s="25" t="n">
        <v>3010</v>
      </c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7" t="n">
        <f aca="false">SUM(B35:BF35)</f>
        <v>237201</v>
      </c>
      <c r="BH35" s="28" t="n">
        <f aca="false">BH34+1</f>
        <v>36737</v>
      </c>
      <c r="BI35" s="29"/>
      <c r="BJ35" s="29"/>
      <c r="BK35" s="30"/>
      <c r="BL35" s="30"/>
    </row>
    <row r="36" customFormat="false" ht="12.75" hidden="false" customHeight="false" outlineLevel="0" collapsed="false">
      <c r="A36" s="24" t="n">
        <f aca="false">+BaseloadMarkets!A36</f>
        <v>36738</v>
      </c>
      <c r="B36" s="25" t="n">
        <v>3980</v>
      </c>
      <c r="C36" s="25" t="n">
        <v>28075</v>
      </c>
      <c r="D36" s="25" t="n">
        <v>30000</v>
      </c>
      <c r="E36" s="25" t="n">
        <v>10000</v>
      </c>
      <c r="F36" s="25" t="n">
        <v>10000</v>
      </c>
      <c r="G36" s="25" t="n">
        <v>5000</v>
      </c>
      <c r="H36" s="25" t="n">
        <v>5000</v>
      </c>
      <c r="I36" s="25" t="n">
        <v>968</v>
      </c>
      <c r="J36" s="25" t="n">
        <v>4193</v>
      </c>
      <c r="K36" s="25" t="n">
        <v>4000</v>
      </c>
      <c r="L36" s="25" t="n">
        <v>10000</v>
      </c>
      <c r="M36" s="25" t="n">
        <v>14281</v>
      </c>
      <c r="N36" s="25" t="n">
        <v>5000</v>
      </c>
      <c r="O36" s="25" t="n">
        <v>2805</v>
      </c>
      <c r="P36" s="25" t="n">
        <v>4178</v>
      </c>
      <c r="Q36" s="25" t="n">
        <v>10000</v>
      </c>
      <c r="R36" s="25" t="n">
        <v>10000</v>
      </c>
      <c r="S36" s="25" t="n">
        <v>10000</v>
      </c>
      <c r="T36" s="25" t="n">
        <v>10000</v>
      </c>
      <c r="U36" s="25" t="n">
        <v>17755</v>
      </c>
      <c r="V36" s="25" t="n">
        <v>20000</v>
      </c>
      <c r="W36" s="25" t="n">
        <v>10000</v>
      </c>
      <c r="X36" s="25" t="n">
        <v>10273</v>
      </c>
      <c r="Y36" s="25" t="n">
        <v>3000</v>
      </c>
      <c r="Z36" s="25" t="n">
        <v>1179</v>
      </c>
      <c r="AA36" s="25"/>
      <c r="AB36" s="25"/>
      <c r="AC36" s="25"/>
      <c r="AD36" s="25"/>
      <c r="AE36" s="25"/>
      <c r="AF36" s="25" t="n">
        <v>1338</v>
      </c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 t="n">
        <v>23948</v>
      </c>
      <c r="AS36" s="25"/>
      <c r="AT36" s="26"/>
      <c r="AU36" s="25"/>
      <c r="AV36" s="25" t="n">
        <v>2948</v>
      </c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7" t="n">
        <f aca="false">SUM(B36:BF36)</f>
        <v>267921</v>
      </c>
      <c r="BH36" s="28" t="n">
        <f aca="false">BH35+1</f>
        <v>36738</v>
      </c>
      <c r="BI36" s="29"/>
      <c r="BJ36" s="29"/>
      <c r="BK36" s="30"/>
      <c r="BL36" s="30"/>
    </row>
    <row r="37" customFormat="false" ht="12.75" hidden="false" customHeight="false" outlineLevel="0" collapsed="false">
      <c r="A37" s="31" t="s">
        <v>62</v>
      </c>
      <c r="B37" s="32" t="n">
        <f aca="false">SUM(B6:B36)</f>
        <v>123382</v>
      </c>
      <c r="C37" s="32" t="n">
        <f aca="false">SUM(C6:C36)</f>
        <v>318553</v>
      </c>
      <c r="D37" s="32" t="n">
        <f aca="false">SUM(D6:D36)</f>
        <v>620000</v>
      </c>
      <c r="E37" s="32" t="n">
        <f aca="false">SUM(E6:E36)</f>
        <v>310000</v>
      </c>
      <c r="F37" s="32" t="n">
        <f aca="false">SUM(F6:F36)</f>
        <v>310000</v>
      </c>
      <c r="G37" s="32" t="n">
        <f aca="false">SUM(G6:G36)</f>
        <v>155000</v>
      </c>
      <c r="H37" s="32" t="n">
        <f aca="false">SUM(H6:H36)</f>
        <v>155000</v>
      </c>
      <c r="I37" s="32" t="n">
        <f aca="false">SUM(I6:I36)</f>
        <v>29769</v>
      </c>
      <c r="J37" s="32" t="n">
        <f aca="false">SUM(J6:J36)</f>
        <v>129398</v>
      </c>
      <c r="K37" s="32" t="n">
        <f aca="false">SUM(K6:K36)</f>
        <v>124000</v>
      </c>
      <c r="L37" s="32" t="n">
        <f aca="false">SUM(L6:L36)</f>
        <v>310000</v>
      </c>
      <c r="M37" s="32" t="n">
        <f aca="false">SUM(M6:M36)</f>
        <v>277807</v>
      </c>
      <c r="N37" s="32" t="n">
        <f aca="false">SUM(N6:N36)</f>
        <v>49778</v>
      </c>
      <c r="O37" s="32" t="n">
        <f aca="false">SUM(O6:O36)</f>
        <v>145964</v>
      </c>
      <c r="P37" s="32" t="n">
        <f aca="false">SUM(P6:P36)</f>
        <v>129518</v>
      </c>
      <c r="Q37" s="32" t="n">
        <f aca="false">SUM(Q6:Q36)</f>
        <v>306091</v>
      </c>
      <c r="R37" s="32" t="n">
        <f aca="false">SUM(R6:R36)</f>
        <v>306091</v>
      </c>
      <c r="S37" s="32" t="n">
        <f aca="false">SUM(S6:S36)</f>
        <v>300197</v>
      </c>
      <c r="T37" s="32" t="n">
        <f aca="false">SUM(T6:T36)</f>
        <v>306091</v>
      </c>
      <c r="U37" s="32" t="n">
        <f aca="false">SUM(U6:U36)</f>
        <v>440194</v>
      </c>
      <c r="V37" s="32" t="n">
        <f aca="false">SUM(V6:V36)</f>
        <v>599879</v>
      </c>
      <c r="W37" s="32" t="n">
        <f aca="false">SUM(W6:W36)</f>
        <v>247183</v>
      </c>
      <c r="X37" s="32" t="n">
        <f aca="false">SUM(X6:X36)</f>
        <v>230907</v>
      </c>
      <c r="Y37" s="32" t="n">
        <f aca="false">SUM(Y6:Y36)</f>
        <v>93000</v>
      </c>
      <c r="Z37" s="32" t="n">
        <f aca="false">SUM(Z6:Z36)</f>
        <v>33450</v>
      </c>
      <c r="AA37" s="32" t="n">
        <f aca="false">SUM(AA6:AA36)</f>
        <v>140000</v>
      </c>
      <c r="AB37" s="32" t="n">
        <f aca="false">SUM(AB6:AB36)</f>
        <v>134130</v>
      </c>
      <c r="AC37" s="32" t="n">
        <f aca="false">SUM(AC6:AC36)</f>
        <v>56000</v>
      </c>
      <c r="AD37" s="32" t="n">
        <f aca="false">SUM(AD6:AD36)</f>
        <v>80000</v>
      </c>
      <c r="AE37" s="32" t="n">
        <f aca="false">SUM(AE6:AE36)</f>
        <v>140000</v>
      </c>
      <c r="AF37" s="32" t="n">
        <f aca="false">SUM(AF6:AF36)</f>
        <v>97492</v>
      </c>
      <c r="AG37" s="32" t="n">
        <f aca="false">SUM(AG6:AG36)</f>
        <v>74882</v>
      </c>
      <c r="AH37" s="32" t="n">
        <f aca="false">SUM(AH6:AH36)</f>
        <v>15000</v>
      </c>
      <c r="AI37" s="32" t="n">
        <f aca="false">SUM(AI6:AI36)</f>
        <v>80000</v>
      </c>
      <c r="AJ37" s="32" t="n">
        <f aca="false">SUM(AJ6:AJ36)</f>
        <v>10000</v>
      </c>
      <c r="AK37" s="32" t="n">
        <f aca="false">SUM(AK6:AK36)</f>
        <v>26315</v>
      </c>
      <c r="AL37" s="32" t="n">
        <f aca="false">SUM(AL6:AL36)</f>
        <v>17044</v>
      </c>
      <c r="AM37" s="32" t="n">
        <f aca="false">SUM(AM6:AM36)</f>
        <v>10000</v>
      </c>
      <c r="AN37" s="32" t="n">
        <f aca="false">SUM(AN6:AN36)</f>
        <v>10922</v>
      </c>
      <c r="AO37" s="32" t="n">
        <f aca="false">SUM(AO6:AO36)</f>
        <v>10000</v>
      </c>
      <c r="AP37" s="32" t="n">
        <f aca="false">SUM(AP6:AP36)</f>
        <v>35704</v>
      </c>
      <c r="AQ37" s="32" t="n">
        <f aca="false">SUM(AQ6:AQ36)</f>
        <v>8008</v>
      </c>
      <c r="AR37" s="32" t="n">
        <f aca="false">SUM(AR6:AR36)</f>
        <v>131984</v>
      </c>
      <c r="AS37" s="32" t="n">
        <f aca="false">SUM(AS6:AS36)</f>
        <v>20000</v>
      </c>
      <c r="AT37" s="32" t="n">
        <f aca="false">SUM(AT6:AT36)</f>
        <v>30000</v>
      </c>
      <c r="AU37" s="32" t="n">
        <f aca="false">SUM(AU6:AU36)</f>
        <v>31000</v>
      </c>
      <c r="AV37" s="32" t="n">
        <f aca="false">SUM(AV6:AV36)</f>
        <v>51817</v>
      </c>
      <c r="AW37" s="32" t="n">
        <f aca="false">SUM(AW6:AW36)</f>
        <v>5000</v>
      </c>
      <c r="AX37" s="32" t="n">
        <f aca="false">SUM(AX6:AX36)</f>
        <v>24000</v>
      </c>
      <c r="AY37" s="32" t="n">
        <f aca="false">SUM(AY6:AY36)</f>
        <v>30000</v>
      </c>
      <c r="AZ37" s="32" t="n">
        <f aca="false">SUM(AZ6:AZ36)</f>
        <v>25000</v>
      </c>
      <c r="BA37" s="32" t="n">
        <f aca="false">SUM(BA6:BA36)</f>
        <v>0</v>
      </c>
      <c r="BB37" s="32"/>
      <c r="BC37" s="32"/>
      <c r="BD37" s="32"/>
      <c r="BE37" s="32" t="n">
        <f aca="false">SUM(BE6:BE36)</f>
        <v>0</v>
      </c>
      <c r="BF37" s="32" t="n">
        <f aca="false">SUM(BF6:BF36)</f>
        <v>0</v>
      </c>
      <c r="BG37" s="32" t="n">
        <f aca="false">SUM(BG6:BG36)</f>
        <v>7345550</v>
      </c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5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6"/>
      <c r="BH38" s="37"/>
    </row>
    <row r="39" customFormat="false" ht="12.75" hidden="false" customHeight="false" outlineLevel="0" collapsed="false">
      <c r="A39" s="38" t="s">
        <v>63</v>
      </c>
      <c r="B39" s="39" t="n">
        <f aca="false">B37-(3980*31)</f>
        <v>2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1"/>
      <c r="AU39" s="42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39"/>
      <c r="BH39" s="43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2.75" hidden="false" customHeight="false" outlineLevel="0" collapsed="false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41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6"/>
      <c r="BH40" s="37"/>
    </row>
    <row r="41" customFormat="false" ht="12.75" hidden="false" customHeight="false" outlineLevel="0" collapsed="false">
      <c r="A41" s="1" t="n">
        <v>1</v>
      </c>
      <c r="B41" s="44" t="n">
        <f aca="false">+A41+1</f>
        <v>2</v>
      </c>
      <c r="C41" s="44" t="n">
        <f aca="false">+B41+1</f>
        <v>3</v>
      </c>
      <c r="D41" s="44" t="n">
        <f aca="false">+C41+1</f>
        <v>4</v>
      </c>
      <c r="E41" s="44" t="n">
        <f aca="false">+D41+1</f>
        <v>5</v>
      </c>
      <c r="F41" s="44" t="n">
        <f aca="false">+E41+1</f>
        <v>6</v>
      </c>
      <c r="G41" s="44" t="n">
        <f aca="false">+F41+1</f>
        <v>7</v>
      </c>
      <c r="H41" s="44" t="n">
        <f aca="false">+G41+1</f>
        <v>8</v>
      </c>
      <c r="I41" s="44" t="n">
        <f aca="false">+H41+1</f>
        <v>9</v>
      </c>
      <c r="J41" s="44" t="n">
        <f aca="false">+I41+1</f>
        <v>10</v>
      </c>
      <c r="K41" s="44" t="n">
        <f aca="false">+J41+1</f>
        <v>11</v>
      </c>
      <c r="L41" s="44" t="n">
        <f aca="false">+K41+1</f>
        <v>12</v>
      </c>
      <c r="M41" s="44" t="n">
        <f aca="false">+L41+1</f>
        <v>13</v>
      </c>
      <c r="N41" s="44" t="n">
        <f aca="false">+M41+1</f>
        <v>14</v>
      </c>
      <c r="O41" s="44" t="n">
        <f aca="false">+N41+1</f>
        <v>15</v>
      </c>
      <c r="P41" s="44" t="n">
        <f aca="false">+O41+1</f>
        <v>16</v>
      </c>
      <c r="Q41" s="44" t="n">
        <f aca="false">+P41+1</f>
        <v>17</v>
      </c>
      <c r="R41" s="44" t="n">
        <f aca="false">+Q41+1</f>
        <v>18</v>
      </c>
      <c r="S41" s="44" t="n">
        <f aca="false">+R41+1</f>
        <v>19</v>
      </c>
      <c r="T41" s="44" t="n">
        <f aca="false">+S41+1</f>
        <v>20</v>
      </c>
      <c r="U41" s="44" t="n">
        <f aca="false">+T41+1</f>
        <v>21</v>
      </c>
      <c r="V41" s="44" t="n">
        <f aca="false">+U41+1</f>
        <v>22</v>
      </c>
      <c r="W41" s="44" t="n">
        <f aca="false">+V41+1</f>
        <v>23</v>
      </c>
      <c r="X41" s="44" t="n">
        <f aca="false">+W41+1</f>
        <v>24</v>
      </c>
      <c r="Y41" s="44" t="n">
        <f aca="false">+X41+1</f>
        <v>25</v>
      </c>
      <c r="Z41" s="44" t="n">
        <f aca="false">+Y41+1</f>
        <v>26</v>
      </c>
      <c r="AA41" s="44" t="n">
        <f aca="false">+Z41+1</f>
        <v>27</v>
      </c>
      <c r="AB41" s="44" t="n">
        <f aca="false">+AA41+1</f>
        <v>28</v>
      </c>
      <c r="AC41" s="44" t="n">
        <f aca="false">+AB41+1</f>
        <v>29</v>
      </c>
      <c r="AD41" s="44" t="n">
        <f aca="false">+AC41+1</f>
        <v>30</v>
      </c>
      <c r="AE41" s="44" t="n">
        <f aca="false">+AD41+1</f>
        <v>31</v>
      </c>
      <c r="AF41" s="44" t="n">
        <f aca="false">+AE41+1</f>
        <v>32</v>
      </c>
      <c r="AG41" s="44" t="n">
        <f aca="false">+AF41+1</f>
        <v>33</v>
      </c>
      <c r="AH41" s="44" t="n">
        <f aca="false">+AG41+1</f>
        <v>34</v>
      </c>
      <c r="AI41" s="44" t="n">
        <f aca="false">+AH41+1</f>
        <v>35</v>
      </c>
      <c r="AJ41" s="44" t="n">
        <f aca="false">+AI41+1</f>
        <v>36</v>
      </c>
      <c r="AK41" s="44" t="n">
        <f aca="false">+AJ41+1</f>
        <v>37</v>
      </c>
      <c r="AL41" s="44" t="n">
        <f aca="false">+AK41+1</f>
        <v>38</v>
      </c>
      <c r="AM41" s="44" t="n">
        <f aca="false">+AL41+1</f>
        <v>39</v>
      </c>
      <c r="AN41" s="44" t="n">
        <f aca="false">+AM41+1</f>
        <v>40</v>
      </c>
      <c r="AO41" s="44" t="n">
        <f aca="false">+AN41+1</f>
        <v>41</v>
      </c>
      <c r="AP41" s="44" t="n">
        <f aca="false">+AO41+1</f>
        <v>42</v>
      </c>
      <c r="AQ41" s="44" t="n">
        <f aca="false">+AP41+1</f>
        <v>43</v>
      </c>
      <c r="AR41" s="44" t="n">
        <f aca="false">+AQ41+1</f>
        <v>44</v>
      </c>
      <c r="AS41" s="44" t="n">
        <f aca="false">+AR41+1</f>
        <v>45</v>
      </c>
      <c r="AT41" s="44" t="n">
        <f aca="false">+AS41+1</f>
        <v>46</v>
      </c>
      <c r="AU41" s="44" t="n">
        <f aca="false">+AT41+1</f>
        <v>47</v>
      </c>
      <c r="AV41" s="44" t="n">
        <f aca="false">+AU41+1</f>
        <v>48</v>
      </c>
      <c r="AW41" s="44" t="n">
        <f aca="false">+AV41+1</f>
        <v>49</v>
      </c>
      <c r="AX41" s="44" t="n">
        <f aca="false">+AW41+1</f>
        <v>50</v>
      </c>
      <c r="AY41" s="44" t="n">
        <f aca="false">+AX41+1</f>
        <v>51</v>
      </c>
      <c r="AZ41" s="44" t="n">
        <f aca="false">+AY41+1</f>
        <v>52</v>
      </c>
      <c r="BA41" s="44" t="n">
        <f aca="false">+AZ41+1</f>
        <v>53</v>
      </c>
      <c r="BB41" s="44" t="n">
        <f aca="false">+BA41+1</f>
        <v>54</v>
      </c>
      <c r="BC41" s="44" t="n">
        <f aca="false">+BB41+1</f>
        <v>55</v>
      </c>
      <c r="BD41" s="44" t="n">
        <f aca="false">+BC41+1</f>
        <v>56</v>
      </c>
      <c r="BE41" s="44" t="n">
        <f aca="false">+BD41+1</f>
        <v>57</v>
      </c>
      <c r="BF41" s="44" t="n">
        <f aca="false">+BE41+1</f>
        <v>58</v>
      </c>
      <c r="BG41" s="44" t="n">
        <f aca="false">+BF41+1</f>
        <v>59</v>
      </c>
      <c r="BH41" s="44" t="n">
        <f aca="false">+BG41+1</f>
        <v>60</v>
      </c>
    </row>
    <row r="42" customFormat="false" ht="12.75" hidden="false" customHeight="false" outlineLevel="0" collapsed="false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41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6"/>
      <c r="BH42" s="37"/>
    </row>
    <row r="43" customFormat="false" ht="12.75" hidden="false" customHeight="false" outlineLevel="0" collapsed="false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41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6"/>
      <c r="BH43" s="37"/>
    </row>
    <row r="44" customFormat="false" ht="12.75" hidden="false" customHeight="false" outlineLevel="0" collapsed="false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0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6"/>
      <c r="BH44" s="37"/>
    </row>
    <row r="45" customFormat="false" ht="12.75" hidden="false" customHeight="false" outlineLevel="0" collapsed="false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6"/>
      <c r="BH45" s="37"/>
    </row>
    <row r="46" customFormat="false" ht="12.75" hidden="false" customHeight="false" outlineLevel="0" collapsed="false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6"/>
      <c r="BH46" s="37"/>
    </row>
    <row r="47" customFormat="false" ht="12.75" hidden="false" customHeight="false" outlineLevel="0" collapsed="false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6"/>
      <c r="BH47" s="37"/>
    </row>
    <row r="48" customFormat="false" ht="12.75" hidden="false" customHeight="false" outlineLevel="0" collapsed="false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6"/>
    </row>
    <row r="49" customFormat="false" ht="12.75" hidden="false" customHeight="false" outlineLevel="0" collapsed="false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6"/>
    </row>
    <row r="50" customFormat="false" ht="12.75" hidden="false" customHeight="false" outlineLevel="0" collapsed="false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6"/>
    </row>
  </sheetData>
  <printOptions headings="false" gridLines="true" gridLinesSet="true" horizontalCentered="true" verticalCentered="true"/>
  <pageMargins left="0.25" right="0.25" top="0.25" bottom="0.25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24" activePane="bottomRight" state="frozen"/>
      <selection pane="topLeft" activeCell="A1" activeCellId="0" sqref="A1"/>
      <selection pane="topRight" activeCell="B1" activeCellId="0" sqref="B1"/>
      <selection pane="bottomLeft" activeCell="A24" activeCellId="0" sqref="A24"/>
      <selection pane="bottomRight" activeCell="C37" activeCellId="0" sqref="C37"/>
    </sheetView>
  </sheetViews>
  <sheetFormatPr defaultColWidth="12.82421875" defaultRowHeight="12.75" customHeight="true" zeroHeight="false" outlineLevelRow="0" outlineLevelCol="0"/>
  <cols>
    <col collapsed="false" customWidth="false" hidden="false" outlineLevel="0" max="1" min="1" style="33" width="12.82"/>
    <col collapsed="false" customWidth="true" hidden="false" outlineLevel="0" max="2" min="2" style="419" width="21.32"/>
    <col collapsed="false" customWidth="true" hidden="false" outlineLevel="0" max="3" min="3" style="419" width="21.65"/>
    <col collapsed="false" customWidth="false" hidden="false" outlineLevel="0" max="6" min="4" style="419" width="12.82"/>
    <col collapsed="false" customWidth="false" hidden="false" outlineLevel="0" max="257" min="7" style="33" width="12.82"/>
  </cols>
  <sheetData>
    <row r="1" customFormat="false" ht="12.75" hidden="false" customHeight="false" outlineLevel="0" collapsed="false">
      <c r="A1" s="420" t="s">
        <v>129</v>
      </c>
      <c r="B1" s="421" t="n">
        <f aca="false">+BaseloadMarkets!B1</f>
        <v>36708</v>
      </c>
    </row>
    <row r="3" customFormat="false" ht="12.75" hidden="false" customHeight="false" outlineLevel="0" collapsed="false">
      <c r="A3" s="422" t="str">
        <f aca="false">+OCCMarkets!A3</f>
        <v>OCC</v>
      </c>
      <c r="B3" s="423" t="str">
        <f aca="false">+OCCMarkets!BL3</f>
        <v>E57</v>
      </c>
      <c r="C3" s="424" t="n">
        <v>322113</v>
      </c>
      <c r="D3" s="423"/>
      <c r="E3" s="423"/>
      <c r="F3" s="423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6"/>
      <c r="AY3" s="426"/>
      <c r="AZ3" s="426"/>
      <c r="BA3" s="426"/>
      <c r="BB3" s="426"/>
      <c r="BC3" s="426"/>
      <c r="BD3" s="426"/>
      <c r="BE3" s="426"/>
      <c r="BF3" s="426"/>
      <c r="BG3" s="426"/>
      <c r="BH3" s="426"/>
      <c r="BI3" s="426"/>
      <c r="BJ3" s="426"/>
      <c r="BK3" s="426"/>
      <c r="BL3" s="426"/>
      <c r="BM3" s="426"/>
      <c r="BN3" s="426"/>
      <c r="BO3" s="426"/>
      <c r="BP3" s="426"/>
      <c r="BQ3" s="426"/>
      <c r="BR3" s="426"/>
      <c r="BS3" s="426"/>
      <c r="BT3" s="426"/>
      <c r="BU3" s="426"/>
      <c r="BV3" s="426"/>
      <c r="BW3" s="426"/>
      <c r="BX3" s="426"/>
      <c r="BY3" s="426"/>
      <c r="BZ3" s="426"/>
      <c r="CA3" s="426"/>
      <c r="CB3" s="426"/>
      <c r="CC3" s="426"/>
      <c r="CD3" s="426"/>
      <c r="CE3" s="426"/>
      <c r="CF3" s="426"/>
      <c r="CG3" s="426"/>
      <c r="CH3" s="426"/>
      <c r="CI3" s="426"/>
      <c r="CJ3" s="426"/>
      <c r="CK3" s="426"/>
      <c r="CL3" s="426"/>
      <c r="CM3" s="426"/>
      <c r="CN3" s="426"/>
      <c r="CO3" s="426"/>
      <c r="CP3" s="426"/>
      <c r="CQ3" s="426"/>
      <c r="CR3" s="426"/>
      <c r="CS3" s="426"/>
      <c r="CT3" s="426"/>
      <c r="CU3" s="426"/>
      <c r="CV3" s="426"/>
      <c r="CW3" s="426"/>
      <c r="CX3" s="426"/>
      <c r="CY3" s="426"/>
      <c r="CZ3" s="426"/>
      <c r="DA3" s="426"/>
      <c r="DB3" s="426"/>
      <c r="DC3" s="426"/>
      <c r="DD3" s="426"/>
      <c r="DE3" s="426"/>
      <c r="DF3" s="426"/>
      <c r="DG3" s="426"/>
      <c r="DH3" s="426"/>
      <c r="DI3" s="426"/>
      <c r="DJ3" s="426"/>
      <c r="DK3" s="426"/>
      <c r="DL3" s="426"/>
      <c r="DM3" s="426"/>
      <c r="DN3" s="426"/>
      <c r="DO3" s="426"/>
      <c r="DP3" s="426"/>
      <c r="DQ3" s="426"/>
      <c r="DR3" s="426"/>
      <c r="DS3" s="426"/>
      <c r="DT3" s="426"/>
      <c r="DU3" s="426"/>
      <c r="DV3" s="426"/>
      <c r="DW3" s="426"/>
      <c r="DX3" s="426"/>
      <c r="DY3" s="426"/>
      <c r="DZ3" s="426"/>
      <c r="EA3" s="426"/>
      <c r="EB3" s="426"/>
      <c r="EC3" s="426"/>
      <c r="ED3" s="426"/>
      <c r="EE3" s="426"/>
      <c r="EF3" s="426"/>
      <c r="EG3" s="426"/>
      <c r="EH3" s="426"/>
      <c r="EI3" s="426"/>
      <c r="EJ3" s="426"/>
      <c r="EK3" s="426"/>
      <c r="EL3" s="426"/>
      <c r="EM3" s="426"/>
      <c r="EN3" s="426"/>
      <c r="EO3" s="426"/>
      <c r="EP3" s="426"/>
      <c r="EQ3" s="426"/>
      <c r="ER3" s="426"/>
      <c r="ES3" s="426"/>
      <c r="ET3" s="426"/>
      <c r="EU3" s="426"/>
      <c r="EV3" s="426"/>
      <c r="EW3" s="426"/>
      <c r="EX3" s="426"/>
      <c r="EY3" s="426"/>
      <c r="EZ3" s="426"/>
      <c r="FA3" s="426"/>
      <c r="FB3" s="426"/>
      <c r="FC3" s="426"/>
      <c r="FD3" s="426"/>
      <c r="FE3" s="426"/>
      <c r="FF3" s="426"/>
      <c r="FG3" s="426"/>
      <c r="FH3" s="426"/>
      <c r="FI3" s="426"/>
      <c r="FJ3" s="426"/>
      <c r="FK3" s="426"/>
      <c r="FL3" s="426"/>
      <c r="FM3" s="426"/>
      <c r="FN3" s="426"/>
      <c r="FO3" s="426"/>
      <c r="FP3" s="426"/>
      <c r="FQ3" s="426"/>
      <c r="FR3" s="426"/>
      <c r="FS3" s="426"/>
      <c r="FT3" s="426"/>
      <c r="FU3" s="426"/>
      <c r="FV3" s="426"/>
      <c r="FW3" s="426"/>
      <c r="FX3" s="426"/>
      <c r="FY3" s="426"/>
      <c r="FZ3" s="426"/>
      <c r="GA3" s="426"/>
      <c r="GB3" s="426"/>
      <c r="GC3" s="426"/>
      <c r="GD3" s="426"/>
      <c r="GE3" s="426"/>
      <c r="GF3" s="426"/>
      <c r="GG3" s="426"/>
      <c r="GH3" s="426"/>
      <c r="GI3" s="426"/>
      <c r="GJ3" s="426"/>
      <c r="GK3" s="426"/>
      <c r="GL3" s="426"/>
      <c r="GM3" s="426"/>
      <c r="GN3" s="426"/>
      <c r="GO3" s="426"/>
      <c r="GP3" s="426"/>
      <c r="GQ3" s="426"/>
      <c r="GR3" s="426"/>
      <c r="GS3" s="426"/>
      <c r="GT3" s="426"/>
      <c r="GU3" s="426"/>
      <c r="GV3" s="426"/>
      <c r="GW3" s="426"/>
      <c r="GX3" s="426"/>
      <c r="GY3" s="426"/>
      <c r="GZ3" s="426"/>
      <c r="HA3" s="426"/>
      <c r="HB3" s="426"/>
      <c r="HC3" s="426"/>
      <c r="HD3" s="426"/>
      <c r="HE3" s="426"/>
      <c r="HF3" s="426"/>
      <c r="HG3" s="426"/>
      <c r="HH3" s="426"/>
      <c r="HI3" s="426"/>
      <c r="HJ3" s="426"/>
      <c r="HK3" s="426"/>
      <c r="HL3" s="426"/>
      <c r="HM3" s="426"/>
      <c r="HN3" s="426"/>
      <c r="HO3" s="426"/>
      <c r="HP3" s="426"/>
      <c r="HQ3" s="426"/>
      <c r="HR3" s="426"/>
      <c r="HS3" s="426"/>
      <c r="HT3" s="426"/>
      <c r="HU3" s="426"/>
      <c r="HV3" s="426"/>
      <c r="HW3" s="426"/>
      <c r="HX3" s="426"/>
      <c r="HY3" s="426"/>
      <c r="HZ3" s="426"/>
      <c r="IA3" s="426"/>
      <c r="IB3" s="426"/>
      <c r="IC3" s="426"/>
      <c r="ID3" s="426"/>
      <c r="IE3" s="426"/>
      <c r="IF3" s="426"/>
      <c r="IG3" s="426"/>
      <c r="IH3" s="426"/>
      <c r="II3" s="426"/>
      <c r="IJ3" s="426"/>
      <c r="IK3" s="426"/>
      <c r="IL3" s="426"/>
      <c r="IM3" s="426"/>
      <c r="IN3" s="426"/>
      <c r="IO3" s="426"/>
      <c r="IP3" s="426"/>
      <c r="IQ3" s="426"/>
      <c r="IR3" s="426"/>
      <c r="IS3" s="426"/>
      <c r="IT3" s="426"/>
      <c r="IU3" s="426"/>
      <c r="IV3" s="426"/>
      <c r="IW3" s="426"/>
    </row>
    <row r="4" customFormat="false" ht="12.75" hidden="false" customHeight="false" outlineLevel="0" collapsed="false">
      <c r="A4" s="422" t="str">
        <f aca="false">+OCCMarkets!A4</f>
        <v>CounterParty</v>
      </c>
      <c r="B4" s="423" t="str">
        <f aca="false">+OCCMarkets!BL4</f>
        <v>Harbor Cogen</v>
      </c>
      <c r="C4" s="423" t="s">
        <v>129</v>
      </c>
      <c r="D4" s="423"/>
      <c r="E4" s="423" t="str">
        <f aca="false">+OCCMarkets!AO4</f>
        <v>Daily</v>
      </c>
      <c r="F4" s="423" t="str">
        <f aca="false">+OCCMarkets!AP4</f>
        <v>Cumulative</v>
      </c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426"/>
      <c r="AY4" s="426"/>
      <c r="AZ4" s="426"/>
      <c r="BA4" s="426"/>
      <c r="BB4" s="426"/>
      <c r="BC4" s="426"/>
      <c r="BD4" s="426"/>
      <c r="BE4" s="426"/>
      <c r="BF4" s="426"/>
      <c r="BG4" s="426"/>
      <c r="BH4" s="426"/>
      <c r="BI4" s="426"/>
      <c r="BJ4" s="426"/>
      <c r="BK4" s="426"/>
      <c r="BL4" s="426"/>
      <c r="BM4" s="426"/>
      <c r="BN4" s="426"/>
      <c r="BO4" s="426"/>
      <c r="BP4" s="426"/>
      <c r="BQ4" s="426"/>
      <c r="BR4" s="426"/>
      <c r="BS4" s="426"/>
      <c r="BT4" s="426"/>
      <c r="BU4" s="426"/>
      <c r="BV4" s="426"/>
      <c r="BW4" s="426"/>
      <c r="BX4" s="426"/>
      <c r="BY4" s="426"/>
      <c r="BZ4" s="426"/>
      <c r="CA4" s="426"/>
      <c r="CB4" s="426"/>
      <c r="CC4" s="426"/>
      <c r="CD4" s="426"/>
      <c r="CE4" s="426"/>
      <c r="CF4" s="426"/>
      <c r="CG4" s="426"/>
      <c r="CH4" s="426"/>
      <c r="CI4" s="426"/>
      <c r="CJ4" s="426"/>
      <c r="CK4" s="426"/>
      <c r="CL4" s="426"/>
      <c r="CM4" s="426"/>
      <c r="CN4" s="426"/>
      <c r="CO4" s="426"/>
      <c r="CP4" s="426"/>
      <c r="CQ4" s="426"/>
      <c r="CR4" s="426"/>
      <c r="CS4" s="426"/>
      <c r="CT4" s="426"/>
      <c r="CU4" s="426"/>
      <c r="CV4" s="426"/>
      <c r="CW4" s="426"/>
      <c r="CX4" s="426"/>
      <c r="CY4" s="426"/>
      <c r="CZ4" s="426"/>
      <c r="DA4" s="426"/>
      <c r="DB4" s="426"/>
      <c r="DC4" s="426"/>
      <c r="DD4" s="426"/>
      <c r="DE4" s="426"/>
      <c r="DF4" s="426"/>
      <c r="DG4" s="426"/>
      <c r="DH4" s="426"/>
      <c r="DI4" s="426"/>
      <c r="DJ4" s="426"/>
      <c r="DK4" s="426"/>
      <c r="DL4" s="426"/>
      <c r="DM4" s="426"/>
      <c r="DN4" s="426"/>
      <c r="DO4" s="426"/>
      <c r="DP4" s="426"/>
      <c r="DQ4" s="426"/>
      <c r="DR4" s="426"/>
      <c r="DS4" s="426"/>
      <c r="DT4" s="426"/>
      <c r="DU4" s="426"/>
      <c r="DV4" s="426"/>
      <c r="DW4" s="426"/>
      <c r="DX4" s="426"/>
      <c r="DY4" s="426"/>
      <c r="DZ4" s="426"/>
      <c r="EA4" s="426"/>
      <c r="EB4" s="426"/>
      <c r="EC4" s="426"/>
      <c r="ED4" s="426"/>
      <c r="EE4" s="426"/>
      <c r="EF4" s="426"/>
      <c r="EG4" s="426"/>
      <c r="EH4" s="426"/>
      <c r="EI4" s="426"/>
      <c r="EJ4" s="426"/>
      <c r="EK4" s="426"/>
      <c r="EL4" s="426"/>
      <c r="EM4" s="426"/>
      <c r="EN4" s="426"/>
      <c r="EO4" s="426"/>
      <c r="EP4" s="426"/>
      <c r="EQ4" s="426"/>
      <c r="ER4" s="426"/>
      <c r="ES4" s="426"/>
      <c r="ET4" s="426"/>
      <c r="EU4" s="426"/>
      <c r="EV4" s="426"/>
      <c r="EW4" s="426"/>
      <c r="EX4" s="426"/>
      <c r="EY4" s="426"/>
      <c r="EZ4" s="426"/>
      <c r="FA4" s="426"/>
      <c r="FB4" s="426"/>
      <c r="FC4" s="426"/>
      <c r="FD4" s="426"/>
      <c r="FE4" s="426"/>
      <c r="FF4" s="426"/>
      <c r="FG4" s="426"/>
      <c r="FH4" s="426"/>
      <c r="FI4" s="426"/>
      <c r="FJ4" s="426"/>
      <c r="FK4" s="426"/>
      <c r="FL4" s="426"/>
      <c r="FM4" s="426"/>
      <c r="FN4" s="426"/>
      <c r="FO4" s="426"/>
      <c r="FP4" s="426"/>
      <c r="FQ4" s="426"/>
      <c r="FR4" s="426"/>
      <c r="FS4" s="426"/>
      <c r="FT4" s="426"/>
      <c r="FU4" s="426"/>
      <c r="FV4" s="426"/>
      <c r="FW4" s="426"/>
      <c r="FX4" s="426"/>
      <c r="FY4" s="426"/>
      <c r="FZ4" s="426"/>
      <c r="GA4" s="426"/>
      <c r="GB4" s="426"/>
      <c r="GC4" s="426"/>
      <c r="GD4" s="426"/>
      <c r="GE4" s="426"/>
      <c r="GF4" s="426"/>
      <c r="GG4" s="426"/>
      <c r="GH4" s="426"/>
      <c r="GI4" s="426"/>
      <c r="GJ4" s="426"/>
      <c r="GK4" s="426"/>
      <c r="GL4" s="426"/>
      <c r="GM4" s="426"/>
      <c r="GN4" s="426"/>
      <c r="GO4" s="426"/>
      <c r="GP4" s="426"/>
      <c r="GQ4" s="426"/>
      <c r="GR4" s="426"/>
      <c r="GS4" s="426"/>
      <c r="GT4" s="426"/>
      <c r="GU4" s="426"/>
      <c r="GV4" s="426"/>
      <c r="GW4" s="426"/>
      <c r="GX4" s="426"/>
      <c r="GY4" s="426"/>
      <c r="GZ4" s="426"/>
      <c r="HA4" s="426"/>
      <c r="HB4" s="426"/>
      <c r="HC4" s="426"/>
      <c r="HD4" s="426"/>
      <c r="HE4" s="426"/>
      <c r="HF4" s="426"/>
      <c r="HG4" s="426"/>
      <c r="HH4" s="426"/>
      <c r="HI4" s="426"/>
      <c r="HJ4" s="426"/>
      <c r="HK4" s="426"/>
      <c r="HL4" s="426"/>
      <c r="HM4" s="426"/>
      <c r="HN4" s="426"/>
      <c r="HO4" s="426"/>
      <c r="HP4" s="426"/>
      <c r="HQ4" s="426"/>
      <c r="HR4" s="426"/>
      <c r="HS4" s="426"/>
      <c r="HT4" s="426"/>
      <c r="HU4" s="426"/>
      <c r="HV4" s="426"/>
      <c r="HW4" s="426"/>
      <c r="HX4" s="426"/>
      <c r="HY4" s="426"/>
      <c r="HZ4" s="426"/>
      <c r="IA4" s="426"/>
      <c r="IB4" s="426"/>
      <c r="IC4" s="426"/>
      <c r="ID4" s="426"/>
      <c r="IE4" s="426"/>
      <c r="IF4" s="426"/>
      <c r="IG4" s="426"/>
      <c r="IH4" s="426"/>
      <c r="II4" s="426"/>
      <c r="IJ4" s="426"/>
      <c r="IK4" s="426"/>
      <c r="IL4" s="426"/>
      <c r="IM4" s="426"/>
      <c r="IN4" s="426"/>
      <c r="IO4" s="426"/>
      <c r="IP4" s="426"/>
      <c r="IQ4" s="426"/>
      <c r="IR4" s="426"/>
      <c r="IS4" s="426"/>
      <c r="IT4" s="426"/>
      <c r="IU4" s="426"/>
      <c r="IV4" s="426"/>
      <c r="IW4" s="426"/>
    </row>
    <row r="5" customFormat="false" ht="12.75" hidden="false" customHeight="false" outlineLevel="0" collapsed="false">
      <c r="A5" s="422" t="str">
        <f aca="false">+OCCMarkets!A5</f>
        <v>Pipeline</v>
      </c>
      <c r="B5" s="423" t="str">
        <f aca="false">+OCCMarkets!BL5</f>
        <v>Demand</v>
      </c>
      <c r="C5" s="423" t="s">
        <v>282</v>
      </c>
      <c r="D5" s="423"/>
      <c r="E5" s="423" t="str">
        <f aca="false">+OCCMarkets!AO5</f>
        <v>Long/(Short)</v>
      </c>
      <c r="F5" s="423" t="str">
        <f aca="false">+OCCMarkets!AP5</f>
        <v>Imbalance</v>
      </c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6"/>
      <c r="AY5" s="426"/>
      <c r="AZ5" s="426"/>
      <c r="BA5" s="426"/>
      <c r="BB5" s="426"/>
      <c r="BC5" s="426"/>
      <c r="BD5" s="426"/>
      <c r="BE5" s="426"/>
      <c r="BF5" s="426"/>
      <c r="BG5" s="426"/>
      <c r="BH5" s="426"/>
      <c r="BI5" s="426"/>
      <c r="BJ5" s="426"/>
      <c r="BK5" s="426"/>
      <c r="BL5" s="426"/>
      <c r="BM5" s="426"/>
      <c r="BN5" s="426"/>
      <c r="BO5" s="426"/>
      <c r="BP5" s="426"/>
      <c r="BQ5" s="426"/>
      <c r="BR5" s="426"/>
      <c r="BS5" s="426"/>
      <c r="BT5" s="426"/>
      <c r="BU5" s="426"/>
      <c r="BV5" s="426"/>
      <c r="BW5" s="426"/>
      <c r="BX5" s="426"/>
      <c r="BY5" s="426"/>
      <c r="BZ5" s="426"/>
      <c r="CA5" s="426"/>
      <c r="CB5" s="426"/>
      <c r="CC5" s="426"/>
      <c r="CD5" s="426"/>
      <c r="CE5" s="426"/>
      <c r="CF5" s="426"/>
      <c r="CG5" s="426"/>
      <c r="CH5" s="426"/>
      <c r="CI5" s="426"/>
      <c r="CJ5" s="426"/>
      <c r="CK5" s="426"/>
      <c r="CL5" s="426"/>
      <c r="CM5" s="426"/>
      <c r="CN5" s="426"/>
      <c r="CO5" s="426"/>
      <c r="CP5" s="426"/>
      <c r="CQ5" s="426"/>
      <c r="CR5" s="426"/>
      <c r="CS5" s="426"/>
      <c r="CT5" s="426"/>
      <c r="CU5" s="426"/>
      <c r="CV5" s="426"/>
      <c r="CW5" s="426"/>
      <c r="CX5" s="426"/>
      <c r="CY5" s="426"/>
      <c r="CZ5" s="426"/>
      <c r="DA5" s="426"/>
      <c r="DB5" s="426"/>
      <c r="DC5" s="426"/>
      <c r="DD5" s="426"/>
      <c r="DE5" s="426"/>
      <c r="DF5" s="426"/>
      <c r="DG5" s="426"/>
      <c r="DH5" s="426"/>
      <c r="DI5" s="426"/>
      <c r="DJ5" s="426"/>
      <c r="DK5" s="426"/>
      <c r="DL5" s="426"/>
      <c r="DM5" s="426"/>
      <c r="DN5" s="426"/>
      <c r="DO5" s="426"/>
      <c r="DP5" s="426"/>
      <c r="DQ5" s="426"/>
      <c r="DR5" s="426"/>
      <c r="DS5" s="426"/>
      <c r="DT5" s="426"/>
      <c r="DU5" s="426"/>
      <c r="DV5" s="426"/>
      <c r="DW5" s="426"/>
      <c r="DX5" s="426"/>
      <c r="DY5" s="426"/>
      <c r="DZ5" s="426"/>
      <c r="EA5" s="426"/>
      <c r="EB5" s="426"/>
      <c r="EC5" s="426"/>
      <c r="ED5" s="426"/>
      <c r="EE5" s="426"/>
      <c r="EF5" s="426"/>
      <c r="EG5" s="426"/>
      <c r="EH5" s="426"/>
      <c r="EI5" s="426"/>
      <c r="EJ5" s="426"/>
      <c r="EK5" s="426"/>
      <c r="EL5" s="426"/>
      <c r="EM5" s="426"/>
      <c r="EN5" s="426"/>
      <c r="EO5" s="426"/>
      <c r="EP5" s="426"/>
      <c r="EQ5" s="426"/>
      <c r="ER5" s="426"/>
      <c r="ES5" s="426"/>
      <c r="ET5" s="426"/>
      <c r="EU5" s="426"/>
      <c r="EV5" s="426"/>
      <c r="EW5" s="426"/>
      <c r="EX5" s="426"/>
      <c r="EY5" s="426"/>
      <c r="EZ5" s="426"/>
      <c r="FA5" s="426"/>
      <c r="FB5" s="426"/>
      <c r="FC5" s="426"/>
      <c r="FD5" s="426"/>
      <c r="FE5" s="426"/>
      <c r="FF5" s="426"/>
      <c r="FG5" s="426"/>
      <c r="FH5" s="426"/>
      <c r="FI5" s="426"/>
      <c r="FJ5" s="426"/>
      <c r="FK5" s="426"/>
      <c r="FL5" s="426"/>
      <c r="FM5" s="426"/>
      <c r="FN5" s="426"/>
      <c r="FO5" s="426"/>
      <c r="FP5" s="426"/>
      <c r="FQ5" s="426"/>
      <c r="FR5" s="426"/>
      <c r="FS5" s="426"/>
      <c r="FT5" s="426"/>
      <c r="FU5" s="426"/>
      <c r="FV5" s="426"/>
      <c r="FW5" s="426"/>
      <c r="FX5" s="426"/>
      <c r="FY5" s="426"/>
      <c r="FZ5" s="426"/>
      <c r="GA5" s="426"/>
      <c r="GB5" s="426"/>
      <c r="GC5" s="426"/>
      <c r="GD5" s="426"/>
      <c r="GE5" s="426"/>
      <c r="GF5" s="426"/>
      <c r="GG5" s="426"/>
      <c r="GH5" s="426"/>
      <c r="GI5" s="426"/>
      <c r="GJ5" s="426"/>
      <c r="GK5" s="426"/>
      <c r="GL5" s="426"/>
      <c r="GM5" s="426"/>
      <c r="GN5" s="426"/>
      <c r="GO5" s="426"/>
      <c r="GP5" s="426"/>
      <c r="GQ5" s="426"/>
      <c r="GR5" s="426"/>
      <c r="GS5" s="426"/>
      <c r="GT5" s="426"/>
      <c r="GU5" s="426"/>
      <c r="GV5" s="426"/>
      <c r="GW5" s="426"/>
      <c r="GX5" s="426"/>
      <c r="GY5" s="426"/>
      <c r="GZ5" s="426"/>
      <c r="HA5" s="426"/>
      <c r="HB5" s="426"/>
      <c r="HC5" s="426"/>
      <c r="HD5" s="426"/>
      <c r="HE5" s="426"/>
      <c r="HF5" s="426"/>
      <c r="HG5" s="426"/>
      <c r="HH5" s="426"/>
      <c r="HI5" s="426"/>
      <c r="HJ5" s="426"/>
      <c r="HK5" s="426"/>
      <c r="HL5" s="426"/>
      <c r="HM5" s="426"/>
      <c r="HN5" s="426"/>
      <c r="HO5" s="426"/>
      <c r="HP5" s="426"/>
      <c r="HQ5" s="426"/>
      <c r="HR5" s="426"/>
      <c r="HS5" s="426"/>
      <c r="HT5" s="426"/>
      <c r="HU5" s="426"/>
      <c r="HV5" s="426"/>
      <c r="HW5" s="426"/>
      <c r="HX5" s="426"/>
      <c r="HY5" s="426"/>
      <c r="HZ5" s="426"/>
      <c r="IA5" s="426"/>
      <c r="IB5" s="426"/>
      <c r="IC5" s="426"/>
      <c r="ID5" s="426"/>
      <c r="IE5" s="426"/>
      <c r="IF5" s="426"/>
      <c r="IG5" s="426"/>
      <c r="IH5" s="426"/>
      <c r="II5" s="426"/>
      <c r="IJ5" s="426"/>
      <c r="IK5" s="426"/>
      <c r="IL5" s="426"/>
      <c r="IM5" s="426"/>
      <c r="IN5" s="426"/>
      <c r="IO5" s="426"/>
      <c r="IP5" s="426"/>
      <c r="IQ5" s="426"/>
      <c r="IR5" s="426"/>
      <c r="IS5" s="426"/>
      <c r="IT5" s="426"/>
      <c r="IU5" s="426"/>
      <c r="IV5" s="426"/>
      <c r="IW5" s="426"/>
    </row>
    <row r="6" customFormat="false" ht="12.75" hidden="false" customHeight="false" outlineLevel="0" collapsed="false">
      <c r="A6" s="381" t="n">
        <f aca="false">+BaseloadMarkets!A6</f>
        <v>36708</v>
      </c>
      <c r="B6" s="423" t="n">
        <f aca="false">+OCCMarkets!BL6</f>
        <v>0</v>
      </c>
      <c r="C6" s="423" t="n">
        <v>0</v>
      </c>
      <c r="D6" s="423"/>
      <c r="E6" s="423" t="n">
        <f aca="false">-B6+C6</f>
        <v>0</v>
      </c>
      <c r="F6" s="423" t="n">
        <f aca="false">+E6</f>
        <v>0</v>
      </c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7"/>
    </row>
    <row r="7" customFormat="false" ht="12.75" hidden="false" customHeight="false" outlineLevel="0" collapsed="false">
      <c r="A7" s="381" t="n">
        <f aca="false">+BaseloadMarkets!A7</f>
        <v>36709</v>
      </c>
      <c r="B7" s="423" t="n">
        <f aca="false">+OCCMarkets!BL7</f>
        <v>2488</v>
      </c>
      <c r="C7" s="423" t="n">
        <v>0</v>
      </c>
      <c r="D7" s="423"/>
      <c r="E7" s="423" t="n">
        <f aca="false">-B7+C7</f>
        <v>-2488</v>
      </c>
      <c r="F7" s="423" t="n">
        <f aca="false">+F6+E7</f>
        <v>-2488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427"/>
      <c r="AN7" s="427"/>
      <c r="AO7" s="427"/>
      <c r="AP7" s="427"/>
      <c r="AQ7" s="427"/>
      <c r="AR7" s="427"/>
      <c r="AS7" s="427"/>
      <c r="AT7" s="427"/>
      <c r="AU7" s="427"/>
      <c r="AV7" s="427"/>
      <c r="AW7" s="427"/>
    </row>
    <row r="8" customFormat="false" ht="12.75" hidden="false" customHeight="false" outlineLevel="0" collapsed="false">
      <c r="A8" s="381" t="n">
        <f aca="false">+BaseloadMarkets!A8</f>
        <v>36710</v>
      </c>
      <c r="B8" s="423" t="n">
        <f aca="false">+OCCMarkets!BL8</f>
        <v>6024</v>
      </c>
      <c r="C8" s="423" t="n">
        <v>0</v>
      </c>
      <c r="D8" s="423"/>
      <c r="E8" s="423" t="n">
        <f aca="false">-B8+C8</f>
        <v>-6024</v>
      </c>
      <c r="F8" s="423" t="n">
        <f aca="false">+F7+E8</f>
        <v>-8512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27"/>
      <c r="AC8" s="427"/>
      <c r="AD8" s="427"/>
      <c r="AE8" s="427"/>
      <c r="AF8" s="427"/>
      <c r="AG8" s="427"/>
      <c r="AH8" s="427"/>
      <c r="AI8" s="427"/>
      <c r="AJ8" s="427"/>
      <c r="AK8" s="427"/>
      <c r="AL8" s="427"/>
      <c r="AM8" s="427"/>
      <c r="AN8" s="427"/>
      <c r="AO8" s="427"/>
      <c r="AP8" s="427"/>
      <c r="AQ8" s="427"/>
      <c r="AR8" s="427"/>
      <c r="AS8" s="427"/>
      <c r="AT8" s="427"/>
      <c r="AU8" s="427"/>
      <c r="AV8" s="427"/>
      <c r="AW8" s="427"/>
    </row>
    <row r="9" customFormat="false" ht="12.75" hidden="false" customHeight="false" outlineLevel="0" collapsed="false">
      <c r="A9" s="381" t="n">
        <f aca="false">+BaseloadMarkets!A9</f>
        <v>36711</v>
      </c>
      <c r="B9" s="423" t="n">
        <v>0</v>
      </c>
      <c r="C9" s="423" t="n">
        <v>0</v>
      </c>
      <c r="D9" s="423"/>
      <c r="E9" s="423" t="n">
        <f aca="false">-B9+C9</f>
        <v>0</v>
      </c>
      <c r="F9" s="423" t="n">
        <f aca="false">+F8+E9</f>
        <v>-8512</v>
      </c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7"/>
      <c r="AD9" s="427"/>
      <c r="AE9" s="427"/>
      <c r="AF9" s="427"/>
      <c r="AG9" s="427"/>
      <c r="AH9" s="427"/>
      <c r="AI9" s="427"/>
      <c r="AJ9" s="427"/>
      <c r="AK9" s="427"/>
      <c r="AL9" s="427"/>
      <c r="AM9" s="427"/>
      <c r="AN9" s="427"/>
      <c r="AO9" s="427"/>
      <c r="AP9" s="427"/>
      <c r="AQ9" s="427"/>
      <c r="AR9" s="427"/>
      <c r="AS9" s="427"/>
      <c r="AT9" s="427"/>
      <c r="AU9" s="427"/>
      <c r="AV9" s="427"/>
      <c r="AW9" s="427"/>
    </row>
    <row r="10" customFormat="false" ht="12.75" hidden="false" customHeight="false" outlineLevel="0" collapsed="false">
      <c r="A10" s="381" t="n">
        <f aca="false">+BaseloadMarkets!A10</f>
        <v>36712</v>
      </c>
      <c r="B10" s="423" t="n">
        <v>1898</v>
      </c>
      <c r="C10" s="423" t="n">
        <v>0</v>
      </c>
      <c r="D10" s="423"/>
      <c r="E10" s="423" t="n">
        <f aca="false">-B10+C10</f>
        <v>-1898</v>
      </c>
      <c r="F10" s="423" t="n">
        <f aca="false">+F9+E10</f>
        <v>-10410</v>
      </c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427"/>
      <c r="AL10" s="427"/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</row>
    <row r="11" customFormat="false" ht="12.75" hidden="false" customHeight="false" outlineLevel="0" collapsed="false">
      <c r="A11" s="381" t="n">
        <f aca="false">+BaseloadMarkets!A11</f>
        <v>36713</v>
      </c>
      <c r="B11" s="423" t="n">
        <v>0</v>
      </c>
      <c r="C11" s="423" t="n">
        <v>20000</v>
      </c>
      <c r="D11" s="423"/>
      <c r="E11" s="423" t="n">
        <f aca="false">-B11+C11</f>
        <v>20000</v>
      </c>
      <c r="F11" s="423" t="n">
        <f aca="false">+F10+E11</f>
        <v>9590</v>
      </c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7"/>
      <c r="AE11" s="427"/>
      <c r="AF11" s="427"/>
      <c r="AG11" s="427"/>
      <c r="AH11" s="427"/>
      <c r="AI11" s="427"/>
      <c r="AJ11" s="427"/>
      <c r="AK11" s="427"/>
      <c r="AL11" s="427"/>
      <c r="AM11" s="427"/>
      <c r="AN11" s="427"/>
      <c r="AO11" s="427"/>
      <c r="AP11" s="427"/>
      <c r="AQ11" s="427"/>
      <c r="AR11" s="427"/>
      <c r="AS11" s="427"/>
      <c r="AT11" s="427"/>
      <c r="AU11" s="427"/>
      <c r="AV11" s="427"/>
      <c r="AW11" s="427"/>
    </row>
    <row r="12" customFormat="false" ht="12.75" hidden="false" customHeight="false" outlineLevel="0" collapsed="false">
      <c r="A12" s="381" t="n">
        <f aca="false">+BaseloadMarkets!A12</f>
        <v>36714</v>
      </c>
      <c r="B12" s="423" t="n">
        <f aca="false">+OCCMarkets!BL12</f>
        <v>2922</v>
      </c>
      <c r="C12" s="423" t="n">
        <v>0</v>
      </c>
      <c r="D12" s="423"/>
      <c r="E12" s="423" t="n">
        <f aca="false">-B12+C12</f>
        <v>-2922</v>
      </c>
      <c r="F12" s="423" t="n">
        <f aca="false">+F11+E12</f>
        <v>6668</v>
      </c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  <c r="AN12" s="427"/>
      <c r="AO12" s="427"/>
      <c r="AP12" s="427"/>
      <c r="AQ12" s="427"/>
      <c r="AR12" s="427"/>
      <c r="AS12" s="427"/>
      <c r="AT12" s="427"/>
      <c r="AU12" s="427"/>
      <c r="AV12" s="427"/>
      <c r="AW12" s="427"/>
    </row>
    <row r="13" customFormat="false" ht="12.75" hidden="false" customHeight="false" outlineLevel="0" collapsed="false">
      <c r="A13" s="381" t="n">
        <f aca="false">+BaseloadMarkets!A13</f>
        <v>36715</v>
      </c>
      <c r="B13" s="423" t="n">
        <f aca="false">+OCCMarkets!BL13</f>
        <v>2316</v>
      </c>
      <c r="C13" s="423" t="n">
        <v>0</v>
      </c>
      <c r="D13" s="423"/>
      <c r="E13" s="423" t="n">
        <f aca="false">-B13+C13</f>
        <v>-2316</v>
      </c>
      <c r="F13" s="423" t="n">
        <f aca="false">+F12+E13</f>
        <v>4352</v>
      </c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427"/>
      <c r="AH13" s="427"/>
      <c r="AI13" s="427"/>
      <c r="AJ13" s="427"/>
      <c r="AK13" s="427"/>
      <c r="AL13" s="427"/>
      <c r="AM13" s="427"/>
      <c r="AN13" s="427"/>
      <c r="AO13" s="427"/>
      <c r="AP13" s="427"/>
      <c r="AQ13" s="427"/>
      <c r="AR13" s="427"/>
      <c r="AS13" s="427"/>
      <c r="AT13" s="427"/>
      <c r="AU13" s="427"/>
      <c r="AV13" s="427"/>
      <c r="AW13" s="427"/>
    </row>
    <row r="14" customFormat="false" ht="12.75" hidden="false" customHeight="false" outlineLevel="0" collapsed="false">
      <c r="A14" s="381" t="n">
        <f aca="false">+BaseloadMarkets!A14</f>
        <v>36716</v>
      </c>
      <c r="B14" s="423" t="n">
        <f aca="false">+OCCMarkets!BL14</f>
        <v>8221</v>
      </c>
      <c r="C14" s="423" t="n">
        <v>0</v>
      </c>
      <c r="D14" s="423"/>
      <c r="E14" s="423" t="n">
        <f aca="false">-B14+C14</f>
        <v>-8221</v>
      </c>
      <c r="F14" s="423" t="n">
        <f aca="false">+F13+E14</f>
        <v>-3869</v>
      </c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</row>
    <row r="15" customFormat="false" ht="12.75" hidden="false" customHeight="false" outlineLevel="0" collapsed="false">
      <c r="A15" s="381" t="n">
        <f aca="false">+BaseloadMarkets!A15</f>
        <v>36717</v>
      </c>
      <c r="B15" s="423" t="n">
        <f aca="false">+OCCMarkets!BL15</f>
        <v>9923</v>
      </c>
      <c r="C15" s="423" t="n">
        <v>0</v>
      </c>
      <c r="D15" s="423"/>
      <c r="E15" s="423" t="n">
        <f aca="false">-B15+C15</f>
        <v>-9923</v>
      </c>
      <c r="F15" s="423" t="n">
        <f aca="false">+F14+E15</f>
        <v>-13792</v>
      </c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</row>
    <row r="16" customFormat="false" ht="12.75" hidden="false" customHeight="false" outlineLevel="0" collapsed="false">
      <c r="A16" s="381" t="n">
        <f aca="false">+BaseloadMarkets!A16</f>
        <v>36718</v>
      </c>
      <c r="B16" s="423" t="n">
        <f aca="false">+OCCMarkets!BL16</f>
        <v>3524</v>
      </c>
      <c r="C16" s="423" t="n">
        <v>10000</v>
      </c>
      <c r="D16" s="423"/>
      <c r="E16" s="423" t="n">
        <f aca="false">-B16+C16</f>
        <v>6476</v>
      </c>
      <c r="F16" s="423" t="n">
        <f aca="false">+F15+E16</f>
        <v>-7316</v>
      </c>
      <c r="G16" s="427"/>
      <c r="H16" s="427"/>
      <c r="I16" s="427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7"/>
      <c r="AU16" s="427"/>
      <c r="AV16" s="427"/>
      <c r="AW16" s="427"/>
    </row>
    <row r="17" customFormat="false" ht="12.75" hidden="false" customHeight="false" outlineLevel="0" collapsed="false">
      <c r="A17" s="381" t="n">
        <f aca="false">+BaseloadMarkets!A17</f>
        <v>36719</v>
      </c>
      <c r="B17" s="423" t="n">
        <f aca="false">+OCCMarkets!BL17</f>
        <v>2043</v>
      </c>
      <c r="C17" s="423" t="n">
        <v>10000</v>
      </c>
      <c r="D17" s="423"/>
      <c r="E17" s="423" t="n">
        <f aca="false">-B17+C17</f>
        <v>7957</v>
      </c>
      <c r="F17" s="423" t="n">
        <f aca="false">+F16+E17</f>
        <v>641</v>
      </c>
      <c r="G17" s="427"/>
      <c r="H17" s="427"/>
      <c r="I17" s="427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7"/>
      <c r="AS17" s="427"/>
      <c r="AT17" s="427"/>
      <c r="AU17" s="427"/>
      <c r="AV17" s="427"/>
      <c r="AW17" s="427"/>
    </row>
    <row r="18" customFormat="false" ht="12.75" hidden="false" customHeight="false" outlineLevel="0" collapsed="false">
      <c r="A18" s="381" t="n">
        <f aca="false">+BaseloadMarkets!A18</f>
        <v>36720</v>
      </c>
      <c r="B18" s="423" t="n">
        <f aca="false">+OCCMarkets!BL18</f>
        <v>10235</v>
      </c>
      <c r="C18" s="423" t="n">
        <v>10000</v>
      </c>
      <c r="D18" s="423"/>
      <c r="E18" s="423" t="n">
        <f aca="false">-B18+C18</f>
        <v>-235</v>
      </c>
      <c r="F18" s="423" t="n">
        <f aca="false">+F17+E18</f>
        <v>406</v>
      </c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7"/>
      <c r="AS18" s="427"/>
      <c r="AT18" s="427"/>
      <c r="AU18" s="427"/>
      <c r="AV18" s="427"/>
      <c r="AW18" s="427"/>
    </row>
    <row r="19" customFormat="false" ht="12.75" hidden="false" customHeight="false" outlineLevel="0" collapsed="false">
      <c r="A19" s="381" t="n">
        <f aca="false">+BaseloadMarkets!A19</f>
        <v>36721</v>
      </c>
      <c r="B19" s="423" t="n">
        <f aca="false">+OCCMarkets!BL19</f>
        <v>11983</v>
      </c>
      <c r="C19" s="423" t="n">
        <v>10000</v>
      </c>
      <c r="D19" s="423"/>
      <c r="E19" s="423" t="n">
        <f aca="false">-B19+C19</f>
        <v>-1983</v>
      </c>
      <c r="F19" s="423" t="n">
        <f aca="false">+F18+E19</f>
        <v>-1577</v>
      </c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7"/>
      <c r="AS19" s="427"/>
      <c r="AT19" s="427"/>
      <c r="AU19" s="427"/>
      <c r="AV19" s="427"/>
      <c r="AW19" s="427"/>
    </row>
    <row r="20" customFormat="false" ht="12.75" hidden="false" customHeight="false" outlineLevel="0" collapsed="false">
      <c r="A20" s="381" t="n">
        <f aca="false">+BaseloadMarkets!A20</f>
        <v>36722</v>
      </c>
      <c r="B20" s="423" t="n">
        <f aca="false">+OCCMarkets!BL20</f>
        <v>13034</v>
      </c>
      <c r="C20" s="423" t="n">
        <v>0</v>
      </c>
      <c r="D20" s="423"/>
      <c r="E20" s="423" t="n">
        <f aca="false">-B20+C20</f>
        <v>-13034</v>
      </c>
      <c r="F20" s="423" t="n">
        <f aca="false">+F19+E20</f>
        <v>-14611</v>
      </c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  <c r="AN20" s="427"/>
      <c r="AO20" s="427"/>
      <c r="AP20" s="427"/>
      <c r="AQ20" s="427"/>
      <c r="AR20" s="427"/>
      <c r="AS20" s="427"/>
      <c r="AT20" s="427"/>
      <c r="AU20" s="427"/>
      <c r="AV20" s="427"/>
      <c r="AW20" s="427"/>
    </row>
    <row r="21" customFormat="false" ht="12.75" hidden="false" customHeight="false" outlineLevel="0" collapsed="false">
      <c r="A21" s="381" t="n">
        <f aca="false">+BaseloadMarkets!A21</f>
        <v>36723</v>
      </c>
      <c r="B21" s="423" t="n">
        <f aca="false">+OCCMarkets!BL21</f>
        <v>4507</v>
      </c>
      <c r="C21" s="423" t="n">
        <v>0</v>
      </c>
      <c r="D21" s="423"/>
      <c r="E21" s="423" t="n">
        <f aca="false">-B21+C21</f>
        <v>-4507</v>
      </c>
      <c r="F21" s="423" t="n">
        <f aca="false">+F20+E21</f>
        <v>-19118</v>
      </c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  <c r="AC21" s="427"/>
      <c r="AD21" s="427"/>
      <c r="AE21" s="427"/>
      <c r="AF21" s="427"/>
      <c r="AG21" s="427"/>
      <c r="AH21" s="427"/>
      <c r="AI21" s="427"/>
      <c r="AJ21" s="427"/>
      <c r="AK21" s="427"/>
      <c r="AL21" s="427"/>
      <c r="AM21" s="427"/>
      <c r="AN21" s="427"/>
      <c r="AO21" s="427"/>
      <c r="AP21" s="427"/>
      <c r="AQ21" s="427"/>
      <c r="AR21" s="427"/>
      <c r="AS21" s="427"/>
      <c r="AT21" s="427"/>
      <c r="AU21" s="427"/>
      <c r="AV21" s="427"/>
      <c r="AW21" s="427"/>
    </row>
    <row r="22" customFormat="false" ht="12.75" hidden="false" customHeight="false" outlineLevel="0" collapsed="false">
      <c r="A22" s="381" t="n">
        <f aca="false">+BaseloadMarkets!A22</f>
        <v>36724</v>
      </c>
      <c r="B22" s="423" t="n">
        <f aca="false">+OCCMarkets!BL22</f>
        <v>11383</v>
      </c>
      <c r="C22" s="423" t="n">
        <v>0</v>
      </c>
      <c r="D22" s="423"/>
      <c r="E22" s="423" t="n">
        <f aca="false">-B22+C22</f>
        <v>-11383</v>
      </c>
      <c r="F22" s="423" t="n">
        <f aca="false">+F21+E22</f>
        <v>-30501</v>
      </c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7"/>
      <c r="AI22" s="427"/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7"/>
      <c r="AU22" s="427"/>
      <c r="AV22" s="427"/>
      <c r="AW22" s="427"/>
    </row>
    <row r="23" customFormat="false" ht="12.75" hidden="false" customHeight="false" outlineLevel="0" collapsed="false">
      <c r="A23" s="381" t="n">
        <f aca="false">+BaseloadMarkets!A23</f>
        <v>36725</v>
      </c>
      <c r="B23" s="423" t="n">
        <f aca="false">+OCCMarkets!BL23</f>
        <v>17215</v>
      </c>
      <c r="C23" s="423" t="n">
        <v>20000</v>
      </c>
      <c r="D23" s="423"/>
      <c r="E23" s="423" t="n">
        <f aca="false">-B23+C23</f>
        <v>2785</v>
      </c>
      <c r="F23" s="423" t="n">
        <f aca="false">+F22+E23</f>
        <v>-27716</v>
      </c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  <c r="AN23" s="427"/>
      <c r="AO23" s="427"/>
      <c r="AP23" s="427"/>
      <c r="AQ23" s="427"/>
      <c r="AR23" s="427"/>
      <c r="AS23" s="427"/>
      <c r="AT23" s="427"/>
      <c r="AU23" s="427"/>
      <c r="AV23" s="427"/>
      <c r="AW23" s="427"/>
    </row>
    <row r="24" customFormat="false" ht="12.75" hidden="false" customHeight="false" outlineLevel="0" collapsed="false">
      <c r="A24" s="381" t="n">
        <f aca="false">+BaseloadMarkets!A24</f>
        <v>36726</v>
      </c>
      <c r="B24" s="423" t="n">
        <f aca="false">+OCCMarkets!BL24</f>
        <v>15830</v>
      </c>
      <c r="C24" s="423" t="n">
        <v>15000</v>
      </c>
      <c r="D24" s="423"/>
      <c r="E24" s="423" t="n">
        <f aca="false">-B24+C24</f>
        <v>-830</v>
      </c>
      <c r="F24" s="423" t="n">
        <f aca="false">+F23+E24</f>
        <v>-28546</v>
      </c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7"/>
      <c r="AI24" s="427"/>
      <c r="AJ24" s="427"/>
      <c r="AK24" s="427"/>
      <c r="AL24" s="427"/>
      <c r="AM24" s="427"/>
      <c r="AN24" s="427"/>
      <c r="AO24" s="427"/>
      <c r="AP24" s="427"/>
      <c r="AQ24" s="427"/>
      <c r="AR24" s="427"/>
      <c r="AS24" s="427"/>
      <c r="AT24" s="427"/>
      <c r="AU24" s="427"/>
      <c r="AV24" s="427"/>
      <c r="AW24" s="427"/>
    </row>
    <row r="25" customFormat="false" ht="12.75" hidden="false" customHeight="false" outlineLevel="0" collapsed="false">
      <c r="A25" s="381" t="n">
        <f aca="false">+BaseloadMarkets!A25</f>
        <v>36727</v>
      </c>
      <c r="B25" s="423" t="n">
        <f aca="false">+OCCMarkets!BL25</f>
        <v>11130</v>
      </c>
      <c r="C25" s="423" t="n">
        <v>20000</v>
      </c>
      <c r="D25" s="423"/>
      <c r="E25" s="423" t="n">
        <f aca="false">-B25+C25</f>
        <v>8870</v>
      </c>
      <c r="F25" s="423" t="n">
        <f aca="false">+F24+E25</f>
        <v>-19676</v>
      </c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7"/>
      <c r="AH25" s="427"/>
      <c r="AI25" s="427"/>
      <c r="AJ25" s="427"/>
      <c r="AK25" s="427"/>
      <c r="AL25" s="427"/>
      <c r="AM25" s="427"/>
      <c r="AN25" s="427"/>
      <c r="AO25" s="427"/>
      <c r="AP25" s="427"/>
      <c r="AQ25" s="427"/>
      <c r="AR25" s="427"/>
      <c r="AS25" s="427"/>
      <c r="AT25" s="427"/>
      <c r="AU25" s="427"/>
      <c r="AV25" s="427"/>
      <c r="AW25" s="427"/>
    </row>
    <row r="26" customFormat="false" ht="12.75" hidden="false" customHeight="false" outlineLevel="0" collapsed="false">
      <c r="A26" s="381" t="n">
        <f aca="false">+BaseloadMarkets!A26</f>
        <v>36728</v>
      </c>
      <c r="B26" s="423" t="n">
        <f aca="false">+OCCMarkets!BL26</f>
        <v>12062</v>
      </c>
      <c r="C26" s="423" t="n">
        <v>25000</v>
      </c>
      <c r="D26" s="423"/>
      <c r="E26" s="423" t="n">
        <f aca="false">-B26+C26</f>
        <v>12938</v>
      </c>
      <c r="F26" s="423" t="n">
        <f aca="false">+F25+E26</f>
        <v>-6738</v>
      </c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  <c r="AH26" s="427"/>
      <c r="AI26" s="427"/>
      <c r="AJ26" s="427"/>
      <c r="AK26" s="427"/>
      <c r="AL26" s="427"/>
      <c r="AM26" s="427"/>
      <c r="AN26" s="427"/>
      <c r="AO26" s="427"/>
      <c r="AP26" s="427"/>
      <c r="AQ26" s="427"/>
      <c r="AR26" s="427"/>
      <c r="AS26" s="427"/>
      <c r="AT26" s="427"/>
      <c r="AU26" s="427"/>
      <c r="AV26" s="427"/>
      <c r="AW26" s="427"/>
    </row>
    <row r="27" customFormat="false" ht="12.75" hidden="false" customHeight="false" outlineLevel="0" collapsed="false">
      <c r="A27" s="381" t="n">
        <f aca="false">+BaseloadMarkets!A27</f>
        <v>36729</v>
      </c>
      <c r="B27" s="423" t="n">
        <f aca="false">+OCCMarkets!BL27</f>
        <v>13470</v>
      </c>
      <c r="C27" s="423" t="n">
        <v>17500</v>
      </c>
      <c r="D27" s="423"/>
      <c r="E27" s="423" t="n">
        <f aca="false">-B27+C27</f>
        <v>4030</v>
      </c>
      <c r="F27" s="423" t="n">
        <f aca="false">+F26+E27</f>
        <v>-2708</v>
      </c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7"/>
      <c r="AO27" s="427"/>
      <c r="AP27" s="427"/>
      <c r="AQ27" s="427"/>
      <c r="AR27" s="427"/>
      <c r="AS27" s="427"/>
      <c r="AT27" s="427"/>
      <c r="AU27" s="427"/>
      <c r="AV27" s="427"/>
      <c r="AW27" s="427"/>
    </row>
    <row r="28" customFormat="false" ht="12.75" hidden="false" customHeight="false" outlineLevel="0" collapsed="false">
      <c r="A28" s="381" t="n">
        <f aca="false">+BaseloadMarkets!A28</f>
        <v>36730</v>
      </c>
      <c r="B28" s="423" t="n">
        <f aca="false">+OCCMarkets!BL28</f>
        <v>14244.6</v>
      </c>
      <c r="C28" s="423" t="n">
        <v>17500</v>
      </c>
      <c r="D28" s="423"/>
      <c r="E28" s="423" t="n">
        <f aca="false">-B28+C28</f>
        <v>3255.4</v>
      </c>
      <c r="F28" s="423" t="n">
        <f aca="false">+F27+E28</f>
        <v>547.4</v>
      </c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427"/>
      <c r="AH28" s="427"/>
      <c r="AI28" s="427"/>
      <c r="AJ28" s="427"/>
      <c r="AK28" s="427"/>
      <c r="AL28" s="427"/>
      <c r="AM28" s="427"/>
      <c r="AN28" s="427"/>
      <c r="AO28" s="427"/>
      <c r="AP28" s="427"/>
      <c r="AQ28" s="427"/>
      <c r="AR28" s="427"/>
      <c r="AS28" s="427"/>
      <c r="AT28" s="427"/>
      <c r="AU28" s="427"/>
      <c r="AV28" s="427"/>
      <c r="AW28" s="427"/>
    </row>
    <row r="29" customFormat="false" ht="12.75" hidden="false" customHeight="false" outlineLevel="0" collapsed="false">
      <c r="A29" s="381" t="n">
        <f aca="false">+BaseloadMarkets!A29</f>
        <v>36731</v>
      </c>
      <c r="B29" s="423" t="n">
        <f aca="false">+OCCMarkets!BL29</f>
        <v>15002.7</v>
      </c>
      <c r="C29" s="423" t="n">
        <v>17500</v>
      </c>
      <c r="D29" s="423"/>
      <c r="E29" s="423" t="n">
        <f aca="false">-B29+C29</f>
        <v>2497.3</v>
      </c>
      <c r="F29" s="423" t="n">
        <f aca="false">+F28+E29</f>
        <v>3044.7</v>
      </c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  <c r="AB29" s="42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7"/>
      <c r="AO29" s="427"/>
      <c r="AP29" s="427"/>
      <c r="AQ29" s="427"/>
      <c r="AR29" s="427"/>
      <c r="AS29" s="427"/>
      <c r="AT29" s="427"/>
      <c r="AU29" s="427"/>
      <c r="AV29" s="427"/>
      <c r="AW29" s="427"/>
    </row>
    <row r="30" customFormat="false" ht="12.75" hidden="false" customHeight="false" outlineLevel="0" collapsed="false">
      <c r="A30" s="381" t="n">
        <f aca="false">+BaseloadMarkets!A30</f>
        <v>36732</v>
      </c>
      <c r="B30" s="423" t="n">
        <f aca="false">+OCCMarkets!BL30</f>
        <v>14937.1</v>
      </c>
      <c r="C30" s="423" t="n">
        <v>15000</v>
      </c>
      <c r="D30" s="423"/>
      <c r="E30" s="423" t="n">
        <f aca="false">-B30+C30</f>
        <v>62.8999999999996</v>
      </c>
      <c r="F30" s="423" t="n">
        <f aca="false">+F29+E30</f>
        <v>3107.6</v>
      </c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  <c r="X30" s="427"/>
      <c r="Y30" s="427"/>
      <c r="Z30" s="427"/>
      <c r="AA30" s="427"/>
      <c r="AB30" s="427"/>
      <c r="AC30" s="427"/>
      <c r="AD30" s="427"/>
      <c r="AE30" s="427"/>
      <c r="AF30" s="427"/>
      <c r="AG30" s="427"/>
      <c r="AH30" s="427"/>
      <c r="AI30" s="427"/>
      <c r="AJ30" s="427"/>
      <c r="AK30" s="427"/>
      <c r="AL30" s="427"/>
      <c r="AM30" s="427"/>
      <c r="AN30" s="427"/>
      <c r="AO30" s="427"/>
      <c r="AP30" s="427"/>
      <c r="AQ30" s="427"/>
      <c r="AR30" s="427"/>
      <c r="AS30" s="427"/>
      <c r="AT30" s="427"/>
      <c r="AU30" s="427"/>
      <c r="AV30" s="427"/>
      <c r="AW30" s="427"/>
    </row>
    <row r="31" customFormat="false" ht="12.75" hidden="false" customHeight="false" outlineLevel="0" collapsed="false">
      <c r="A31" s="381" t="n">
        <f aca="false">+BaseloadMarkets!A31</f>
        <v>36733</v>
      </c>
      <c r="B31" s="423" t="n">
        <f aca="false">+OCCMarkets!BL31</f>
        <v>14083</v>
      </c>
      <c r="C31" s="423" t="n">
        <v>15000</v>
      </c>
      <c r="D31" s="423"/>
      <c r="E31" s="423" t="n">
        <f aca="false">-B31+C31</f>
        <v>917</v>
      </c>
      <c r="F31" s="423" t="n">
        <f aca="false">+F30+E31</f>
        <v>4024.6</v>
      </c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427"/>
      <c r="AD31" s="427"/>
      <c r="AE31" s="427"/>
      <c r="AF31" s="427"/>
      <c r="AG31" s="427"/>
      <c r="AH31" s="427"/>
      <c r="AI31" s="427"/>
      <c r="AJ31" s="427"/>
      <c r="AK31" s="427"/>
      <c r="AL31" s="427"/>
      <c r="AM31" s="427"/>
      <c r="AN31" s="427"/>
      <c r="AO31" s="427"/>
      <c r="AP31" s="427"/>
      <c r="AQ31" s="427"/>
      <c r="AR31" s="427"/>
      <c r="AS31" s="427"/>
      <c r="AT31" s="427"/>
      <c r="AU31" s="427"/>
      <c r="AV31" s="427"/>
      <c r="AW31" s="427"/>
    </row>
    <row r="32" customFormat="false" ht="12.75" hidden="false" customHeight="false" outlineLevel="0" collapsed="false">
      <c r="A32" s="381" t="n">
        <f aca="false">+BaseloadMarkets!A32</f>
        <v>36734</v>
      </c>
      <c r="B32" s="423" t="n">
        <f aca="false">+OCCMarkets!BL32</f>
        <v>15083</v>
      </c>
      <c r="C32" s="423" t="n">
        <v>15000</v>
      </c>
      <c r="D32" s="423"/>
      <c r="E32" s="423" t="n">
        <f aca="false">-B32+C32</f>
        <v>-83</v>
      </c>
      <c r="F32" s="423" t="n">
        <f aca="false">+F31+E32</f>
        <v>3941.6</v>
      </c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7"/>
      <c r="AL32" s="427"/>
      <c r="AM32" s="427"/>
      <c r="AN32" s="427"/>
      <c r="AO32" s="427"/>
      <c r="AP32" s="427"/>
      <c r="AQ32" s="427"/>
      <c r="AR32" s="427"/>
      <c r="AS32" s="427"/>
      <c r="AT32" s="427"/>
      <c r="AU32" s="427"/>
      <c r="AV32" s="427"/>
      <c r="AW32" s="427"/>
    </row>
    <row r="33" customFormat="false" ht="12.75" hidden="false" customHeight="false" outlineLevel="0" collapsed="false">
      <c r="A33" s="381" t="n">
        <f aca="false">+BaseloadMarkets!A33</f>
        <v>36735</v>
      </c>
      <c r="B33" s="423" t="n">
        <f aca="false">+OCCMarkets!BL33</f>
        <v>16101</v>
      </c>
      <c r="C33" s="423" t="n">
        <v>10000</v>
      </c>
      <c r="D33" s="423"/>
      <c r="E33" s="423" t="n">
        <f aca="false">-B33+C33</f>
        <v>-6101</v>
      </c>
      <c r="F33" s="423" t="n">
        <f aca="false">+F32+E33</f>
        <v>-2159.4</v>
      </c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7"/>
      <c r="W33" s="427"/>
      <c r="X33" s="427"/>
      <c r="Y33" s="427"/>
      <c r="Z33" s="427"/>
      <c r="AA33" s="427"/>
      <c r="AB33" s="427"/>
      <c r="AC33" s="427"/>
      <c r="AD33" s="427"/>
      <c r="AE33" s="427"/>
      <c r="AF33" s="427"/>
      <c r="AG33" s="427"/>
      <c r="AH33" s="427"/>
      <c r="AI33" s="427"/>
      <c r="AJ33" s="427"/>
      <c r="AK33" s="427"/>
      <c r="AL33" s="427"/>
      <c r="AM33" s="427"/>
      <c r="AN33" s="427"/>
      <c r="AO33" s="427"/>
      <c r="AP33" s="427"/>
      <c r="AQ33" s="427"/>
      <c r="AR33" s="427"/>
      <c r="AS33" s="427"/>
      <c r="AT33" s="427"/>
      <c r="AU33" s="427"/>
      <c r="AV33" s="427"/>
      <c r="AW33" s="427"/>
    </row>
    <row r="34" customFormat="false" ht="12.75" hidden="false" customHeight="false" outlineLevel="0" collapsed="false">
      <c r="A34" s="381" t="n">
        <f aca="false">+BaseloadMarkets!A34</f>
        <v>36736</v>
      </c>
      <c r="B34" s="423" t="n">
        <f aca="false">+OCCMarkets!BL34</f>
        <v>12346</v>
      </c>
      <c r="C34" s="423" t="n">
        <v>15000</v>
      </c>
      <c r="D34" s="423"/>
      <c r="E34" s="423" t="n">
        <f aca="false">-B34+C34</f>
        <v>2654</v>
      </c>
      <c r="F34" s="423" t="n">
        <f aca="false">+F33+E34</f>
        <v>494.599999999999</v>
      </c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  <c r="AN34" s="427"/>
      <c r="AO34" s="427"/>
      <c r="AP34" s="427"/>
      <c r="AQ34" s="427"/>
      <c r="AR34" s="427"/>
      <c r="AS34" s="427"/>
      <c r="AT34" s="427"/>
      <c r="AU34" s="427"/>
      <c r="AV34" s="427"/>
      <c r="AW34" s="427"/>
    </row>
    <row r="35" customFormat="false" ht="12.75" hidden="false" customHeight="false" outlineLevel="0" collapsed="false">
      <c r="A35" s="381" t="n">
        <f aca="false">+BaseloadMarkets!A35</f>
        <v>36737</v>
      </c>
      <c r="B35" s="423" t="n">
        <f aca="false">+OCCMarkets!BL35</f>
        <v>13179</v>
      </c>
      <c r="C35" s="423" t="n">
        <v>15000</v>
      </c>
      <c r="D35" s="423"/>
      <c r="E35" s="423" t="n">
        <f aca="false">-B35+C35</f>
        <v>1821</v>
      </c>
      <c r="F35" s="423" t="n">
        <f aca="false">+F34+E35</f>
        <v>2315.6</v>
      </c>
      <c r="G35" s="427"/>
      <c r="H35" s="427"/>
      <c r="I35" s="427"/>
      <c r="J35" s="427"/>
      <c r="K35" s="427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  <c r="AG35" s="427"/>
      <c r="AH35" s="427"/>
      <c r="AI35" s="427"/>
      <c r="AJ35" s="427"/>
      <c r="AK35" s="427"/>
      <c r="AL35" s="427"/>
      <c r="AM35" s="427"/>
      <c r="AN35" s="427"/>
      <c r="AO35" s="427"/>
      <c r="AP35" s="427"/>
      <c r="AQ35" s="427"/>
      <c r="AR35" s="427"/>
      <c r="AS35" s="427"/>
      <c r="AT35" s="427"/>
      <c r="AU35" s="427"/>
      <c r="AV35" s="427"/>
      <c r="AW35" s="427"/>
    </row>
    <row r="36" customFormat="false" ht="12.75" hidden="false" customHeight="false" outlineLevel="0" collapsed="false">
      <c r="A36" s="381" t="n">
        <f aca="false">+BaseloadMarkets!A36</f>
        <v>36738</v>
      </c>
      <c r="B36" s="423" t="n">
        <v>13379</v>
      </c>
      <c r="C36" s="423" t="n">
        <v>15000</v>
      </c>
      <c r="D36" s="423"/>
      <c r="E36" s="423" t="n">
        <f aca="false">-B36+C36</f>
        <v>1621</v>
      </c>
      <c r="F36" s="423" t="n">
        <f aca="false">+F35+E36</f>
        <v>3936.6</v>
      </c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27"/>
      <c r="AA36" s="427"/>
      <c r="AB36" s="427"/>
      <c r="AC36" s="427"/>
      <c r="AD36" s="427"/>
      <c r="AE36" s="427"/>
      <c r="AF36" s="427"/>
      <c r="AG36" s="427"/>
      <c r="AH36" s="427"/>
      <c r="AI36" s="427"/>
      <c r="AJ36" s="427"/>
      <c r="AK36" s="427"/>
      <c r="AL36" s="427"/>
      <c r="AM36" s="427"/>
      <c r="AN36" s="427"/>
      <c r="AO36" s="427"/>
      <c r="AP36" s="427"/>
      <c r="AQ36" s="427"/>
      <c r="AR36" s="427"/>
      <c r="AS36" s="427"/>
      <c r="AT36" s="427"/>
      <c r="AU36" s="427"/>
      <c r="AV36" s="427"/>
      <c r="AW36" s="427"/>
    </row>
    <row r="37" customFormat="false" ht="13.5" hidden="false" customHeight="false" outlineLevel="0" collapsed="false">
      <c r="B37" s="428"/>
      <c r="C37" s="428"/>
      <c r="D37" s="428"/>
      <c r="E37" s="428"/>
      <c r="F37" s="428"/>
    </row>
    <row r="38" customFormat="false" ht="13.5" hidden="false" customHeight="false" outlineLevel="0" collapsed="false">
      <c r="B38" s="429" t="n">
        <f aca="false">SUM(B6:B36)</f>
        <v>288563.4</v>
      </c>
      <c r="C38" s="429" t="n">
        <f aca="false">SUM(C6:C36)</f>
        <v>292500</v>
      </c>
      <c r="D38" s="429"/>
      <c r="E38" s="429" t="n">
        <f aca="false">SUM(E6:E36)</f>
        <v>3936.6</v>
      </c>
      <c r="F38" s="428"/>
    </row>
    <row r="40" customFormat="false" ht="12.75" hidden="false" customHeight="false" outlineLevel="0" collapsed="false">
      <c r="A40" s="33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T19" activeCellId="0" sqref="AT1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3" width="14.32"/>
    <col collapsed="false" customWidth="true" hidden="false" outlineLevel="0" max="4" min="2" style="25" width="11.82"/>
    <col collapsed="false" customWidth="true" hidden="false" outlineLevel="0" max="5" min="5" style="430" width="12.82"/>
    <col collapsed="false" customWidth="true" hidden="false" outlineLevel="0" max="6" min="6" style="430" width="11.82"/>
    <col collapsed="false" customWidth="true" hidden="false" outlineLevel="0" max="7" min="7" style="431" width="11.82"/>
    <col collapsed="false" customWidth="true" hidden="false" outlineLevel="0" max="10" min="8" style="25" width="11.82"/>
    <col collapsed="false" customWidth="true" hidden="false" outlineLevel="0" max="11" min="11" style="430" width="12.49"/>
    <col collapsed="false" customWidth="true" hidden="false" outlineLevel="0" max="12" min="12" style="430" width="11.82"/>
    <col collapsed="false" customWidth="true" hidden="false" outlineLevel="0" max="13" min="13" style="431" width="11.82"/>
    <col collapsed="false" customWidth="true" hidden="false" outlineLevel="0" max="16" min="14" style="25" width="11.82"/>
    <col collapsed="false" customWidth="true" hidden="false" outlineLevel="0" max="17" min="17" style="430" width="12.49"/>
    <col collapsed="false" customWidth="true" hidden="false" outlineLevel="0" max="18" min="18" style="430" width="11.82"/>
    <col collapsed="false" customWidth="true" hidden="false" outlineLevel="0" max="19" min="19" style="431" width="11.82"/>
    <col collapsed="false" customWidth="true" hidden="false" outlineLevel="0" max="22" min="20" style="430" width="11.82"/>
    <col collapsed="false" customWidth="true" hidden="false" outlineLevel="0" max="23" min="23" style="430" width="12.99"/>
    <col collapsed="false" customWidth="true" hidden="false" outlineLevel="0" max="24" min="24" style="430" width="11.82"/>
    <col collapsed="false" customWidth="true" hidden="false" outlineLevel="0" max="25" min="25" style="431" width="11.82"/>
    <col collapsed="false" customWidth="true" hidden="false" outlineLevel="0" max="28" min="26" style="430" width="11.82"/>
    <col collapsed="false" customWidth="true" hidden="false" outlineLevel="0" max="29" min="29" style="430" width="12.99"/>
    <col collapsed="false" customWidth="true" hidden="false" outlineLevel="0" max="30" min="30" style="430" width="11.82"/>
    <col collapsed="false" customWidth="true" hidden="false" outlineLevel="0" max="31" min="31" style="431" width="11.82"/>
    <col collapsed="false" customWidth="true" hidden="false" outlineLevel="0" max="34" min="32" style="430" width="11.82"/>
    <col collapsed="false" customWidth="true" hidden="false" outlineLevel="0" max="35" min="35" style="430" width="12.99"/>
    <col collapsed="false" customWidth="true" hidden="false" outlineLevel="0" max="36" min="36" style="430" width="11.82"/>
    <col collapsed="false" customWidth="true" hidden="false" outlineLevel="0" max="37" min="37" style="431" width="11.82"/>
    <col collapsed="false" customWidth="true" hidden="false" outlineLevel="0" max="40" min="38" style="430" width="11.82"/>
    <col collapsed="false" customWidth="true" hidden="false" outlineLevel="0" max="41" min="41" style="430" width="12.99"/>
    <col collapsed="false" customWidth="true" hidden="false" outlineLevel="0" max="42" min="42" style="430" width="11.82"/>
    <col collapsed="false" customWidth="true" hidden="false" outlineLevel="0" max="43" min="43" style="431" width="11.82"/>
    <col collapsed="false" customWidth="true" hidden="false" outlineLevel="0" max="46" min="44" style="430" width="11.82"/>
    <col collapsed="false" customWidth="true" hidden="false" outlineLevel="0" max="47" min="47" style="430" width="12.99"/>
    <col collapsed="false" customWidth="true" hidden="false" outlineLevel="0" max="48" min="48" style="430" width="11.82"/>
    <col collapsed="false" customWidth="true" hidden="false" outlineLevel="0" max="49" min="49" style="431" width="11.82"/>
    <col collapsed="false" customWidth="true" hidden="false" outlineLevel="0" max="52" min="50" style="430" width="11.82"/>
    <col collapsed="false" customWidth="true" hidden="false" outlineLevel="0" max="53" min="53" style="430" width="12.99"/>
    <col collapsed="false" customWidth="true" hidden="false" outlineLevel="0" max="54" min="54" style="430" width="11.82"/>
    <col collapsed="false" customWidth="true" hidden="false" outlineLevel="0" max="56" min="55" style="431" width="11.82"/>
    <col collapsed="false" customWidth="true" hidden="false" outlineLevel="0" max="57" min="57" style="430" width="12.99"/>
    <col collapsed="false" customWidth="true" hidden="false" outlineLevel="0" max="58" min="58" style="430" width="16.15"/>
    <col collapsed="false" customWidth="true" hidden="false" outlineLevel="0" max="61" min="59" style="430" width="12.99"/>
    <col collapsed="false" customWidth="true" hidden="false" outlineLevel="0" max="62" min="62" style="430" width="18.15"/>
    <col collapsed="false" customWidth="true" hidden="false" outlineLevel="0" max="63" min="63" style="33" width="9.99"/>
    <col collapsed="false" customWidth="false" hidden="false" outlineLevel="0" max="257" min="64" style="33" width="9.32"/>
  </cols>
  <sheetData>
    <row r="1" customFormat="false" ht="26.25" hidden="false" customHeight="true" outlineLevel="0" collapsed="false">
      <c r="K1" s="432" t="s">
        <v>283</v>
      </c>
      <c r="Q1" s="432"/>
    </row>
    <row r="2" customFormat="false" ht="11.25" hidden="false" customHeight="true" outlineLevel="0" collapsed="false">
      <c r="A2" s="420"/>
    </row>
    <row r="3" customFormat="false" ht="15.75" hidden="false" customHeight="true" outlineLevel="0" collapsed="false">
      <c r="A3" s="420"/>
      <c r="B3" s="426" t="s">
        <v>125</v>
      </c>
      <c r="C3" s="426"/>
      <c r="D3" s="426"/>
      <c r="E3" s="431"/>
      <c r="F3" s="431"/>
      <c r="H3" s="426" t="s">
        <v>121</v>
      </c>
      <c r="I3" s="426"/>
      <c r="J3" s="426"/>
      <c r="K3" s="431"/>
      <c r="L3" s="431"/>
      <c r="N3" s="426" t="s">
        <v>126</v>
      </c>
      <c r="O3" s="426"/>
      <c r="P3" s="426"/>
      <c r="Q3" s="431"/>
      <c r="R3" s="431"/>
      <c r="T3" s="431" t="s">
        <v>284</v>
      </c>
      <c r="U3" s="431"/>
      <c r="V3" s="431"/>
      <c r="W3" s="431"/>
      <c r="X3" s="431"/>
      <c r="Z3" s="433" t="s">
        <v>114</v>
      </c>
      <c r="AA3" s="431"/>
      <c r="AB3" s="431"/>
      <c r="AC3" s="431"/>
      <c r="AD3" s="431"/>
      <c r="AF3" s="433" t="s">
        <v>115</v>
      </c>
      <c r="AG3" s="431"/>
      <c r="AH3" s="431"/>
      <c r="AI3" s="431"/>
      <c r="AJ3" s="431"/>
      <c r="AL3" s="433" t="s">
        <v>116</v>
      </c>
      <c r="AM3" s="431"/>
      <c r="AN3" s="431"/>
      <c r="AO3" s="431"/>
      <c r="AP3" s="431"/>
      <c r="AR3" s="433" t="s">
        <v>117</v>
      </c>
      <c r="AS3" s="431"/>
      <c r="AT3" s="431"/>
      <c r="AU3" s="431"/>
      <c r="AV3" s="431"/>
      <c r="AX3" s="433" t="s">
        <v>118</v>
      </c>
      <c r="AY3" s="431"/>
      <c r="AZ3" s="431"/>
      <c r="BA3" s="431"/>
      <c r="BB3" s="431"/>
      <c r="BE3" s="431"/>
      <c r="BF3" s="431"/>
      <c r="BG3" s="431"/>
      <c r="BH3" s="431"/>
      <c r="BI3" s="431"/>
      <c r="BJ3" s="431"/>
      <c r="BK3" s="420"/>
      <c r="BL3" s="420"/>
      <c r="BM3" s="420"/>
      <c r="BN3" s="420"/>
      <c r="BO3" s="420"/>
      <c r="BP3" s="420"/>
      <c r="BQ3" s="420"/>
      <c r="BR3" s="420"/>
      <c r="BS3" s="420"/>
      <c r="BT3" s="420"/>
      <c r="BU3" s="420"/>
      <c r="BV3" s="420"/>
      <c r="BW3" s="420"/>
      <c r="BX3" s="420"/>
      <c r="BY3" s="420"/>
      <c r="BZ3" s="420"/>
      <c r="CA3" s="420"/>
      <c r="CB3" s="420"/>
      <c r="CC3" s="420"/>
      <c r="CD3" s="420"/>
      <c r="CE3" s="420"/>
      <c r="CF3" s="420"/>
      <c r="CG3" s="420"/>
      <c r="CH3" s="420"/>
      <c r="CI3" s="420"/>
      <c r="CJ3" s="420"/>
      <c r="CK3" s="420"/>
      <c r="CL3" s="420"/>
      <c r="CM3" s="420"/>
      <c r="CN3" s="420"/>
      <c r="CO3" s="420"/>
      <c r="CP3" s="420"/>
      <c r="CQ3" s="420"/>
      <c r="CR3" s="420"/>
      <c r="CS3" s="420"/>
      <c r="CT3" s="420"/>
      <c r="CU3" s="420"/>
      <c r="CV3" s="420"/>
      <c r="CW3" s="420"/>
      <c r="CX3" s="420"/>
      <c r="CY3" s="420"/>
      <c r="CZ3" s="420"/>
      <c r="DA3" s="420"/>
      <c r="DB3" s="420"/>
      <c r="DC3" s="420"/>
      <c r="DD3" s="420"/>
      <c r="DE3" s="420"/>
      <c r="DF3" s="420"/>
      <c r="DG3" s="420"/>
      <c r="DH3" s="420"/>
      <c r="DI3" s="420"/>
      <c r="DJ3" s="420"/>
      <c r="DK3" s="420"/>
      <c r="DL3" s="420"/>
      <c r="DM3" s="420"/>
      <c r="DN3" s="420"/>
      <c r="DO3" s="420"/>
      <c r="DP3" s="420"/>
      <c r="DQ3" s="420"/>
      <c r="DR3" s="420"/>
      <c r="DS3" s="420"/>
      <c r="DT3" s="420"/>
      <c r="DU3" s="420"/>
      <c r="DV3" s="420"/>
      <c r="DW3" s="420"/>
      <c r="DX3" s="420"/>
      <c r="DY3" s="420"/>
      <c r="DZ3" s="420"/>
      <c r="EA3" s="420"/>
      <c r="EB3" s="420"/>
      <c r="EC3" s="420"/>
      <c r="ED3" s="420"/>
      <c r="EE3" s="420"/>
      <c r="EF3" s="420"/>
      <c r="EG3" s="420"/>
      <c r="EH3" s="420"/>
      <c r="EI3" s="420"/>
      <c r="EJ3" s="420"/>
      <c r="EK3" s="420"/>
      <c r="EL3" s="420"/>
      <c r="EM3" s="420"/>
      <c r="EN3" s="420"/>
      <c r="EO3" s="420"/>
      <c r="EP3" s="420"/>
      <c r="EQ3" s="420"/>
      <c r="ER3" s="420"/>
      <c r="ES3" s="420"/>
      <c r="ET3" s="420"/>
      <c r="EU3" s="420"/>
      <c r="EV3" s="420"/>
      <c r="EW3" s="420"/>
      <c r="EX3" s="420"/>
      <c r="EY3" s="420"/>
      <c r="EZ3" s="420"/>
      <c r="FA3" s="420"/>
      <c r="FB3" s="420"/>
      <c r="FC3" s="420"/>
      <c r="FD3" s="420"/>
      <c r="FE3" s="420"/>
      <c r="FF3" s="420"/>
      <c r="FG3" s="420"/>
      <c r="FH3" s="420"/>
      <c r="FI3" s="420"/>
      <c r="FJ3" s="420"/>
      <c r="FK3" s="420"/>
      <c r="FL3" s="420"/>
      <c r="FM3" s="420"/>
      <c r="FN3" s="420"/>
      <c r="FO3" s="420"/>
      <c r="FP3" s="420"/>
      <c r="FQ3" s="420"/>
      <c r="FR3" s="420"/>
      <c r="FS3" s="420"/>
      <c r="FT3" s="420"/>
      <c r="FU3" s="420"/>
      <c r="FV3" s="420"/>
      <c r="FW3" s="420"/>
      <c r="FX3" s="420"/>
      <c r="FY3" s="420"/>
      <c r="FZ3" s="420"/>
      <c r="GA3" s="420"/>
      <c r="GB3" s="420"/>
      <c r="GC3" s="420"/>
      <c r="GD3" s="420"/>
      <c r="GE3" s="420"/>
      <c r="GF3" s="420"/>
      <c r="GG3" s="420"/>
      <c r="GH3" s="420"/>
      <c r="GI3" s="420"/>
      <c r="GJ3" s="420"/>
      <c r="GK3" s="420"/>
      <c r="GL3" s="420"/>
      <c r="GM3" s="420"/>
      <c r="GN3" s="420"/>
      <c r="GO3" s="420"/>
      <c r="GP3" s="420"/>
      <c r="GQ3" s="420"/>
      <c r="GR3" s="420"/>
      <c r="GS3" s="420"/>
      <c r="GT3" s="420"/>
      <c r="GU3" s="420"/>
      <c r="GV3" s="420"/>
      <c r="GW3" s="420"/>
      <c r="GX3" s="420"/>
      <c r="GY3" s="420"/>
      <c r="GZ3" s="420"/>
      <c r="HA3" s="420"/>
      <c r="HB3" s="420"/>
      <c r="HC3" s="420"/>
      <c r="HD3" s="420"/>
      <c r="HE3" s="420"/>
      <c r="HF3" s="420"/>
      <c r="HG3" s="420"/>
      <c r="HH3" s="420"/>
      <c r="HI3" s="420"/>
      <c r="HJ3" s="420"/>
      <c r="HK3" s="420"/>
      <c r="HL3" s="420"/>
      <c r="HM3" s="420"/>
      <c r="HN3" s="420"/>
      <c r="HO3" s="420"/>
      <c r="HP3" s="420"/>
      <c r="HQ3" s="420"/>
      <c r="HR3" s="420"/>
      <c r="HS3" s="420"/>
      <c r="HT3" s="420"/>
      <c r="HU3" s="420"/>
      <c r="HV3" s="420"/>
      <c r="HW3" s="420"/>
      <c r="HX3" s="420"/>
      <c r="HY3" s="420"/>
      <c r="HZ3" s="420"/>
      <c r="IA3" s="420"/>
      <c r="IB3" s="420"/>
      <c r="IC3" s="420"/>
      <c r="ID3" s="420"/>
      <c r="IE3" s="420"/>
      <c r="IF3" s="420"/>
      <c r="IG3" s="420"/>
      <c r="IH3" s="420"/>
      <c r="II3" s="420"/>
      <c r="IJ3" s="420"/>
      <c r="IK3" s="420"/>
      <c r="IL3" s="420"/>
      <c r="IM3" s="420"/>
      <c r="IN3" s="420"/>
      <c r="IO3" s="420"/>
      <c r="IP3" s="420"/>
      <c r="IQ3" s="420"/>
      <c r="IR3" s="420"/>
      <c r="IS3" s="420"/>
      <c r="IT3" s="420"/>
      <c r="IU3" s="420"/>
      <c r="IV3" s="420"/>
      <c r="IW3" s="420"/>
    </row>
    <row r="4" customFormat="false" ht="12.75" hidden="false" customHeight="false" outlineLevel="0" collapsed="false">
      <c r="A4" s="420"/>
      <c r="B4" s="434"/>
      <c r="C4" s="434" t="n">
        <v>0.5</v>
      </c>
      <c r="D4" s="434"/>
      <c r="E4" s="431"/>
      <c r="F4" s="431" t="s">
        <v>285</v>
      </c>
      <c r="G4" s="431" t="s">
        <v>286</v>
      </c>
      <c r="H4" s="426"/>
      <c r="I4" s="434" t="n">
        <v>0.5</v>
      </c>
      <c r="J4" s="434"/>
      <c r="K4" s="431"/>
      <c r="L4" s="431"/>
      <c r="M4" s="431" t="s">
        <v>286</v>
      </c>
      <c r="N4" s="426"/>
      <c r="O4" s="434" t="n">
        <v>0.5</v>
      </c>
      <c r="P4" s="434"/>
      <c r="Q4" s="431"/>
      <c r="R4" s="431"/>
      <c r="S4" s="431" t="s">
        <v>286</v>
      </c>
      <c r="T4" s="431" t="s">
        <v>287</v>
      </c>
      <c r="U4" s="434" t="n">
        <v>0.5</v>
      </c>
      <c r="V4" s="431"/>
      <c r="W4" s="431"/>
      <c r="X4" s="431"/>
      <c r="Y4" s="431" t="s">
        <v>286</v>
      </c>
      <c r="Z4" s="431" t="s">
        <v>127</v>
      </c>
      <c r="AA4" s="434" t="n">
        <v>0.5</v>
      </c>
      <c r="AB4" s="431"/>
      <c r="AC4" s="431"/>
      <c r="AD4" s="431"/>
      <c r="AE4" s="431" t="s">
        <v>286</v>
      </c>
      <c r="AF4" s="431" t="s">
        <v>127</v>
      </c>
      <c r="AG4" s="434" t="n">
        <v>0.5</v>
      </c>
      <c r="AH4" s="431"/>
      <c r="AI4" s="431"/>
      <c r="AJ4" s="431"/>
      <c r="AK4" s="431" t="s">
        <v>286</v>
      </c>
      <c r="AL4" s="431" t="s">
        <v>127</v>
      </c>
      <c r="AM4" s="434" t="n">
        <v>0.5</v>
      </c>
      <c r="AN4" s="431"/>
      <c r="AO4" s="431"/>
      <c r="AP4" s="431"/>
      <c r="AQ4" s="431" t="s">
        <v>286</v>
      </c>
      <c r="AR4" s="431" t="s">
        <v>127</v>
      </c>
      <c r="AS4" s="434" t="n">
        <v>0.5</v>
      </c>
      <c r="AT4" s="431"/>
      <c r="AU4" s="431"/>
      <c r="AV4" s="431"/>
      <c r="AW4" s="431" t="s">
        <v>286</v>
      </c>
      <c r="AX4" s="431" t="s">
        <v>127</v>
      </c>
      <c r="AY4" s="434" t="n">
        <v>0.5</v>
      </c>
      <c r="AZ4" s="431"/>
      <c r="BA4" s="431"/>
      <c r="BB4" s="431"/>
      <c r="BC4" s="431" t="s">
        <v>286</v>
      </c>
      <c r="BE4" s="431" t="s">
        <v>45</v>
      </c>
      <c r="BF4" s="431" t="s">
        <v>45</v>
      </c>
      <c r="BG4" s="431" t="s">
        <v>45</v>
      </c>
      <c r="BH4" s="431" t="s">
        <v>45</v>
      </c>
      <c r="BI4" s="431" t="s">
        <v>45</v>
      </c>
      <c r="BJ4" s="431" t="s">
        <v>288</v>
      </c>
      <c r="BK4" s="420"/>
      <c r="BL4" s="420"/>
      <c r="BM4" s="420"/>
      <c r="BN4" s="420"/>
      <c r="BO4" s="420"/>
      <c r="BP4" s="420"/>
      <c r="BQ4" s="420"/>
      <c r="BR4" s="420"/>
      <c r="BS4" s="420"/>
      <c r="BT4" s="420"/>
      <c r="BU4" s="420"/>
      <c r="BV4" s="420"/>
      <c r="BW4" s="420"/>
      <c r="BX4" s="420"/>
      <c r="BY4" s="420"/>
      <c r="BZ4" s="420"/>
      <c r="CA4" s="420"/>
      <c r="CB4" s="420"/>
      <c r="CC4" s="420"/>
      <c r="CD4" s="420"/>
      <c r="CE4" s="420"/>
      <c r="CF4" s="420"/>
      <c r="CG4" s="420"/>
      <c r="CH4" s="420"/>
      <c r="CI4" s="420"/>
      <c r="CJ4" s="420"/>
      <c r="CK4" s="420"/>
      <c r="CL4" s="420"/>
      <c r="CM4" s="420"/>
      <c r="CN4" s="420"/>
      <c r="CO4" s="420"/>
      <c r="CP4" s="420"/>
      <c r="CQ4" s="420"/>
      <c r="CR4" s="420"/>
      <c r="CS4" s="420"/>
      <c r="CT4" s="420"/>
      <c r="CU4" s="420"/>
      <c r="CV4" s="420"/>
      <c r="CW4" s="420"/>
      <c r="CX4" s="420"/>
      <c r="CY4" s="420"/>
      <c r="CZ4" s="420"/>
      <c r="DA4" s="420"/>
      <c r="DB4" s="420"/>
      <c r="DC4" s="420"/>
      <c r="DD4" s="420"/>
      <c r="DE4" s="420"/>
      <c r="DF4" s="420"/>
      <c r="DG4" s="420"/>
      <c r="DH4" s="420"/>
      <c r="DI4" s="420"/>
      <c r="DJ4" s="420"/>
      <c r="DK4" s="420"/>
      <c r="DL4" s="420"/>
      <c r="DM4" s="420"/>
      <c r="DN4" s="420"/>
      <c r="DO4" s="420"/>
      <c r="DP4" s="420"/>
      <c r="DQ4" s="420"/>
      <c r="DR4" s="420"/>
      <c r="DS4" s="420"/>
      <c r="DT4" s="420"/>
      <c r="DU4" s="420"/>
      <c r="DV4" s="420"/>
      <c r="DW4" s="420"/>
      <c r="DX4" s="420"/>
      <c r="DY4" s="420"/>
      <c r="DZ4" s="420"/>
      <c r="EA4" s="420"/>
      <c r="EB4" s="420"/>
      <c r="EC4" s="420"/>
      <c r="ED4" s="420"/>
      <c r="EE4" s="420"/>
      <c r="EF4" s="420"/>
      <c r="EG4" s="420"/>
      <c r="EH4" s="420"/>
      <c r="EI4" s="420"/>
      <c r="EJ4" s="420"/>
      <c r="EK4" s="420"/>
      <c r="EL4" s="420"/>
      <c r="EM4" s="420"/>
      <c r="EN4" s="420"/>
      <c r="EO4" s="420"/>
      <c r="EP4" s="420"/>
      <c r="EQ4" s="420"/>
      <c r="ER4" s="420"/>
      <c r="ES4" s="420"/>
      <c r="ET4" s="420"/>
      <c r="EU4" s="420"/>
      <c r="EV4" s="420"/>
      <c r="EW4" s="420"/>
      <c r="EX4" s="420"/>
      <c r="EY4" s="420"/>
      <c r="EZ4" s="420"/>
      <c r="FA4" s="420"/>
      <c r="FB4" s="420"/>
      <c r="FC4" s="420"/>
      <c r="FD4" s="420"/>
      <c r="FE4" s="420"/>
      <c r="FF4" s="420"/>
      <c r="FG4" s="420"/>
      <c r="FH4" s="420"/>
      <c r="FI4" s="420"/>
      <c r="FJ4" s="420"/>
      <c r="FK4" s="420"/>
      <c r="FL4" s="420"/>
      <c r="FM4" s="420"/>
      <c r="FN4" s="420"/>
      <c r="FO4" s="420"/>
      <c r="FP4" s="420"/>
      <c r="FQ4" s="420"/>
      <c r="FR4" s="420"/>
      <c r="FS4" s="420"/>
      <c r="FT4" s="420"/>
      <c r="FU4" s="420"/>
      <c r="FV4" s="420"/>
      <c r="FW4" s="420"/>
      <c r="FX4" s="420"/>
      <c r="FY4" s="420"/>
      <c r="FZ4" s="420"/>
      <c r="GA4" s="420"/>
      <c r="GB4" s="420"/>
      <c r="GC4" s="420"/>
      <c r="GD4" s="420"/>
      <c r="GE4" s="420"/>
      <c r="GF4" s="420"/>
      <c r="GG4" s="420"/>
      <c r="GH4" s="420"/>
      <c r="GI4" s="420"/>
      <c r="GJ4" s="420"/>
      <c r="GK4" s="420"/>
      <c r="GL4" s="420"/>
      <c r="GM4" s="420"/>
      <c r="GN4" s="420"/>
      <c r="GO4" s="420"/>
      <c r="GP4" s="420"/>
      <c r="GQ4" s="420"/>
      <c r="GR4" s="420"/>
      <c r="GS4" s="420"/>
      <c r="GT4" s="420"/>
      <c r="GU4" s="420"/>
      <c r="GV4" s="420"/>
      <c r="GW4" s="420"/>
      <c r="GX4" s="420"/>
      <c r="GY4" s="420"/>
      <c r="GZ4" s="420"/>
      <c r="HA4" s="420"/>
      <c r="HB4" s="420"/>
      <c r="HC4" s="420"/>
      <c r="HD4" s="420"/>
      <c r="HE4" s="420"/>
      <c r="HF4" s="420"/>
      <c r="HG4" s="420"/>
      <c r="HH4" s="420"/>
      <c r="HI4" s="420"/>
      <c r="HJ4" s="420"/>
      <c r="HK4" s="420"/>
      <c r="HL4" s="420"/>
      <c r="HM4" s="420"/>
      <c r="HN4" s="420"/>
      <c r="HO4" s="420"/>
      <c r="HP4" s="420"/>
      <c r="HQ4" s="420"/>
      <c r="HR4" s="420"/>
      <c r="HS4" s="420"/>
      <c r="HT4" s="420"/>
      <c r="HU4" s="420"/>
      <c r="HV4" s="420"/>
      <c r="HW4" s="420"/>
      <c r="HX4" s="420"/>
      <c r="HY4" s="420"/>
      <c r="HZ4" s="420"/>
      <c r="IA4" s="420"/>
      <c r="IB4" s="420"/>
      <c r="IC4" s="420"/>
      <c r="ID4" s="420"/>
      <c r="IE4" s="420"/>
      <c r="IF4" s="420"/>
      <c r="IG4" s="420"/>
      <c r="IH4" s="420"/>
      <c r="II4" s="420"/>
      <c r="IJ4" s="420"/>
      <c r="IK4" s="420"/>
      <c r="IL4" s="420"/>
      <c r="IM4" s="420"/>
      <c r="IN4" s="420"/>
      <c r="IO4" s="420"/>
      <c r="IP4" s="420"/>
      <c r="IQ4" s="420"/>
      <c r="IR4" s="420"/>
      <c r="IS4" s="420"/>
      <c r="IT4" s="420"/>
      <c r="IU4" s="420"/>
      <c r="IV4" s="420"/>
      <c r="IW4" s="420"/>
    </row>
    <row r="5" customFormat="false" ht="12.75" hidden="false" customHeight="false" outlineLevel="0" collapsed="false">
      <c r="A5" s="435" t="s">
        <v>158</v>
      </c>
      <c r="B5" s="435" t="s">
        <v>289</v>
      </c>
      <c r="C5" s="435" t="s">
        <v>289</v>
      </c>
      <c r="D5" s="435" t="s">
        <v>76</v>
      </c>
      <c r="E5" s="436" t="s">
        <v>75</v>
      </c>
      <c r="F5" s="436" t="s">
        <v>290</v>
      </c>
      <c r="G5" s="436" t="s">
        <v>290</v>
      </c>
      <c r="H5" s="435" t="s">
        <v>289</v>
      </c>
      <c r="I5" s="435" t="s">
        <v>289</v>
      </c>
      <c r="J5" s="435" t="s">
        <v>76</v>
      </c>
      <c r="K5" s="436" t="s">
        <v>75</v>
      </c>
      <c r="L5" s="436" t="s">
        <v>290</v>
      </c>
      <c r="M5" s="436" t="s">
        <v>290</v>
      </c>
      <c r="N5" s="435" t="s">
        <v>289</v>
      </c>
      <c r="O5" s="435" t="s">
        <v>289</v>
      </c>
      <c r="P5" s="435" t="s">
        <v>76</v>
      </c>
      <c r="Q5" s="436" t="s">
        <v>75</v>
      </c>
      <c r="R5" s="436" t="s">
        <v>290</v>
      </c>
      <c r="S5" s="436" t="s">
        <v>290</v>
      </c>
      <c r="T5" s="436" t="s">
        <v>130</v>
      </c>
      <c r="U5" s="436" t="s">
        <v>130</v>
      </c>
      <c r="V5" s="436" t="s">
        <v>76</v>
      </c>
      <c r="W5" s="436" t="s">
        <v>75</v>
      </c>
      <c r="X5" s="436" t="s">
        <v>290</v>
      </c>
      <c r="Y5" s="436" t="s">
        <v>290</v>
      </c>
      <c r="Z5" s="436" t="s">
        <v>130</v>
      </c>
      <c r="AA5" s="436" t="s">
        <v>130</v>
      </c>
      <c r="AB5" s="436" t="s">
        <v>76</v>
      </c>
      <c r="AC5" s="436" t="s">
        <v>75</v>
      </c>
      <c r="AD5" s="436" t="s">
        <v>290</v>
      </c>
      <c r="AE5" s="436" t="s">
        <v>290</v>
      </c>
      <c r="AF5" s="436" t="s">
        <v>130</v>
      </c>
      <c r="AG5" s="436" t="s">
        <v>130</v>
      </c>
      <c r="AH5" s="436" t="s">
        <v>76</v>
      </c>
      <c r="AI5" s="436" t="s">
        <v>75</v>
      </c>
      <c r="AJ5" s="436" t="s">
        <v>290</v>
      </c>
      <c r="AK5" s="436" t="s">
        <v>290</v>
      </c>
      <c r="AL5" s="436" t="s">
        <v>130</v>
      </c>
      <c r="AM5" s="436" t="s">
        <v>130</v>
      </c>
      <c r="AN5" s="436" t="s">
        <v>76</v>
      </c>
      <c r="AO5" s="436" t="s">
        <v>75</v>
      </c>
      <c r="AP5" s="436" t="s">
        <v>290</v>
      </c>
      <c r="AQ5" s="436" t="s">
        <v>290</v>
      </c>
      <c r="AR5" s="436" t="s">
        <v>130</v>
      </c>
      <c r="AS5" s="436" t="s">
        <v>130</v>
      </c>
      <c r="AT5" s="436" t="s">
        <v>76</v>
      </c>
      <c r="AU5" s="436" t="s">
        <v>75</v>
      </c>
      <c r="AV5" s="436" t="s">
        <v>290</v>
      </c>
      <c r="AW5" s="436" t="s">
        <v>290</v>
      </c>
      <c r="AX5" s="436" t="s">
        <v>130</v>
      </c>
      <c r="AY5" s="436" t="s">
        <v>130</v>
      </c>
      <c r="AZ5" s="436" t="s">
        <v>76</v>
      </c>
      <c r="BA5" s="436" t="s">
        <v>75</v>
      </c>
      <c r="BB5" s="436" t="s">
        <v>290</v>
      </c>
      <c r="BC5" s="436" t="s">
        <v>290</v>
      </c>
      <c r="BD5" s="437"/>
      <c r="BE5" s="436" t="s">
        <v>130</v>
      </c>
      <c r="BF5" s="436" t="s">
        <v>291</v>
      </c>
      <c r="BG5" s="436" t="s">
        <v>76</v>
      </c>
      <c r="BH5" s="436" t="s">
        <v>79</v>
      </c>
      <c r="BI5" s="436" t="s">
        <v>290</v>
      </c>
      <c r="BJ5" s="436" t="s">
        <v>292</v>
      </c>
      <c r="BK5" s="420"/>
      <c r="BL5" s="420"/>
      <c r="BM5" s="420"/>
      <c r="BN5" s="420"/>
      <c r="BO5" s="420"/>
      <c r="BP5" s="420"/>
      <c r="BQ5" s="420"/>
      <c r="BR5" s="420"/>
      <c r="BS5" s="420"/>
      <c r="BT5" s="420"/>
      <c r="BU5" s="420"/>
      <c r="BV5" s="420"/>
      <c r="BW5" s="420"/>
      <c r="BX5" s="420"/>
      <c r="BY5" s="420"/>
      <c r="BZ5" s="420"/>
      <c r="CA5" s="420"/>
      <c r="CB5" s="420"/>
      <c r="CC5" s="420"/>
      <c r="CD5" s="420"/>
      <c r="CE5" s="420"/>
      <c r="CF5" s="420"/>
      <c r="CG5" s="420"/>
      <c r="CH5" s="420"/>
      <c r="CI5" s="420"/>
      <c r="CJ5" s="420"/>
      <c r="CK5" s="420"/>
      <c r="CL5" s="420"/>
      <c r="CM5" s="420"/>
      <c r="CN5" s="420"/>
      <c r="CO5" s="420"/>
      <c r="CP5" s="420"/>
      <c r="CQ5" s="420"/>
      <c r="CR5" s="420"/>
      <c r="CS5" s="420"/>
      <c r="CT5" s="420"/>
      <c r="CU5" s="420"/>
      <c r="CV5" s="420"/>
      <c r="CW5" s="420"/>
      <c r="CX5" s="420"/>
      <c r="CY5" s="420"/>
      <c r="CZ5" s="420"/>
      <c r="DA5" s="420"/>
      <c r="DB5" s="420"/>
      <c r="DC5" s="420"/>
      <c r="DD5" s="420"/>
      <c r="DE5" s="420"/>
      <c r="DF5" s="420"/>
      <c r="DG5" s="420"/>
      <c r="DH5" s="420"/>
      <c r="DI5" s="420"/>
      <c r="DJ5" s="420"/>
      <c r="DK5" s="420"/>
      <c r="DL5" s="420"/>
      <c r="DM5" s="420"/>
      <c r="DN5" s="420"/>
      <c r="DO5" s="420"/>
      <c r="DP5" s="420"/>
      <c r="DQ5" s="420"/>
      <c r="DR5" s="420"/>
      <c r="DS5" s="420"/>
      <c r="DT5" s="420"/>
      <c r="DU5" s="420"/>
      <c r="DV5" s="420"/>
      <c r="DW5" s="420"/>
      <c r="DX5" s="420"/>
      <c r="DY5" s="420"/>
      <c r="DZ5" s="420"/>
      <c r="EA5" s="420"/>
      <c r="EB5" s="420"/>
      <c r="EC5" s="420"/>
      <c r="ED5" s="420"/>
      <c r="EE5" s="420"/>
      <c r="EF5" s="420"/>
      <c r="EG5" s="420"/>
      <c r="EH5" s="420"/>
      <c r="EI5" s="420"/>
      <c r="EJ5" s="420"/>
      <c r="EK5" s="420"/>
      <c r="EL5" s="420"/>
      <c r="EM5" s="420"/>
      <c r="EN5" s="420"/>
      <c r="EO5" s="420"/>
      <c r="EP5" s="420"/>
      <c r="EQ5" s="420"/>
      <c r="ER5" s="420"/>
      <c r="ES5" s="420"/>
      <c r="ET5" s="420"/>
      <c r="EU5" s="420"/>
      <c r="EV5" s="420"/>
      <c r="EW5" s="420"/>
      <c r="EX5" s="420"/>
      <c r="EY5" s="420"/>
      <c r="EZ5" s="420"/>
      <c r="FA5" s="420"/>
      <c r="FB5" s="420"/>
      <c r="FC5" s="420"/>
      <c r="FD5" s="420"/>
      <c r="FE5" s="420"/>
      <c r="FF5" s="420"/>
      <c r="FG5" s="420"/>
      <c r="FH5" s="420"/>
      <c r="FI5" s="420"/>
      <c r="FJ5" s="420"/>
      <c r="FK5" s="420"/>
      <c r="FL5" s="420"/>
      <c r="FM5" s="420"/>
      <c r="FN5" s="420"/>
      <c r="FO5" s="420"/>
      <c r="FP5" s="420"/>
      <c r="FQ5" s="420"/>
      <c r="FR5" s="420"/>
      <c r="FS5" s="420"/>
      <c r="FT5" s="420"/>
      <c r="FU5" s="420"/>
      <c r="FV5" s="420"/>
      <c r="FW5" s="420"/>
      <c r="FX5" s="420"/>
      <c r="FY5" s="420"/>
      <c r="FZ5" s="420"/>
      <c r="GA5" s="420"/>
      <c r="GB5" s="420"/>
      <c r="GC5" s="420"/>
      <c r="GD5" s="420"/>
      <c r="GE5" s="420"/>
      <c r="GF5" s="420"/>
      <c r="GG5" s="420"/>
      <c r="GH5" s="420"/>
      <c r="GI5" s="420"/>
      <c r="GJ5" s="420"/>
      <c r="GK5" s="420"/>
      <c r="GL5" s="420"/>
      <c r="GM5" s="420"/>
      <c r="GN5" s="420"/>
      <c r="GO5" s="420"/>
      <c r="GP5" s="420"/>
      <c r="GQ5" s="420"/>
      <c r="GR5" s="420"/>
      <c r="GS5" s="420"/>
      <c r="GT5" s="420"/>
      <c r="GU5" s="420"/>
      <c r="GV5" s="420"/>
      <c r="GW5" s="420"/>
      <c r="GX5" s="420"/>
      <c r="GY5" s="420"/>
      <c r="GZ5" s="420"/>
      <c r="HA5" s="420"/>
      <c r="HB5" s="420"/>
      <c r="HC5" s="420"/>
      <c r="HD5" s="420"/>
      <c r="HE5" s="420"/>
      <c r="HF5" s="420"/>
      <c r="HG5" s="420"/>
      <c r="HH5" s="420"/>
      <c r="HI5" s="420"/>
      <c r="HJ5" s="420"/>
      <c r="HK5" s="420"/>
      <c r="HL5" s="420"/>
      <c r="HM5" s="420"/>
      <c r="HN5" s="420"/>
      <c r="HO5" s="420"/>
      <c r="HP5" s="420"/>
      <c r="HQ5" s="420"/>
      <c r="HR5" s="420"/>
      <c r="HS5" s="420"/>
      <c r="HT5" s="420"/>
      <c r="HU5" s="420"/>
      <c r="HV5" s="420"/>
      <c r="HW5" s="420"/>
      <c r="HX5" s="420"/>
      <c r="HY5" s="420"/>
      <c r="HZ5" s="420"/>
      <c r="IA5" s="420"/>
      <c r="IB5" s="420"/>
      <c r="IC5" s="420"/>
      <c r="ID5" s="420"/>
      <c r="IE5" s="420"/>
      <c r="IF5" s="420"/>
      <c r="IG5" s="420"/>
      <c r="IH5" s="420"/>
      <c r="II5" s="420"/>
      <c r="IJ5" s="420"/>
      <c r="IK5" s="420"/>
      <c r="IL5" s="420"/>
      <c r="IM5" s="420"/>
      <c r="IN5" s="420"/>
      <c r="IO5" s="420"/>
      <c r="IP5" s="420"/>
      <c r="IQ5" s="420"/>
      <c r="IR5" s="420"/>
      <c r="IS5" s="420"/>
      <c r="IT5" s="420"/>
      <c r="IU5" s="420"/>
      <c r="IV5" s="420"/>
      <c r="IW5" s="420"/>
    </row>
    <row r="6" customFormat="false" ht="12.75" hidden="false" customHeight="false" outlineLevel="0" collapsed="false">
      <c r="A6" s="438" t="n">
        <f aca="false">+BaseloadMarkets!A6</f>
        <v>36708</v>
      </c>
      <c r="B6" s="439" t="n">
        <f aca="false">+OCCMarkets!O6</f>
        <v>1682</v>
      </c>
      <c r="C6" s="440" t="n">
        <f aca="false">B6/2</f>
        <v>841</v>
      </c>
      <c r="D6" s="440" t="n">
        <f aca="false">+OCCMarkets!S6</f>
        <v>866</v>
      </c>
      <c r="E6" s="441" t="n">
        <f aca="false">D6-C6</f>
        <v>25</v>
      </c>
      <c r="F6" s="441" t="n">
        <f aca="false">E6</f>
        <v>25</v>
      </c>
      <c r="G6" s="442"/>
      <c r="H6" s="439" t="n">
        <f aca="false">+OCCMarkets!C6</f>
        <v>12647</v>
      </c>
      <c r="I6" s="440" t="n">
        <f aca="false">H6/2</f>
        <v>6323.5</v>
      </c>
      <c r="J6" s="440" t="n">
        <f aca="false">+OCCMarkets!L6-OCCMarkets!H6</f>
        <v>12926</v>
      </c>
      <c r="K6" s="441" t="n">
        <f aca="false">J6-I6</f>
        <v>6602.5</v>
      </c>
      <c r="L6" s="441" t="n">
        <f aca="false">K6</f>
        <v>6602.5</v>
      </c>
      <c r="M6" s="442"/>
      <c r="N6" s="439" t="n">
        <f aca="false">+OCCMarkets!V6</f>
        <v>1497</v>
      </c>
      <c r="O6" s="440" t="n">
        <f aca="false">N6/2</f>
        <v>748.5</v>
      </c>
      <c r="P6" s="440" t="n">
        <f aca="false">+OCCMarkets!Z6</f>
        <v>289</v>
      </c>
      <c r="Q6" s="441" t="n">
        <f aca="false">P6-O6</f>
        <v>-459.5</v>
      </c>
      <c r="R6" s="441" t="n">
        <f aca="false">Q6</f>
        <v>-459.5</v>
      </c>
      <c r="S6" s="442"/>
      <c r="T6" s="430" t="n">
        <f aca="false">+EES!C5</f>
        <v>70000</v>
      </c>
      <c r="U6" s="430" t="n">
        <f aca="false">T6/2</f>
        <v>35000</v>
      </c>
      <c r="V6" s="430" t="n">
        <f aca="false">+EES!AM5-EES!M5</f>
        <v>68562</v>
      </c>
      <c r="W6" s="441" t="n">
        <f aca="false">V6-U6</f>
        <v>33562</v>
      </c>
      <c r="X6" s="441" t="n">
        <f aca="false">W6</f>
        <v>33562</v>
      </c>
      <c r="Y6" s="442"/>
      <c r="Z6" s="430" t="n">
        <f aca="false">+OCCMarkets!AC6</f>
        <v>181</v>
      </c>
      <c r="AA6" s="430" t="n">
        <f aca="false">Z6/2</f>
        <v>90.5</v>
      </c>
      <c r="AB6" s="430" t="n">
        <f aca="false">+OCCMarkets!AG6</f>
        <v>0</v>
      </c>
      <c r="AC6" s="441" t="n">
        <f aca="false">AB6-AA6</f>
        <v>-90.5</v>
      </c>
      <c r="AD6" s="441" t="n">
        <f aca="false">AC6</f>
        <v>-90.5</v>
      </c>
      <c r="AE6" s="442"/>
      <c r="AF6" s="430" t="n">
        <f aca="false">+OCCMarkets!AJ6</f>
        <v>2722</v>
      </c>
      <c r="AG6" s="430" t="n">
        <f aca="false">AF6/2</f>
        <v>1361</v>
      </c>
      <c r="AH6" s="430" t="n">
        <f aca="false">+OCCMarkets!AN6</f>
        <v>11456</v>
      </c>
      <c r="AI6" s="441" t="n">
        <f aca="false">AH6-AG6</f>
        <v>10095</v>
      </c>
      <c r="AJ6" s="441" t="n">
        <f aca="false">AI6</f>
        <v>10095</v>
      </c>
      <c r="AK6" s="442"/>
      <c r="AL6" s="430" t="n">
        <f aca="false">+OCCMarkets!AQ6</f>
        <v>0</v>
      </c>
      <c r="AM6" s="430" t="n">
        <f aca="false">AL6/2</f>
        <v>0</v>
      </c>
      <c r="AN6" s="430" t="n">
        <f aca="false">+OCCMarkets!AU6</f>
        <v>0</v>
      </c>
      <c r="AO6" s="441" t="n">
        <f aca="false">AN6-AM6</f>
        <v>0</v>
      </c>
      <c r="AP6" s="441" t="n">
        <f aca="false">AO6</f>
        <v>0</v>
      </c>
      <c r="AQ6" s="442"/>
      <c r="AR6" s="430" t="n">
        <f aca="false">+OCCMarkets!AX6</f>
        <v>22</v>
      </c>
      <c r="AS6" s="430" t="n">
        <f aca="false">AR6/2</f>
        <v>11</v>
      </c>
      <c r="AT6" s="430" t="n">
        <f aca="false">+OCCMarkets!BB6</f>
        <v>0</v>
      </c>
      <c r="AU6" s="441" t="n">
        <f aca="false">AT6-AS6</f>
        <v>-11</v>
      </c>
      <c r="AV6" s="441" t="n">
        <f aca="false">AU6</f>
        <v>-11</v>
      </c>
      <c r="AW6" s="442"/>
      <c r="AX6" s="430" t="n">
        <f aca="false">+OCCMarkets!BE6</f>
        <v>140</v>
      </c>
      <c r="AY6" s="430" t="n">
        <f aca="false">AX6/2</f>
        <v>70</v>
      </c>
      <c r="AZ6" s="430" t="n">
        <f aca="false">+OCCMarkets!BI6</f>
        <v>0</v>
      </c>
      <c r="BA6" s="441" t="n">
        <f aca="false">AZ6-AY6</f>
        <v>-70</v>
      </c>
      <c r="BB6" s="441" t="n">
        <f aca="false">BA6</f>
        <v>-70</v>
      </c>
      <c r="BC6" s="442"/>
      <c r="BD6" s="437"/>
      <c r="BE6" s="441" t="n">
        <f aca="false">+B6+H6+N6+T6+Z6+AF6+AL6+AR6+AX6</f>
        <v>88891</v>
      </c>
      <c r="BF6" s="441" t="n">
        <f aca="false">+C6+I6+O6+U6+AA6+AG6+AM6+AS6+AY6</f>
        <v>44445.5</v>
      </c>
      <c r="BG6" s="441" t="n">
        <f aca="false">+D6+J6+P6+V6+AB6+AH6+AN6+AT6+AZ6</f>
        <v>94099</v>
      </c>
      <c r="BH6" s="441" t="n">
        <f aca="false">+E6+K6+Q6+W6+AC6+AI6+AO6+AU6+BA6</f>
        <v>49653.5</v>
      </c>
      <c r="BI6" s="441" t="n">
        <f aca="false">+F6+L6+R6+X6+AD6+AJ6+AP6+AV6+BB6</f>
        <v>49653.5</v>
      </c>
      <c r="BJ6" s="441"/>
    </row>
    <row r="7" customFormat="false" ht="12.75" hidden="false" customHeight="false" outlineLevel="0" collapsed="false">
      <c r="A7" s="438" t="n">
        <f aca="false">+BaseloadMarkets!A7</f>
        <v>36709</v>
      </c>
      <c r="B7" s="439" t="n">
        <f aca="false">+OCCMarkets!O7</f>
        <v>2928</v>
      </c>
      <c r="C7" s="440" t="n">
        <f aca="false">B7/2</f>
        <v>1464</v>
      </c>
      <c r="D7" s="440" t="n">
        <f aca="false">+OCCMarkets!S7</f>
        <v>871</v>
      </c>
      <c r="E7" s="441" t="n">
        <f aca="false">D7-C7</f>
        <v>-593</v>
      </c>
      <c r="F7" s="441" t="n">
        <f aca="false">F6+E7</f>
        <v>-568</v>
      </c>
      <c r="G7" s="442"/>
      <c r="H7" s="439" t="n">
        <f aca="false">+OCCMarkets!C7</f>
        <v>7922</v>
      </c>
      <c r="I7" s="440" t="n">
        <f aca="false">H7/2</f>
        <v>3961</v>
      </c>
      <c r="J7" s="440" t="n">
        <f aca="false">+OCCMarkets!L7-OCCMarkets!H7</f>
        <v>13748</v>
      </c>
      <c r="K7" s="441" t="n">
        <f aca="false">J7-I7</f>
        <v>9787</v>
      </c>
      <c r="L7" s="441" t="n">
        <f aca="false">L6+K7</f>
        <v>16389.5</v>
      </c>
      <c r="M7" s="442"/>
      <c r="N7" s="439" t="n">
        <f aca="false">+OCCMarkets!V7</f>
        <v>1376</v>
      </c>
      <c r="O7" s="440" t="n">
        <f aca="false">N7/2</f>
        <v>688</v>
      </c>
      <c r="P7" s="440" t="n">
        <f aca="false">+OCCMarkets!Z7</f>
        <v>290</v>
      </c>
      <c r="Q7" s="441" t="n">
        <f aca="false">P7-O7</f>
        <v>-398</v>
      </c>
      <c r="R7" s="441" t="n">
        <f aca="false">R6+Q7</f>
        <v>-857.5</v>
      </c>
      <c r="S7" s="442"/>
      <c r="T7" s="430" t="n">
        <f aca="false">+EES!C6</f>
        <v>70000</v>
      </c>
      <c r="U7" s="430" t="n">
        <f aca="false">T7/2</f>
        <v>35000</v>
      </c>
      <c r="V7" s="430" t="n">
        <f aca="false">+EES!AM6-EES!M6</f>
        <v>36719</v>
      </c>
      <c r="W7" s="441" t="n">
        <f aca="false">V7-U7</f>
        <v>1719</v>
      </c>
      <c r="X7" s="441" t="n">
        <f aca="false">X6+W7</f>
        <v>35281</v>
      </c>
      <c r="Y7" s="442"/>
      <c r="Z7" s="430" t="n">
        <f aca="false">+OCCMarkets!AC7</f>
        <v>28</v>
      </c>
      <c r="AA7" s="430" t="n">
        <f aca="false">Z7/2</f>
        <v>14</v>
      </c>
      <c r="AB7" s="430" t="n">
        <f aca="false">+OCCMarkets!AG7</f>
        <v>0</v>
      </c>
      <c r="AC7" s="441" t="n">
        <f aca="false">AB7-AA7</f>
        <v>-14</v>
      </c>
      <c r="AD7" s="441" t="n">
        <f aca="false">AD6+AC7</f>
        <v>-104.5</v>
      </c>
      <c r="AE7" s="442"/>
      <c r="AF7" s="430" t="n">
        <f aca="false">+OCCMarkets!AJ7</f>
        <v>7067</v>
      </c>
      <c r="AG7" s="430" t="n">
        <f aca="false">AF7/2</f>
        <v>3533.5</v>
      </c>
      <c r="AH7" s="430" t="n">
        <f aca="false">+OCCMarkets!AN7</f>
        <v>12210</v>
      </c>
      <c r="AI7" s="441" t="n">
        <f aca="false">AH7-AG7</f>
        <v>8676.5</v>
      </c>
      <c r="AJ7" s="441" t="n">
        <f aca="false">AJ6+AI7</f>
        <v>18771.5</v>
      </c>
      <c r="AK7" s="442"/>
      <c r="AL7" s="430" t="n">
        <f aca="false">+OCCMarkets!AQ7</f>
        <v>0</v>
      </c>
      <c r="AM7" s="430" t="n">
        <f aca="false">AL7/2</f>
        <v>0</v>
      </c>
      <c r="AN7" s="430" t="n">
        <f aca="false">+OCCMarkets!AU7</f>
        <v>0</v>
      </c>
      <c r="AO7" s="441" t="n">
        <f aca="false">AN7-AM7</f>
        <v>0</v>
      </c>
      <c r="AP7" s="441" t="n">
        <f aca="false">AP6+AO7</f>
        <v>0</v>
      </c>
      <c r="AQ7" s="442"/>
      <c r="AR7" s="430" t="n">
        <f aca="false">+OCCMarkets!AX7</f>
        <v>0</v>
      </c>
      <c r="AS7" s="430" t="n">
        <f aca="false">AR7/2</f>
        <v>0</v>
      </c>
      <c r="AT7" s="430" t="n">
        <f aca="false">+OCCMarkets!BB7</f>
        <v>0</v>
      </c>
      <c r="AU7" s="441" t="n">
        <f aca="false">AT7-AS7</f>
        <v>0</v>
      </c>
      <c r="AV7" s="441" t="n">
        <f aca="false">AV6+AU7</f>
        <v>-11</v>
      </c>
      <c r="AW7" s="442"/>
      <c r="AX7" s="430" t="n">
        <f aca="false">+OCCMarkets!BE7</f>
        <v>0</v>
      </c>
      <c r="AY7" s="430" t="n">
        <f aca="false">AX7/2</f>
        <v>0</v>
      </c>
      <c r="AZ7" s="430" t="n">
        <f aca="false">+OCCMarkets!BI7</f>
        <v>0</v>
      </c>
      <c r="BA7" s="441" t="n">
        <f aca="false">AZ7-AY7</f>
        <v>0</v>
      </c>
      <c r="BB7" s="441" t="n">
        <f aca="false">BB6+BA7</f>
        <v>-70</v>
      </c>
      <c r="BC7" s="442"/>
      <c r="BD7" s="437"/>
      <c r="BE7" s="441" t="n">
        <f aca="false">+B7+H7+N7+T7+Z7+AF7+AL7+AR7+AX7</f>
        <v>89321</v>
      </c>
      <c r="BF7" s="441" t="n">
        <f aca="false">+C7+I7+O7+U7+AA7+AG7+AM7+AS7+AY7</f>
        <v>44660.5</v>
      </c>
      <c r="BG7" s="441" t="n">
        <f aca="false">+D7+J7+P7+V7+AB7+AH7+AN7+AT7+AZ7</f>
        <v>63838</v>
      </c>
      <c r="BH7" s="441" t="n">
        <f aca="false">+E7+K7+Q7+W7+AC7+AI7+AO7+AU7+BA7</f>
        <v>19177.5</v>
      </c>
      <c r="BI7" s="441" t="n">
        <f aca="false">+F7+L7+R7+X7+AD7+AJ7+AP7+AV7+BB7</f>
        <v>68831</v>
      </c>
      <c r="BJ7" s="441"/>
    </row>
    <row r="8" customFormat="false" ht="12.75" hidden="false" customHeight="false" outlineLevel="0" collapsed="false">
      <c r="A8" s="438" t="n">
        <f aca="false">+BaseloadMarkets!A8</f>
        <v>36710</v>
      </c>
      <c r="B8" s="439" t="n">
        <f aca="false">+OCCMarkets!O8</f>
        <v>2479</v>
      </c>
      <c r="C8" s="440" t="n">
        <f aca="false">B8/2</f>
        <v>1239.5</v>
      </c>
      <c r="D8" s="440" t="n">
        <f aca="false">+OCCMarkets!S8</f>
        <v>869</v>
      </c>
      <c r="E8" s="441" t="n">
        <f aca="false">D8-C8</f>
        <v>-370.5</v>
      </c>
      <c r="F8" s="441" t="n">
        <f aca="false">F7+E8</f>
        <v>-938.5</v>
      </c>
      <c r="G8" s="442"/>
      <c r="H8" s="439" t="n">
        <f aca="false">+OCCMarkets!C8</f>
        <v>6686</v>
      </c>
      <c r="I8" s="440" t="n">
        <f aca="false">H8/2</f>
        <v>3343</v>
      </c>
      <c r="J8" s="440" t="n">
        <f aca="false">+OCCMarkets!L8-OCCMarkets!H8</f>
        <v>13020</v>
      </c>
      <c r="K8" s="441" t="n">
        <f aca="false">J8-I8</f>
        <v>9677</v>
      </c>
      <c r="L8" s="441" t="n">
        <f aca="false">L7+K8</f>
        <v>26066.5</v>
      </c>
      <c r="M8" s="442"/>
      <c r="N8" s="439" t="n">
        <f aca="false">+OCCMarkets!V8</f>
        <v>1220</v>
      </c>
      <c r="O8" s="440" t="n">
        <f aca="false">N8/2</f>
        <v>610</v>
      </c>
      <c r="P8" s="440" t="n">
        <f aca="false">+OCCMarkets!Z8</f>
        <v>290</v>
      </c>
      <c r="Q8" s="441" t="n">
        <f aca="false">P8-O8</f>
        <v>-320</v>
      </c>
      <c r="R8" s="441" t="n">
        <f aca="false">R7+Q8</f>
        <v>-1177.5</v>
      </c>
      <c r="S8" s="442"/>
      <c r="T8" s="430" t="n">
        <f aca="false">+EES!C7</f>
        <v>70000</v>
      </c>
      <c r="U8" s="430" t="n">
        <f aca="false">T8/2</f>
        <v>35000</v>
      </c>
      <c r="V8" s="430" t="n">
        <f aca="false">+EES!AM7-EES!M7</f>
        <v>64554</v>
      </c>
      <c r="W8" s="441" t="n">
        <f aca="false">V8-U8</f>
        <v>29554</v>
      </c>
      <c r="X8" s="441" t="n">
        <f aca="false">X7+W8</f>
        <v>64835</v>
      </c>
      <c r="Y8" s="442"/>
      <c r="Z8" s="430" t="n">
        <f aca="false">+OCCMarkets!AC8</f>
        <v>98</v>
      </c>
      <c r="AA8" s="430" t="n">
        <f aca="false">Z8/2</f>
        <v>49</v>
      </c>
      <c r="AB8" s="430" t="n">
        <f aca="false">+OCCMarkets!AG8</f>
        <v>0</v>
      </c>
      <c r="AC8" s="441" t="n">
        <f aca="false">AB8-AA8</f>
        <v>-49</v>
      </c>
      <c r="AD8" s="441" t="n">
        <f aca="false">AD7+AC8</f>
        <v>-153.5</v>
      </c>
      <c r="AE8" s="442"/>
      <c r="AF8" s="430" t="n">
        <f aca="false">+OCCMarkets!AJ8</f>
        <v>9261</v>
      </c>
      <c r="AG8" s="430" t="n">
        <f aca="false">AF8/2</f>
        <v>4630.5</v>
      </c>
      <c r="AH8" s="430" t="n">
        <f aca="false">+OCCMarkets!AN8</f>
        <v>12655</v>
      </c>
      <c r="AI8" s="441" t="n">
        <f aca="false">AH8-AG8</f>
        <v>8024.5</v>
      </c>
      <c r="AJ8" s="441" t="n">
        <f aca="false">AJ7+AI8</f>
        <v>26796</v>
      </c>
      <c r="AK8" s="442"/>
      <c r="AL8" s="430" t="n">
        <f aca="false">+OCCMarkets!AQ8</f>
        <v>0</v>
      </c>
      <c r="AM8" s="430" t="n">
        <f aca="false">AL8/2</f>
        <v>0</v>
      </c>
      <c r="AN8" s="430" t="n">
        <f aca="false">+OCCMarkets!AU8</f>
        <v>0</v>
      </c>
      <c r="AO8" s="441" t="n">
        <f aca="false">AN8-AM8</f>
        <v>0</v>
      </c>
      <c r="AP8" s="441" t="n">
        <f aca="false">AP7+AO8</f>
        <v>0</v>
      </c>
      <c r="AQ8" s="442"/>
      <c r="AR8" s="430" t="n">
        <f aca="false">+OCCMarkets!AX8</f>
        <v>0</v>
      </c>
      <c r="AS8" s="430" t="n">
        <f aca="false">AR8/2</f>
        <v>0</v>
      </c>
      <c r="AT8" s="430" t="n">
        <f aca="false">+OCCMarkets!BB8</f>
        <v>0</v>
      </c>
      <c r="AU8" s="441" t="n">
        <f aca="false">AT8-AS8</f>
        <v>0</v>
      </c>
      <c r="AV8" s="441" t="n">
        <f aca="false">AV7+AU8</f>
        <v>-11</v>
      </c>
      <c r="AW8" s="442"/>
      <c r="AX8" s="430" t="n">
        <f aca="false">+OCCMarkets!BE8</f>
        <v>162</v>
      </c>
      <c r="AY8" s="430" t="n">
        <f aca="false">AX8/2</f>
        <v>81</v>
      </c>
      <c r="AZ8" s="430" t="n">
        <f aca="false">+OCCMarkets!BI8</f>
        <v>0</v>
      </c>
      <c r="BA8" s="441" t="n">
        <f aca="false">AZ8-AY8</f>
        <v>-81</v>
      </c>
      <c r="BB8" s="441" t="n">
        <f aca="false">BB7+BA8</f>
        <v>-151</v>
      </c>
      <c r="BC8" s="442"/>
      <c r="BD8" s="437"/>
      <c r="BE8" s="441" t="n">
        <f aca="false">+B8+H8+N8+T8+Z8+AF8+AL8+AR8+AX8</f>
        <v>89906</v>
      </c>
      <c r="BF8" s="441" t="n">
        <f aca="false">+C8+I8+O8+U8+AA8+AG8+AM8+AS8+AY8</f>
        <v>44953</v>
      </c>
      <c r="BG8" s="441" t="n">
        <f aca="false">+D8+J8+P8+V8+AB8+AH8+AN8+AT8+AZ8</f>
        <v>91388</v>
      </c>
      <c r="BH8" s="441" t="n">
        <f aca="false">+E8+K8+Q8+W8+AC8+AI8+AO8+AU8+BA8</f>
        <v>46435</v>
      </c>
      <c r="BI8" s="441" t="n">
        <f aca="false">+F8+L8+R8+X8+AD8+AJ8+AP8+AV8+BB8</f>
        <v>115266</v>
      </c>
      <c r="BJ8" s="441"/>
    </row>
    <row r="9" customFormat="false" ht="12.75" hidden="false" customHeight="false" outlineLevel="0" collapsed="false">
      <c r="A9" s="438" t="n">
        <f aca="false">+BaseloadMarkets!A9</f>
        <v>36711</v>
      </c>
      <c r="B9" s="439" t="n">
        <f aca="false">+OCCMarkets!O9</f>
        <v>1824</v>
      </c>
      <c r="C9" s="440" t="n">
        <f aca="false">B9/2</f>
        <v>912</v>
      </c>
      <c r="D9" s="440" t="n">
        <f aca="false">+OCCMarkets!S9</f>
        <v>866</v>
      </c>
      <c r="E9" s="441" t="n">
        <f aca="false">D9-C9</f>
        <v>-46</v>
      </c>
      <c r="F9" s="441" t="n">
        <f aca="false">F8+E9</f>
        <v>-984.5</v>
      </c>
      <c r="G9" s="442"/>
      <c r="H9" s="439" t="n">
        <f aca="false">+OCCMarkets!C9</f>
        <v>8985</v>
      </c>
      <c r="I9" s="440" t="n">
        <f aca="false">H9/2</f>
        <v>4492.5</v>
      </c>
      <c r="J9" s="440" t="n">
        <f aca="false">+OCCMarkets!L9-OCCMarkets!H9</f>
        <v>16159</v>
      </c>
      <c r="K9" s="441" t="n">
        <f aca="false">J9-I9</f>
        <v>11666.5</v>
      </c>
      <c r="L9" s="441" t="n">
        <f aca="false">L8+K9</f>
        <v>37733</v>
      </c>
      <c r="M9" s="442"/>
      <c r="N9" s="439" t="n">
        <f aca="false">+OCCMarkets!V9</f>
        <v>1233</v>
      </c>
      <c r="O9" s="440" t="n">
        <f aca="false">N9/2</f>
        <v>616.5</v>
      </c>
      <c r="P9" s="440" t="n">
        <f aca="false">+OCCMarkets!Z9</f>
        <v>289</v>
      </c>
      <c r="Q9" s="441" t="n">
        <f aca="false">P9-O9</f>
        <v>-327.5</v>
      </c>
      <c r="R9" s="441" t="n">
        <f aca="false">R8+Q9</f>
        <v>-1505</v>
      </c>
      <c r="S9" s="442"/>
      <c r="T9" s="430" t="n">
        <f aca="false">+EES!C8</f>
        <v>70000</v>
      </c>
      <c r="U9" s="430" t="n">
        <f aca="false">T9/2</f>
        <v>35000</v>
      </c>
      <c r="V9" s="430" t="n">
        <f aca="false">+EES!AM8-EES!M8</f>
        <v>35913</v>
      </c>
      <c r="W9" s="441" t="n">
        <f aca="false">V9-U9</f>
        <v>913</v>
      </c>
      <c r="X9" s="441" t="n">
        <f aca="false">X8+W9</f>
        <v>65748</v>
      </c>
      <c r="Y9" s="442"/>
      <c r="Z9" s="430" t="n">
        <f aca="false">+OCCMarkets!AC9</f>
        <v>34</v>
      </c>
      <c r="AA9" s="430" t="n">
        <f aca="false">Z9/2</f>
        <v>17</v>
      </c>
      <c r="AB9" s="430" t="n">
        <f aca="false">+OCCMarkets!AG9</f>
        <v>0</v>
      </c>
      <c r="AC9" s="441" t="n">
        <f aca="false">AB9-AA9</f>
        <v>-17</v>
      </c>
      <c r="AD9" s="441" t="n">
        <f aca="false">AD8+AC9</f>
        <v>-170.5</v>
      </c>
      <c r="AE9" s="442"/>
      <c r="AF9" s="430" t="n">
        <f aca="false">+OCCMarkets!AJ9</f>
        <v>9234</v>
      </c>
      <c r="AG9" s="430" t="n">
        <f aca="false">AF9/2</f>
        <v>4617</v>
      </c>
      <c r="AH9" s="430" t="n">
        <f aca="false">+OCCMarkets!AN9</f>
        <v>10450</v>
      </c>
      <c r="AI9" s="441" t="n">
        <f aca="false">AH9-AG9</f>
        <v>5833</v>
      </c>
      <c r="AJ9" s="441" t="n">
        <f aca="false">AJ8+AI9</f>
        <v>32629</v>
      </c>
      <c r="AK9" s="442"/>
      <c r="AL9" s="430" t="n">
        <f aca="false">+OCCMarkets!AQ9</f>
        <v>0</v>
      </c>
      <c r="AM9" s="430" t="n">
        <f aca="false">AL9/2</f>
        <v>0</v>
      </c>
      <c r="AN9" s="430" t="n">
        <f aca="false">+OCCMarkets!AU9</f>
        <v>0</v>
      </c>
      <c r="AO9" s="441" t="n">
        <f aca="false">AN9-AM9</f>
        <v>0</v>
      </c>
      <c r="AP9" s="441" t="n">
        <f aca="false">AP8+AO9</f>
        <v>0</v>
      </c>
      <c r="AQ9" s="442"/>
      <c r="AR9" s="430" t="n">
        <f aca="false">+OCCMarkets!AX9</f>
        <v>0</v>
      </c>
      <c r="AS9" s="430" t="n">
        <f aca="false">AR9/2</f>
        <v>0</v>
      </c>
      <c r="AT9" s="430" t="n">
        <f aca="false">+OCCMarkets!BB9</f>
        <v>0</v>
      </c>
      <c r="AU9" s="441" t="n">
        <f aca="false">AT9-AS9</f>
        <v>0</v>
      </c>
      <c r="AV9" s="441" t="n">
        <f aca="false">AV8+AU9</f>
        <v>-11</v>
      </c>
      <c r="AW9" s="442"/>
      <c r="AX9" s="430" t="n">
        <f aca="false">+OCCMarkets!BE9</f>
        <v>22</v>
      </c>
      <c r="AY9" s="430" t="n">
        <f aca="false">AX9/2</f>
        <v>11</v>
      </c>
      <c r="AZ9" s="430" t="n">
        <f aca="false">+OCCMarkets!BI9</f>
        <v>0</v>
      </c>
      <c r="BA9" s="441" t="n">
        <f aca="false">AZ9-AY9</f>
        <v>-11</v>
      </c>
      <c r="BB9" s="441" t="n">
        <f aca="false">BB8+BA9</f>
        <v>-162</v>
      </c>
      <c r="BC9" s="442"/>
      <c r="BD9" s="437"/>
      <c r="BE9" s="441" t="n">
        <f aca="false">+B9+H9+N9+T9+Z9+AF9+AL9+AR9+AX9</f>
        <v>91332</v>
      </c>
      <c r="BF9" s="441" t="n">
        <f aca="false">+C9+I9+O9+U9+AA9+AG9+AM9+AS9+AY9</f>
        <v>45666</v>
      </c>
      <c r="BG9" s="441" t="n">
        <f aca="false">+D9+J9+P9+V9+AB9+AH9+AN9+AT9+AZ9</f>
        <v>63677</v>
      </c>
      <c r="BH9" s="441" t="n">
        <f aca="false">+E9+K9+Q9+W9+AC9+AI9+AO9+AU9+BA9</f>
        <v>18011</v>
      </c>
      <c r="BI9" s="441" t="n">
        <f aca="false">+F9+L9+R9+X9+AD9+AJ9+AP9+AV9+BB9</f>
        <v>133277</v>
      </c>
      <c r="BJ9" s="441"/>
    </row>
    <row r="10" customFormat="false" ht="12.75" hidden="false" customHeight="false" outlineLevel="0" collapsed="false">
      <c r="A10" s="438" t="n">
        <f aca="false">+BaseloadMarkets!A10</f>
        <v>36712</v>
      </c>
      <c r="B10" s="439" t="n">
        <f aca="false">+OCCMarkets!O10</f>
        <v>1765</v>
      </c>
      <c r="C10" s="440" t="n">
        <f aca="false">B10/2</f>
        <v>882.5</v>
      </c>
      <c r="D10" s="440" t="n">
        <f aca="false">+OCCMarkets!S10</f>
        <v>677</v>
      </c>
      <c r="E10" s="441" t="n">
        <f aca="false">D10-C10</f>
        <v>-205.5</v>
      </c>
      <c r="F10" s="441" t="n">
        <f aca="false">F9+E10</f>
        <v>-1190</v>
      </c>
      <c r="G10" s="442" t="n">
        <f aca="false">SUM(E6:E10)</f>
        <v>-1190</v>
      </c>
      <c r="H10" s="439" t="n">
        <f aca="false">+OCCMarkets!C10</f>
        <v>7676</v>
      </c>
      <c r="I10" s="440" t="n">
        <f aca="false">H10/2</f>
        <v>3838</v>
      </c>
      <c r="J10" s="440" t="n">
        <f aca="false">+OCCMarkets!L10-OCCMarkets!H10</f>
        <v>26363</v>
      </c>
      <c r="K10" s="441" t="n">
        <f aca="false">J10-I10</f>
        <v>22525</v>
      </c>
      <c r="L10" s="441" t="n">
        <f aca="false">L9+K10</f>
        <v>60258</v>
      </c>
      <c r="M10" s="442" t="n">
        <f aca="false">SUM(K6:K10)</f>
        <v>60258</v>
      </c>
      <c r="N10" s="439" t="n">
        <f aca="false">+OCCMarkets!V10</f>
        <v>1471</v>
      </c>
      <c r="O10" s="440" t="n">
        <f aca="false">N10/2</f>
        <v>735.5</v>
      </c>
      <c r="P10" s="440" t="n">
        <f aca="false">+OCCMarkets!Z10</f>
        <v>226</v>
      </c>
      <c r="Q10" s="441" t="n">
        <f aca="false">P10-O10</f>
        <v>-509.5</v>
      </c>
      <c r="R10" s="441" t="n">
        <f aca="false">R9+Q10</f>
        <v>-2014.5</v>
      </c>
      <c r="S10" s="442" t="n">
        <f aca="false">SUM(Q6:Q10)</f>
        <v>-2014.5</v>
      </c>
      <c r="T10" s="430" t="n">
        <f aca="false">+EES!C9</f>
        <v>70000</v>
      </c>
      <c r="U10" s="430" t="n">
        <f aca="false">T10/2</f>
        <v>35000</v>
      </c>
      <c r="V10" s="430" t="n">
        <f aca="false">+EES!AM9-EES!M9</f>
        <v>55960</v>
      </c>
      <c r="W10" s="441" t="n">
        <f aca="false">V10-U10</f>
        <v>20960</v>
      </c>
      <c r="X10" s="441" t="n">
        <f aca="false">X9+W10</f>
        <v>86708</v>
      </c>
      <c r="Y10" s="442" t="n">
        <f aca="false">SUM(W6:W10)</f>
        <v>86708</v>
      </c>
      <c r="Z10" s="430" t="n">
        <f aca="false">+OCCMarkets!AC10</f>
        <v>159</v>
      </c>
      <c r="AA10" s="430" t="n">
        <f aca="false">Z10/2</f>
        <v>79.5</v>
      </c>
      <c r="AB10" s="430" t="n">
        <f aca="false">+OCCMarkets!AG10</f>
        <v>0</v>
      </c>
      <c r="AC10" s="441" t="n">
        <f aca="false">AB10-AA10</f>
        <v>-79.5</v>
      </c>
      <c r="AD10" s="441" t="n">
        <f aca="false">AD9+AC10</f>
        <v>-250</v>
      </c>
      <c r="AE10" s="442" t="n">
        <f aca="false">SUM(AC6:AC10)</f>
        <v>-250</v>
      </c>
      <c r="AF10" s="430" t="n">
        <f aca="false">+OCCMarkets!AJ10</f>
        <v>9411</v>
      </c>
      <c r="AG10" s="430" t="n">
        <f aca="false">AF10/2</f>
        <v>4705.5</v>
      </c>
      <c r="AH10" s="430" t="n">
        <f aca="false">+OCCMarkets!AN10</f>
        <v>24379</v>
      </c>
      <c r="AI10" s="441" t="n">
        <f aca="false">AH10-AG10</f>
        <v>19673.5</v>
      </c>
      <c r="AJ10" s="441" t="n">
        <f aca="false">AJ9+AI10</f>
        <v>52302.5</v>
      </c>
      <c r="AK10" s="442" t="n">
        <f aca="false">SUM(AI6:AI10)</f>
        <v>52302.5</v>
      </c>
      <c r="AL10" s="430" t="n">
        <f aca="false">+OCCMarkets!AQ10</f>
        <v>0</v>
      </c>
      <c r="AM10" s="430" t="n">
        <f aca="false">AL10/2</f>
        <v>0</v>
      </c>
      <c r="AN10" s="430" t="n">
        <f aca="false">+OCCMarkets!AU10</f>
        <v>0</v>
      </c>
      <c r="AO10" s="441" t="n">
        <f aca="false">AN10-AM10</f>
        <v>0</v>
      </c>
      <c r="AP10" s="441" t="n">
        <f aca="false">AP9+AO10</f>
        <v>0</v>
      </c>
      <c r="AQ10" s="442" t="n">
        <f aca="false">SUM(AO6:AO10)</f>
        <v>0</v>
      </c>
      <c r="AR10" s="430" t="n">
        <f aca="false">+OCCMarkets!AX10</f>
        <v>153</v>
      </c>
      <c r="AS10" s="430" t="n">
        <f aca="false">AR10/2</f>
        <v>76.5</v>
      </c>
      <c r="AT10" s="430" t="n">
        <f aca="false">+OCCMarkets!BB10</f>
        <v>0</v>
      </c>
      <c r="AU10" s="441" t="n">
        <f aca="false">AT10-AS10</f>
        <v>-76.5</v>
      </c>
      <c r="AV10" s="441" t="n">
        <f aca="false">AV9+AU10</f>
        <v>-87.5</v>
      </c>
      <c r="AW10" s="442" t="n">
        <f aca="false">SUM(AU6:AU10)</f>
        <v>-87.5</v>
      </c>
      <c r="AX10" s="430" t="n">
        <f aca="false">+OCCMarkets!BE10</f>
        <v>221</v>
      </c>
      <c r="AY10" s="430" t="n">
        <f aca="false">AX10/2</f>
        <v>110.5</v>
      </c>
      <c r="AZ10" s="430" t="n">
        <f aca="false">+OCCMarkets!BI10</f>
        <v>0</v>
      </c>
      <c r="BA10" s="441" t="n">
        <f aca="false">AZ10-AY10</f>
        <v>-110.5</v>
      </c>
      <c r="BB10" s="441" t="n">
        <f aca="false">BB9+BA10</f>
        <v>-272.5</v>
      </c>
      <c r="BC10" s="442" t="n">
        <f aca="false">SUM(BA6:BA10)</f>
        <v>-272.5</v>
      </c>
      <c r="BD10" s="437"/>
      <c r="BE10" s="441" t="n">
        <f aca="false">+B10+H10+N10+T10+Z10+AF10+AL10+AR10+AX10</f>
        <v>90856</v>
      </c>
      <c r="BF10" s="441" t="n">
        <f aca="false">+C10+I10+O10+U10+AA10+AG10+AM10+AS10+AY10</f>
        <v>45428</v>
      </c>
      <c r="BG10" s="441" t="n">
        <f aca="false">+D10+J10+P10+V10+AB10+AH10+AN10+AT10+AZ10</f>
        <v>107605</v>
      </c>
      <c r="BH10" s="441" t="n">
        <f aca="false">+E10+K10+Q10+W10+AC10+AI10+AO10+AU10+BA10</f>
        <v>62177</v>
      </c>
      <c r="BI10" s="441" t="n">
        <f aca="false">+F10+L10+R10+X10+AD10+AJ10+AP10+AV10+BB10</f>
        <v>195454</v>
      </c>
      <c r="BJ10" s="437" t="n">
        <f aca="false">+G10+M10+S10+Y10+AE10+AK10+AQ10+AW10+BC10</f>
        <v>195454</v>
      </c>
      <c r="BK10" s="419"/>
    </row>
    <row r="11" customFormat="false" ht="12.75" hidden="false" customHeight="false" outlineLevel="0" collapsed="false">
      <c r="A11" s="438" t="n">
        <f aca="false">+BaseloadMarkets!A11</f>
        <v>36713</v>
      </c>
      <c r="B11" s="439" t="n">
        <f aca="false">+OCCMarkets!O11</f>
        <v>1554</v>
      </c>
      <c r="C11" s="440" t="n">
        <f aca="false">B11/2</f>
        <v>777</v>
      </c>
      <c r="D11" s="440" t="n">
        <f aca="false">+OCCMarkets!S11</f>
        <v>24103</v>
      </c>
      <c r="E11" s="441" t="n">
        <f aca="false">D11-C11</f>
        <v>23326</v>
      </c>
      <c r="F11" s="441" t="n">
        <f aca="false">F10+E11</f>
        <v>22136</v>
      </c>
      <c r="G11" s="442"/>
      <c r="H11" s="439" t="n">
        <f aca="false">+OCCMarkets!C11</f>
        <v>7625</v>
      </c>
      <c r="I11" s="440" t="n">
        <f aca="false">H11/2</f>
        <v>3812.5</v>
      </c>
      <c r="J11" s="440" t="n">
        <f aca="false">+OCCMarkets!L11-OCCMarkets!H11</f>
        <v>13835</v>
      </c>
      <c r="K11" s="441" t="n">
        <f aca="false">J11-I11</f>
        <v>10022.5</v>
      </c>
      <c r="L11" s="441" t="n">
        <f aca="false">L10+K11</f>
        <v>70280.5</v>
      </c>
      <c r="M11" s="442"/>
      <c r="N11" s="439" t="n">
        <f aca="false">+OCCMarkets!V11</f>
        <v>1381</v>
      </c>
      <c r="O11" s="440" t="n">
        <f aca="false">N11/2</f>
        <v>690.5</v>
      </c>
      <c r="P11" s="440" t="n">
        <f aca="false">+OCCMarkets!Z11</f>
        <v>4400</v>
      </c>
      <c r="Q11" s="441" t="n">
        <f aca="false">P11-O11</f>
        <v>3709.5</v>
      </c>
      <c r="R11" s="441" t="n">
        <f aca="false">R10+Q11</f>
        <v>1695</v>
      </c>
      <c r="S11" s="442"/>
      <c r="T11" s="430" t="n">
        <f aca="false">+EES!C10</f>
        <v>70000</v>
      </c>
      <c r="U11" s="430" t="n">
        <f aca="false">T11/2</f>
        <v>35000</v>
      </c>
      <c r="V11" s="430" t="n">
        <f aca="false">+EES!AM10-EES!M10</f>
        <v>124351</v>
      </c>
      <c r="W11" s="441" t="n">
        <f aca="false">V11-U11</f>
        <v>89351</v>
      </c>
      <c r="X11" s="441" t="n">
        <f aca="false">X10+W11</f>
        <v>176059</v>
      </c>
      <c r="Y11" s="442"/>
      <c r="Z11" s="430" t="n">
        <f aca="false">+OCCMarkets!AC11</f>
        <v>157</v>
      </c>
      <c r="AA11" s="430" t="n">
        <f aca="false">Z11/2</f>
        <v>78.5</v>
      </c>
      <c r="AB11" s="430" t="n">
        <f aca="false">+OCCMarkets!AG11</f>
        <v>595</v>
      </c>
      <c r="AC11" s="441" t="n">
        <f aca="false">AB11-AA11</f>
        <v>516.5</v>
      </c>
      <c r="AD11" s="441" t="n">
        <f aca="false">AD10+AC11</f>
        <v>266.5</v>
      </c>
      <c r="AE11" s="442"/>
      <c r="AF11" s="430" t="n">
        <f aca="false">+OCCMarkets!AJ11</f>
        <v>9620</v>
      </c>
      <c r="AG11" s="430" t="n">
        <f aca="false">AF11/2</f>
        <v>4810</v>
      </c>
      <c r="AH11" s="430" t="n">
        <f aca="false">+OCCMarkets!AN11</f>
        <v>21775</v>
      </c>
      <c r="AI11" s="441" t="n">
        <f aca="false">AH11-AG11</f>
        <v>16965</v>
      </c>
      <c r="AJ11" s="441" t="n">
        <f aca="false">AJ10+AI11</f>
        <v>69267.5</v>
      </c>
      <c r="AK11" s="442"/>
      <c r="AL11" s="430" t="n">
        <f aca="false">+OCCMarkets!AQ11</f>
        <v>0</v>
      </c>
      <c r="AM11" s="430" t="n">
        <f aca="false">AL11/2</f>
        <v>0</v>
      </c>
      <c r="AN11" s="430" t="n">
        <f aca="false">+OCCMarkets!AU11</f>
        <v>0</v>
      </c>
      <c r="AO11" s="441" t="n">
        <f aca="false">AN11-AM11</f>
        <v>0</v>
      </c>
      <c r="AP11" s="441" t="n">
        <f aca="false">AP10+AO11</f>
        <v>0</v>
      </c>
      <c r="AQ11" s="442"/>
      <c r="AR11" s="430" t="n">
        <f aca="false">+OCCMarkets!AX11</f>
        <v>162</v>
      </c>
      <c r="AS11" s="430" t="n">
        <f aca="false">AR11/2</f>
        <v>81</v>
      </c>
      <c r="AT11" s="430" t="n">
        <f aca="false">+OCCMarkets!BB11</f>
        <v>595</v>
      </c>
      <c r="AU11" s="441" t="n">
        <f aca="false">AT11-AS11</f>
        <v>514</v>
      </c>
      <c r="AV11" s="441" t="n">
        <f aca="false">AV10+AU11</f>
        <v>426.5</v>
      </c>
      <c r="AW11" s="442"/>
      <c r="AX11" s="430" t="n">
        <f aca="false">+OCCMarkets!BE11</f>
        <v>315</v>
      </c>
      <c r="AY11" s="430" t="n">
        <f aca="false">AX11/2</f>
        <v>157.5</v>
      </c>
      <c r="AZ11" s="430" t="n">
        <f aca="false">+OCCMarkets!BI11</f>
        <v>1786</v>
      </c>
      <c r="BA11" s="441" t="n">
        <f aca="false">AZ11-AY11</f>
        <v>1628.5</v>
      </c>
      <c r="BB11" s="441" t="n">
        <f aca="false">BB10+BA11</f>
        <v>1356</v>
      </c>
      <c r="BC11" s="442"/>
      <c r="BD11" s="437"/>
      <c r="BE11" s="441" t="n">
        <f aca="false">+B11+H11+N11+T11+Z11+AF11+AL11+AR11+AX11</f>
        <v>90814</v>
      </c>
      <c r="BF11" s="441" t="n">
        <f aca="false">+C11+I11+O11+U11+AA11+AG11+AM11+AS11+AY11</f>
        <v>45407</v>
      </c>
      <c r="BG11" s="441" t="n">
        <f aca="false">+D11+J11+P11+V11+AB11+AH11+AN11+AT11+AZ11</f>
        <v>191440</v>
      </c>
      <c r="BH11" s="441" t="n">
        <f aca="false">+E11+K11+Q11+W11+AC11+AI11+AO11+AU11+BA11</f>
        <v>146033</v>
      </c>
      <c r="BI11" s="441" t="n">
        <f aca="false">+F11+L11+R11+X11+AD11+AJ11+AP11+AV11+BB11</f>
        <v>341487</v>
      </c>
      <c r="BJ11" s="441"/>
    </row>
    <row r="12" customFormat="false" ht="12.75" hidden="false" customHeight="false" outlineLevel="0" collapsed="false">
      <c r="A12" s="438" t="n">
        <f aca="false">+BaseloadMarkets!A12</f>
        <v>36714</v>
      </c>
      <c r="B12" s="439" t="n">
        <f aca="false">+OCCMarkets!O12</f>
        <v>1711</v>
      </c>
      <c r="C12" s="440" t="n">
        <f aca="false">B12/2</f>
        <v>855.5</v>
      </c>
      <c r="D12" s="440" t="n">
        <f aca="false">+OCCMarkets!S12</f>
        <v>0</v>
      </c>
      <c r="E12" s="441" t="n">
        <f aca="false">D12-C12</f>
        <v>-855.5</v>
      </c>
      <c r="F12" s="441" t="n">
        <f aca="false">F11+E12</f>
        <v>21280.5</v>
      </c>
      <c r="G12" s="442"/>
      <c r="H12" s="439" t="n">
        <f aca="false">+OCCMarkets!C12</f>
        <v>7621</v>
      </c>
      <c r="I12" s="440" t="n">
        <f aca="false">H12/2</f>
        <v>3810.5</v>
      </c>
      <c r="J12" s="440" t="n">
        <f aca="false">+OCCMarkets!L12-OCCMarkets!H12</f>
        <v>11999</v>
      </c>
      <c r="K12" s="441" t="n">
        <f aca="false">J12-I12</f>
        <v>8188.5</v>
      </c>
      <c r="L12" s="441" t="n">
        <f aca="false">L11+K12</f>
        <v>78469</v>
      </c>
      <c r="M12" s="442"/>
      <c r="N12" s="439" t="n">
        <f aca="false">+OCCMarkets!V12</f>
        <v>1003</v>
      </c>
      <c r="O12" s="440" t="n">
        <f aca="false">N12/2</f>
        <v>501.5</v>
      </c>
      <c r="P12" s="440" t="n">
        <f aca="false">+OCCMarkets!Z12</f>
        <v>0</v>
      </c>
      <c r="Q12" s="441" t="n">
        <f aca="false">P12-O12</f>
        <v>-501.5</v>
      </c>
      <c r="R12" s="441" t="n">
        <f aca="false">R11+Q12</f>
        <v>1193.5</v>
      </c>
      <c r="S12" s="442"/>
      <c r="T12" s="430" t="n">
        <f aca="false">+EES!C11</f>
        <v>70000</v>
      </c>
      <c r="U12" s="430" t="n">
        <f aca="false">T12/2</f>
        <v>35000</v>
      </c>
      <c r="V12" s="430" t="n">
        <f aca="false">+EES!AM11-EES!M11</f>
        <v>24299</v>
      </c>
      <c r="W12" s="441" t="n">
        <f aca="false">V12-U12</f>
        <v>-10701</v>
      </c>
      <c r="X12" s="441" t="n">
        <f aca="false">X11+W12</f>
        <v>165358</v>
      </c>
      <c r="Y12" s="442"/>
      <c r="Z12" s="430" t="n">
        <f aca="false">+OCCMarkets!AC12</f>
        <v>167</v>
      </c>
      <c r="AA12" s="430" t="n">
        <f aca="false">Z12/2</f>
        <v>83.5</v>
      </c>
      <c r="AB12" s="430" t="n">
        <f aca="false">+OCCMarkets!AG12</f>
        <v>0</v>
      </c>
      <c r="AC12" s="441" t="n">
        <f aca="false">AB12-AA12</f>
        <v>-83.5</v>
      </c>
      <c r="AD12" s="441" t="n">
        <f aca="false">AD11+AC12</f>
        <v>183</v>
      </c>
      <c r="AE12" s="442"/>
      <c r="AF12" s="430" t="n">
        <f aca="false">+OCCMarkets!AJ12</f>
        <v>9575</v>
      </c>
      <c r="AG12" s="430" t="n">
        <f aca="false">AF12/2</f>
        <v>4787.5</v>
      </c>
      <c r="AH12" s="430" t="n">
        <f aca="false">+OCCMarkets!AN12</f>
        <v>12134</v>
      </c>
      <c r="AI12" s="441" t="n">
        <f aca="false">AH12-AG12</f>
        <v>7346.5</v>
      </c>
      <c r="AJ12" s="441" t="n">
        <f aca="false">AJ11+AI12</f>
        <v>76614</v>
      </c>
      <c r="AK12" s="442"/>
      <c r="AL12" s="430" t="n">
        <f aca="false">+OCCMarkets!AQ12</f>
        <v>0</v>
      </c>
      <c r="AM12" s="430" t="n">
        <f aca="false">AL12/2</f>
        <v>0</v>
      </c>
      <c r="AN12" s="430" t="n">
        <f aca="false">+OCCMarkets!AU12</f>
        <v>0</v>
      </c>
      <c r="AO12" s="441" t="n">
        <f aca="false">AN12-AM12</f>
        <v>0</v>
      </c>
      <c r="AP12" s="441" t="n">
        <f aca="false">AP11+AO12</f>
        <v>0</v>
      </c>
      <c r="AQ12" s="442"/>
      <c r="AR12" s="430" t="n">
        <f aca="false">+OCCMarkets!AX12</f>
        <v>204</v>
      </c>
      <c r="AS12" s="430" t="n">
        <f aca="false">AR12/2</f>
        <v>102</v>
      </c>
      <c r="AT12" s="430" t="n">
        <f aca="false">+OCCMarkets!BB12</f>
        <v>0</v>
      </c>
      <c r="AU12" s="441" t="n">
        <f aca="false">AT12-AS12</f>
        <v>-102</v>
      </c>
      <c r="AV12" s="441" t="n">
        <f aca="false">AV11+AU12</f>
        <v>324.5</v>
      </c>
      <c r="AW12" s="442"/>
      <c r="AX12" s="430" t="n">
        <f aca="false">+OCCMarkets!BE12</f>
        <v>303</v>
      </c>
      <c r="AY12" s="430" t="n">
        <f aca="false">AX12/2</f>
        <v>151.5</v>
      </c>
      <c r="AZ12" s="430" t="n">
        <f aca="false">+OCCMarkets!BI12</f>
        <v>0</v>
      </c>
      <c r="BA12" s="441" t="n">
        <f aca="false">AZ12-AY12</f>
        <v>-151.5</v>
      </c>
      <c r="BB12" s="441" t="n">
        <f aca="false">BB11+BA12</f>
        <v>1204.5</v>
      </c>
      <c r="BC12" s="442"/>
      <c r="BD12" s="437"/>
      <c r="BE12" s="441" t="n">
        <f aca="false">+B12+H12+N12+T12+Z12+AF12+AL12+AR12+AX12</f>
        <v>90584</v>
      </c>
      <c r="BF12" s="441" t="n">
        <f aca="false">+C12+I12+O12+U12+AA12+AG12+AM12+AS12+AY12</f>
        <v>45292</v>
      </c>
      <c r="BG12" s="441" t="n">
        <f aca="false">+D12+J12+P12+V12+AB12+AH12+AN12+AT12+AZ12</f>
        <v>48432</v>
      </c>
      <c r="BH12" s="441" t="n">
        <f aca="false">+E12+K12+Q12+W12+AC12+AI12+AO12+AU12+BA12</f>
        <v>3140</v>
      </c>
      <c r="BI12" s="441" t="n">
        <f aca="false">+F12+L12+R12+X12+AD12+AJ12+AP12+AV12+BB12</f>
        <v>344627</v>
      </c>
      <c r="BJ12" s="441"/>
    </row>
    <row r="13" customFormat="false" ht="12.75" hidden="false" customHeight="false" outlineLevel="0" collapsed="false">
      <c r="A13" s="438" t="n">
        <f aca="false">+BaseloadMarkets!A13</f>
        <v>36715</v>
      </c>
      <c r="B13" s="439" t="n">
        <f aca="false">+OCCMarkets!O13</f>
        <v>2291</v>
      </c>
      <c r="C13" s="440" t="n">
        <f aca="false">B13/2</f>
        <v>1145.5</v>
      </c>
      <c r="D13" s="440" t="n">
        <f aca="false">+OCCMarkets!S13</f>
        <v>703</v>
      </c>
      <c r="E13" s="441" t="n">
        <f aca="false">D13-C13</f>
        <v>-442.5</v>
      </c>
      <c r="F13" s="441" t="n">
        <f aca="false">F12+E13</f>
        <v>20838</v>
      </c>
      <c r="G13" s="442"/>
      <c r="H13" s="439" t="n">
        <f aca="false">+OCCMarkets!C13</f>
        <v>2727</v>
      </c>
      <c r="I13" s="440" t="n">
        <f aca="false">H13/2</f>
        <v>1363.5</v>
      </c>
      <c r="J13" s="440" t="n">
        <f aca="false">+OCCMarkets!L13-OCCMarkets!H13</f>
        <v>5270</v>
      </c>
      <c r="K13" s="441" t="n">
        <f aca="false">J13-I13</f>
        <v>3906.5</v>
      </c>
      <c r="L13" s="441" t="n">
        <f aca="false">L12+K13</f>
        <v>82375.5</v>
      </c>
      <c r="M13" s="442"/>
      <c r="N13" s="439" t="n">
        <f aca="false">+OCCMarkets!V13</f>
        <v>1322</v>
      </c>
      <c r="O13" s="440" t="n">
        <f aca="false">N13/2</f>
        <v>661</v>
      </c>
      <c r="P13" s="440" t="n">
        <f aca="false">+OCCMarkets!Z13</f>
        <v>469</v>
      </c>
      <c r="Q13" s="441" t="n">
        <f aca="false">P13-O13</f>
        <v>-192</v>
      </c>
      <c r="R13" s="441" t="n">
        <f aca="false">R12+Q13</f>
        <v>1001.5</v>
      </c>
      <c r="S13" s="442"/>
      <c r="T13" s="430" t="n">
        <f aca="false">+EES!C12</f>
        <v>70000</v>
      </c>
      <c r="U13" s="430" t="n">
        <f aca="false">T13/2</f>
        <v>35000</v>
      </c>
      <c r="V13" s="430" t="n">
        <f aca="false">+EES!AM12-EES!M12</f>
        <v>35279</v>
      </c>
      <c r="W13" s="441" t="n">
        <f aca="false">V13-U13</f>
        <v>279</v>
      </c>
      <c r="X13" s="441" t="n">
        <f aca="false">X12+W13</f>
        <v>165637</v>
      </c>
      <c r="Y13" s="442"/>
      <c r="Z13" s="430" t="n">
        <f aca="false">+OCCMarkets!AC13</f>
        <v>195</v>
      </c>
      <c r="AA13" s="430" t="n">
        <f aca="false">Z13/2</f>
        <v>97.5</v>
      </c>
      <c r="AB13" s="430" t="n">
        <f aca="false">+OCCMarkets!AG13</f>
        <v>0</v>
      </c>
      <c r="AC13" s="441" t="n">
        <f aca="false">AB13-AA13</f>
        <v>-97.5</v>
      </c>
      <c r="AD13" s="441" t="n">
        <f aca="false">AD12+AC13</f>
        <v>85.5</v>
      </c>
      <c r="AE13" s="442"/>
      <c r="AF13" s="430" t="n">
        <f aca="false">+OCCMarkets!AJ13</f>
        <v>9254</v>
      </c>
      <c r="AG13" s="430" t="n">
        <f aca="false">AF13/2</f>
        <v>4627</v>
      </c>
      <c r="AH13" s="430" t="n">
        <f aca="false">+OCCMarkets!AN13</f>
        <v>3680</v>
      </c>
      <c r="AI13" s="441" t="n">
        <f aca="false">AH13-AG13</f>
        <v>-947</v>
      </c>
      <c r="AJ13" s="441" t="n">
        <f aca="false">AJ12+AI13</f>
        <v>75667</v>
      </c>
      <c r="AK13" s="442"/>
      <c r="AL13" s="430" t="n">
        <f aca="false">+OCCMarkets!AQ13</f>
        <v>0</v>
      </c>
      <c r="AM13" s="430" t="n">
        <f aca="false">AL13/2</f>
        <v>0</v>
      </c>
      <c r="AN13" s="430" t="n">
        <f aca="false">+OCCMarkets!AU13</f>
        <v>0</v>
      </c>
      <c r="AO13" s="441" t="n">
        <f aca="false">AN13-AM13</f>
        <v>0</v>
      </c>
      <c r="AP13" s="441" t="n">
        <f aca="false">AP12+AO13</f>
        <v>0</v>
      </c>
      <c r="AQ13" s="442"/>
      <c r="AR13" s="430" t="n">
        <f aca="false">+OCCMarkets!AX13</f>
        <v>100</v>
      </c>
      <c r="AS13" s="430" t="n">
        <f aca="false">AR13/2</f>
        <v>50</v>
      </c>
      <c r="AT13" s="430" t="n">
        <f aca="false">+OCCMarkets!BB13</f>
        <v>0</v>
      </c>
      <c r="AU13" s="441" t="n">
        <f aca="false">AT13-AS13</f>
        <v>-50</v>
      </c>
      <c r="AV13" s="441" t="n">
        <f aca="false">AV12+AU13</f>
        <v>274.5</v>
      </c>
      <c r="AW13" s="442"/>
      <c r="AX13" s="430" t="n">
        <f aca="false">+OCCMarkets!BE13</f>
        <v>150</v>
      </c>
      <c r="AY13" s="430" t="n">
        <f aca="false">AX13/2</f>
        <v>75</v>
      </c>
      <c r="AZ13" s="430" t="n">
        <f aca="false">+OCCMarkets!BI13</f>
        <v>0</v>
      </c>
      <c r="BA13" s="441" t="n">
        <f aca="false">AZ13-AY13</f>
        <v>-75</v>
      </c>
      <c r="BB13" s="441" t="n">
        <f aca="false">BB12+BA13</f>
        <v>1129.5</v>
      </c>
      <c r="BC13" s="442"/>
      <c r="BD13" s="437"/>
      <c r="BE13" s="441" t="n">
        <f aca="false">+B13+H13+N13+T13+Z13+AF13+AL13+AR13+AX13</f>
        <v>86039</v>
      </c>
      <c r="BF13" s="441" t="n">
        <f aca="false">+C13+I13+O13+U13+AA13+AG13+AM13+AS13+AY13</f>
        <v>43019.5</v>
      </c>
      <c r="BG13" s="441" t="n">
        <f aca="false">+D13+J13+P13+V13+AB13+AH13+AN13+AT13+AZ13</f>
        <v>45401</v>
      </c>
      <c r="BH13" s="441" t="n">
        <f aca="false">+E13+K13+Q13+W13+AC13+AI13+AO13+AU13+BA13</f>
        <v>2381.5</v>
      </c>
      <c r="BI13" s="441" t="n">
        <f aca="false">+F13+L13+R13+X13+AD13+AJ13+AP13+AV13+BB13</f>
        <v>347008.5</v>
      </c>
      <c r="BJ13" s="441"/>
    </row>
    <row r="14" customFormat="false" ht="12.75" hidden="false" customHeight="false" outlineLevel="0" collapsed="false">
      <c r="A14" s="438" t="n">
        <f aca="false">+BaseloadMarkets!A14</f>
        <v>36716</v>
      </c>
      <c r="B14" s="439" t="n">
        <f aca="false">+OCCMarkets!O14</f>
        <v>2143</v>
      </c>
      <c r="C14" s="440" t="n">
        <f aca="false">B14/2</f>
        <v>1071.5</v>
      </c>
      <c r="D14" s="440" t="n">
        <f aca="false">+OCCMarkets!S14</f>
        <v>0</v>
      </c>
      <c r="E14" s="441" t="n">
        <f aca="false">D14-C14</f>
        <v>-1071.5</v>
      </c>
      <c r="F14" s="441" t="n">
        <f aca="false">F13+E14</f>
        <v>19766.5</v>
      </c>
      <c r="G14" s="442"/>
      <c r="H14" s="439" t="n">
        <f aca="false">+OCCMarkets!C14</f>
        <v>2460</v>
      </c>
      <c r="I14" s="440" t="n">
        <f aca="false">H14/2</f>
        <v>1230</v>
      </c>
      <c r="J14" s="440" t="n">
        <f aca="false">+OCCMarkets!L14-OCCMarkets!H14</f>
        <v>2999</v>
      </c>
      <c r="K14" s="441" t="n">
        <f aca="false">J14-I14</f>
        <v>1769</v>
      </c>
      <c r="L14" s="441" t="n">
        <f aca="false">L13+K14</f>
        <v>84144.5</v>
      </c>
      <c r="M14" s="442"/>
      <c r="N14" s="439" t="n">
        <f aca="false">+OCCMarkets!V14</f>
        <v>1431</v>
      </c>
      <c r="O14" s="440" t="n">
        <f aca="false">N14/2</f>
        <v>715.5</v>
      </c>
      <c r="P14" s="440" t="n">
        <f aca="false">+OCCMarkets!Z14</f>
        <v>7</v>
      </c>
      <c r="Q14" s="441" t="n">
        <f aca="false">P14-O14</f>
        <v>-708.5</v>
      </c>
      <c r="R14" s="441" t="n">
        <f aca="false">R13+Q14</f>
        <v>293</v>
      </c>
      <c r="S14" s="442"/>
      <c r="T14" s="430" t="n">
        <f aca="false">+EES!C13</f>
        <v>70000</v>
      </c>
      <c r="U14" s="430" t="n">
        <f aca="false">T14/2</f>
        <v>35000</v>
      </c>
      <c r="V14" s="430" t="n">
        <f aca="false">+EES!AM13-EES!M13</f>
        <v>24687</v>
      </c>
      <c r="W14" s="441" t="n">
        <f aca="false">V14-U14</f>
        <v>-10313</v>
      </c>
      <c r="X14" s="441" t="n">
        <f aca="false">X13+W14</f>
        <v>155324</v>
      </c>
      <c r="Y14" s="442"/>
      <c r="Z14" s="430" t="n">
        <f aca="false">+OCCMarkets!AC14</f>
        <v>32</v>
      </c>
      <c r="AA14" s="430" t="n">
        <f aca="false">Z14/2</f>
        <v>16</v>
      </c>
      <c r="AB14" s="430" t="n">
        <f aca="false">+OCCMarkets!AG14</f>
        <v>0</v>
      </c>
      <c r="AC14" s="441" t="n">
        <f aca="false">AB14-AA14</f>
        <v>-16</v>
      </c>
      <c r="AD14" s="441" t="n">
        <f aca="false">AD13+AC14</f>
        <v>69.5</v>
      </c>
      <c r="AE14" s="442"/>
      <c r="AF14" s="430" t="n">
        <f aca="false">+OCCMarkets!AJ14</f>
        <v>9190</v>
      </c>
      <c r="AG14" s="430" t="n">
        <f aca="false">AF14/2</f>
        <v>4595</v>
      </c>
      <c r="AH14" s="430" t="n">
        <f aca="false">+OCCMarkets!AN14</f>
        <v>981</v>
      </c>
      <c r="AI14" s="441" t="n">
        <f aca="false">AH14-AG14</f>
        <v>-3614</v>
      </c>
      <c r="AJ14" s="441" t="n">
        <f aca="false">AJ13+AI14</f>
        <v>72053</v>
      </c>
      <c r="AK14" s="442"/>
      <c r="AL14" s="430" t="n">
        <f aca="false">+OCCMarkets!AQ14</f>
        <v>0</v>
      </c>
      <c r="AM14" s="430" t="n">
        <f aca="false">AL14/2</f>
        <v>0</v>
      </c>
      <c r="AN14" s="430" t="n">
        <f aca="false">+OCCMarkets!AU14</f>
        <v>0</v>
      </c>
      <c r="AO14" s="441" t="n">
        <f aca="false">AN14-AM14</f>
        <v>0</v>
      </c>
      <c r="AP14" s="441" t="n">
        <f aca="false">AP13+AO14</f>
        <v>0</v>
      </c>
      <c r="AQ14" s="442"/>
      <c r="AR14" s="430" t="n">
        <f aca="false">+OCCMarkets!AX14</f>
        <v>37</v>
      </c>
      <c r="AS14" s="430" t="n">
        <f aca="false">AR14/2</f>
        <v>18.5</v>
      </c>
      <c r="AT14" s="430" t="n">
        <f aca="false">+OCCMarkets!BB14</f>
        <v>0</v>
      </c>
      <c r="AU14" s="441" t="n">
        <f aca="false">AT14-AS14</f>
        <v>-18.5</v>
      </c>
      <c r="AV14" s="441" t="n">
        <f aca="false">AV13+AU14</f>
        <v>256</v>
      </c>
      <c r="AW14" s="442"/>
      <c r="AX14" s="430" t="n">
        <f aca="false">+OCCMarkets!BE14</f>
        <v>26</v>
      </c>
      <c r="AY14" s="430" t="n">
        <f aca="false">AX14/2</f>
        <v>13</v>
      </c>
      <c r="AZ14" s="430" t="n">
        <f aca="false">+OCCMarkets!BI14</f>
        <v>0</v>
      </c>
      <c r="BA14" s="441" t="n">
        <f aca="false">AZ14-AY14</f>
        <v>-13</v>
      </c>
      <c r="BB14" s="441" t="n">
        <f aca="false">BB13+BA14</f>
        <v>1116.5</v>
      </c>
      <c r="BC14" s="442"/>
      <c r="BD14" s="437"/>
      <c r="BE14" s="441" t="n">
        <f aca="false">+B14+H14+N14+T14+Z14+AF14+AL14+AR14+AX14</f>
        <v>85319</v>
      </c>
      <c r="BF14" s="441" t="n">
        <f aca="false">+C14+I14+O14+U14+AA14+AG14+AM14+AS14+AY14</f>
        <v>42659.5</v>
      </c>
      <c r="BG14" s="441" t="n">
        <f aca="false">+D14+J14+P14+V14+AB14+AH14+AN14+AT14+AZ14</f>
        <v>28674</v>
      </c>
      <c r="BH14" s="441" t="n">
        <f aca="false">+E14+K14+Q14+W14+AC14+AI14+AO14+AU14+BA14</f>
        <v>-13985.5</v>
      </c>
      <c r="BI14" s="441" t="n">
        <f aca="false">+F14+L14+R14+X14+AD14+AJ14+AP14+AV14+BB14</f>
        <v>333023</v>
      </c>
      <c r="BJ14" s="441"/>
    </row>
    <row r="15" customFormat="false" ht="12.75" hidden="false" customHeight="false" outlineLevel="0" collapsed="false">
      <c r="A15" s="438" t="n">
        <f aca="false">+BaseloadMarkets!A15</f>
        <v>36717</v>
      </c>
      <c r="B15" s="439" t="n">
        <f aca="false">+OCCMarkets!O15</f>
        <v>2122</v>
      </c>
      <c r="C15" s="440" t="n">
        <f aca="false">B15/2</f>
        <v>1061</v>
      </c>
      <c r="D15" s="440" t="n">
        <f aca="false">+OCCMarkets!S15</f>
        <v>0</v>
      </c>
      <c r="E15" s="441" t="n">
        <f aca="false">D15-C15</f>
        <v>-1061</v>
      </c>
      <c r="F15" s="441" t="n">
        <f aca="false">F14+E15</f>
        <v>18705.5</v>
      </c>
      <c r="G15" s="442" t="n">
        <f aca="false">SUM(E11:E15)</f>
        <v>19895.5</v>
      </c>
      <c r="H15" s="439" t="n">
        <f aca="false">+OCCMarkets!C15</f>
        <v>3281</v>
      </c>
      <c r="I15" s="440" t="n">
        <f aca="false">H15/2</f>
        <v>1640.5</v>
      </c>
      <c r="J15" s="440" t="n">
        <f aca="false">+OCCMarkets!L15-OCCMarkets!H15</f>
        <v>2999</v>
      </c>
      <c r="K15" s="441" t="n">
        <f aca="false">J15-I15</f>
        <v>1358.5</v>
      </c>
      <c r="L15" s="441" t="n">
        <f aca="false">L14+K15</f>
        <v>85503</v>
      </c>
      <c r="M15" s="442" t="n">
        <f aca="false">SUM(K11:K15)</f>
        <v>25245</v>
      </c>
      <c r="N15" s="439" t="n">
        <f aca="false">+OCCMarkets!V15</f>
        <v>1282</v>
      </c>
      <c r="O15" s="440" t="n">
        <f aca="false">N15/2</f>
        <v>641</v>
      </c>
      <c r="P15" s="440" t="n">
        <f aca="false">+OCCMarkets!Z15</f>
        <v>0</v>
      </c>
      <c r="Q15" s="441" t="n">
        <f aca="false">P15-O15</f>
        <v>-641</v>
      </c>
      <c r="R15" s="441" t="n">
        <f aca="false">R14+Q15</f>
        <v>-348</v>
      </c>
      <c r="S15" s="442" t="n">
        <f aca="false">SUM(Q11:Q15)</f>
        <v>1666.5</v>
      </c>
      <c r="T15" s="430" t="n">
        <f aca="false">+EES!C14</f>
        <v>70000</v>
      </c>
      <c r="U15" s="430" t="n">
        <f aca="false">T15/2</f>
        <v>35000</v>
      </c>
      <c r="V15" s="430" t="n">
        <f aca="false">+EES!AM14-EES!M14</f>
        <v>60901</v>
      </c>
      <c r="W15" s="441" t="n">
        <f aca="false">V15-U15</f>
        <v>25901</v>
      </c>
      <c r="X15" s="441" t="n">
        <f aca="false">X14+W15</f>
        <v>181225</v>
      </c>
      <c r="Y15" s="442" t="n">
        <f aca="false">SUM(W11:W15)</f>
        <v>94517</v>
      </c>
      <c r="Z15" s="430" t="n">
        <f aca="false">+OCCMarkets!AC15</f>
        <v>167</v>
      </c>
      <c r="AA15" s="430" t="n">
        <f aca="false">Z15/2</f>
        <v>83.5</v>
      </c>
      <c r="AB15" s="430" t="n">
        <f aca="false">+OCCMarkets!AG15</f>
        <v>0</v>
      </c>
      <c r="AC15" s="441" t="n">
        <f aca="false">AB15-AA15</f>
        <v>-83.5</v>
      </c>
      <c r="AD15" s="441" t="n">
        <f aca="false">AD14+AC15</f>
        <v>-14</v>
      </c>
      <c r="AE15" s="442" t="n">
        <f aca="false">SUM(AC11:AC15)</f>
        <v>236</v>
      </c>
      <c r="AF15" s="430" t="n">
        <f aca="false">+OCCMarkets!AJ15</f>
        <v>9413</v>
      </c>
      <c r="AG15" s="430" t="n">
        <f aca="false">AF15/2</f>
        <v>4706.5</v>
      </c>
      <c r="AH15" s="430" t="n">
        <f aca="false">+OCCMarkets!AN15</f>
        <v>981</v>
      </c>
      <c r="AI15" s="441" t="n">
        <f aca="false">AH15-AG15</f>
        <v>-3725.5</v>
      </c>
      <c r="AJ15" s="441" t="n">
        <f aca="false">AJ14+AI15</f>
        <v>68327.5</v>
      </c>
      <c r="AK15" s="442" t="n">
        <f aca="false">SUM(AI11:AI15)</f>
        <v>16025</v>
      </c>
      <c r="AL15" s="430" t="n">
        <f aca="false">+OCCMarkets!AQ15</f>
        <v>0</v>
      </c>
      <c r="AM15" s="430" t="n">
        <f aca="false">AL15/2</f>
        <v>0</v>
      </c>
      <c r="AN15" s="430" t="n">
        <f aca="false">+OCCMarkets!AU15</f>
        <v>0</v>
      </c>
      <c r="AO15" s="441" t="n">
        <f aca="false">AN15-AM15</f>
        <v>0</v>
      </c>
      <c r="AP15" s="441" t="n">
        <f aca="false">AP14+AO15</f>
        <v>0</v>
      </c>
      <c r="AQ15" s="442" t="n">
        <f aca="false">SUM(AO11:AO15)</f>
        <v>0</v>
      </c>
      <c r="AR15" s="430" t="n">
        <f aca="false">+OCCMarkets!AX15</f>
        <v>207</v>
      </c>
      <c r="AS15" s="430" t="n">
        <f aca="false">AR15/2</f>
        <v>103.5</v>
      </c>
      <c r="AT15" s="430" t="n">
        <f aca="false">+OCCMarkets!BB15</f>
        <v>0</v>
      </c>
      <c r="AU15" s="441" t="n">
        <f aca="false">AT15-AS15</f>
        <v>-103.5</v>
      </c>
      <c r="AV15" s="441" t="n">
        <f aca="false">AV14+AU15</f>
        <v>152.5</v>
      </c>
      <c r="AW15" s="442" t="n">
        <f aca="false">SUM(AU11:AU15)</f>
        <v>240</v>
      </c>
      <c r="AX15" s="430" t="n">
        <f aca="false">+OCCMarkets!BE15</f>
        <v>227</v>
      </c>
      <c r="AY15" s="430" t="n">
        <f aca="false">AX15/2</f>
        <v>113.5</v>
      </c>
      <c r="AZ15" s="430" t="n">
        <f aca="false">+OCCMarkets!BI15</f>
        <v>0</v>
      </c>
      <c r="BA15" s="441" t="n">
        <f aca="false">AZ15-AY15</f>
        <v>-113.5</v>
      </c>
      <c r="BB15" s="441" t="n">
        <f aca="false">BB14+BA15</f>
        <v>1003</v>
      </c>
      <c r="BC15" s="442" t="n">
        <f aca="false">SUM(BA11:BA15)</f>
        <v>1275.5</v>
      </c>
      <c r="BD15" s="437"/>
      <c r="BE15" s="441" t="n">
        <f aca="false">+B15+H15+N15+T15+Z15+AF15+AL15+AR15+AX15</f>
        <v>86699</v>
      </c>
      <c r="BF15" s="441" t="n">
        <f aca="false">+C15+I15+O15+U15+AA15+AG15+AM15+AS15+AY15</f>
        <v>43349.5</v>
      </c>
      <c r="BG15" s="441" t="n">
        <f aca="false">+D15+J15+P15+V15+AB15+AH15+AN15+AT15+AZ15</f>
        <v>64881</v>
      </c>
      <c r="BH15" s="441" t="n">
        <f aca="false">+E15+K15+Q15+W15+AC15+AI15+AO15+AU15+BA15</f>
        <v>21531.5</v>
      </c>
      <c r="BI15" s="441" t="n">
        <f aca="false">+F15+L15+R15+X15+AD15+AJ15+AP15+AV15+BB15</f>
        <v>354554.5</v>
      </c>
      <c r="BJ15" s="437" t="n">
        <f aca="false">+G15+M15+S15+Y15+AE15+AK15+AQ15+AW15+BC15</f>
        <v>159100.5</v>
      </c>
      <c r="BK15" s="419"/>
    </row>
    <row r="16" customFormat="false" ht="12.75" hidden="false" customHeight="false" outlineLevel="0" collapsed="false">
      <c r="A16" s="438" t="n">
        <f aca="false">+BaseloadMarkets!A16</f>
        <v>36718</v>
      </c>
      <c r="B16" s="439" t="n">
        <f aca="false">+OCCMarkets!O16</f>
        <v>2017</v>
      </c>
      <c r="C16" s="440" t="n">
        <f aca="false">B16/2</f>
        <v>1008.5</v>
      </c>
      <c r="D16" s="440" t="n">
        <f aca="false">+OCCMarkets!S16</f>
        <v>0</v>
      </c>
      <c r="E16" s="441" t="n">
        <f aca="false">D16-C16</f>
        <v>-1008.5</v>
      </c>
      <c r="F16" s="441" t="n">
        <f aca="false">F15+E16</f>
        <v>17697</v>
      </c>
      <c r="G16" s="442"/>
      <c r="H16" s="439" t="n">
        <f aca="false">+OCCMarkets!C16</f>
        <v>3001</v>
      </c>
      <c r="I16" s="440" t="n">
        <f aca="false">H16/2</f>
        <v>1500.5</v>
      </c>
      <c r="J16" s="440" t="n">
        <f aca="false">+OCCMarkets!L16-OCCMarkets!H16</f>
        <v>11491</v>
      </c>
      <c r="K16" s="441" t="n">
        <f aca="false">J16-I16</f>
        <v>9990.5</v>
      </c>
      <c r="L16" s="441" t="n">
        <f aca="false">L15+K16</f>
        <v>95493.5</v>
      </c>
      <c r="M16" s="442"/>
      <c r="N16" s="439" t="n">
        <f aca="false">+OCCMarkets!V16</f>
        <v>898</v>
      </c>
      <c r="O16" s="440" t="n">
        <f aca="false">N16/2</f>
        <v>449</v>
      </c>
      <c r="P16" s="440" t="n">
        <f aca="false">+OCCMarkets!Z16</f>
        <v>0</v>
      </c>
      <c r="Q16" s="441" t="n">
        <f aca="false">P16-O16</f>
        <v>-449</v>
      </c>
      <c r="R16" s="441" t="n">
        <f aca="false">R15+Q16</f>
        <v>-797</v>
      </c>
      <c r="S16" s="442"/>
      <c r="T16" s="430" t="n">
        <f aca="false">+EES!C15</f>
        <v>70000</v>
      </c>
      <c r="U16" s="430" t="n">
        <f aca="false">T16/2</f>
        <v>35000</v>
      </c>
      <c r="V16" s="430" t="n">
        <f aca="false">+EES!AM15-EES!M15</f>
        <v>80726</v>
      </c>
      <c r="W16" s="441" t="n">
        <f aca="false">V16-U16</f>
        <v>45726</v>
      </c>
      <c r="X16" s="441" t="n">
        <f aca="false">X15+W16</f>
        <v>226951</v>
      </c>
      <c r="Y16" s="442"/>
      <c r="Z16" s="430" t="n">
        <f aca="false">+OCCMarkets!AC16</f>
        <v>178</v>
      </c>
      <c r="AA16" s="430" t="n">
        <f aca="false">Z16/2</f>
        <v>89</v>
      </c>
      <c r="AB16" s="430" t="n">
        <f aca="false">+OCCMarkets!AG16</f>
        <v>0</v>
      </c>
      <c r="AC16" s="441" t="n">
        <f aca="false">AB16-AA16</f>
        <v>-89</v>
      </c>
      <c r="AD16" s="441" t="n">
        <f aca="false">AD15+AC16</f>
        <v>-103</v>
      </c>
      <c r="AE16" s="442"/>
      <c r="AF16" s="430" t="n">
        <f aca="false">+OCCMarkets!AJ16</f>
        <v>9551</v>
      </c>
      <c r="AG16" s="430" t="n">
        <f aca="false">AF16/2</f>
        <v>4775.5</v>
      </c>
      <c r="AH16" s="430" t="n">
        <f aca="false">+OCCMarkets!AN16</f>
        <v>14615</v>
      </c>
      <c r="AI16" s="441" t="n">
        <f aca="false">AH16-AG16</f>
        <v>9839.5</v>
      </c>
      <c r="AJ16" s="441" t="n">
        <f aca="false">AJ15+AI16</f>
        <v>78167</v>
      </c>
      <c r="AK16" s="442"/>
      <c r="AL16" s="430" t="n">
        <f aca="false">+OCCMarkets!AQ16</f>
        <v>0</v>
      </c>
      <c r="AM16" s="430" t="n">
        <f aca="false">AL16/2</f>
        <v>0</v>
      </c>
      <c r="AN16" s="430" t="n">
        <f aca="false">+OCCMarkets!AU16</f>
        <v>0</v>
      </c>
      <c r="AO16" s="441" t="n">
        <f aca="false">AN16-AM16</f>
        <v>0</v>
      </c>
      <c r="AP16" s="441" t="n">
        <f aca="false">AP15+AO16</f>
        <v>0</v>
      </c>
      <c r="AQ16" s="442"/>
      <c r="AR16" s="430" t="n">
        <f aca="false">+OCCMarkets!AX16</f>
        <v>202</v>
      </c>
      <c r="AS16" s="430" t="n">
        <f aca="false">AR16/2</f>
        <v>101</v>
      </c>
      <c r="AT16" s="430" t="n">
        <f aca="false">+OCCMarkets!BB16</f>
        <v>0</v>
      </c>
      <c r="AU16" s="441" t="n">
        <f aca="false">AT16-AS16</f>
        <v>-101</v>
      </c>
      <c r="AV16" s="441" t="n">
        <f aca="false">AV15+AU16</f>
        <v>51.5</v>
      </c>
      <c r="AW16" s="442"/>
      <c r="AX16" s="430" t="n">
        <f aca="false">+OCCMarkets!BE16</f>
        <v>325</v>
      </c>
      <c r="AY16" s="430" t="n">
        <f aca="false">AX16/2</f>
        <v>162.5</v>
      </c>
      <c r="AZ16" s="430" t="n">
        <f aca="false">+OCCMarkets!BI16</f>
        <v>0</v>
      </c>
      <c r="BA16" s="441" t="n">
        <f aca="false">AZ16-AY16</f>
        <v>-162.5</v>
      </c>
      <c r="BB16" s="441" t="n">
        <f aca="false">BB15+BA16</f>
        <v>840.5</v>
      </c>
      <c r="BC16" s="442"/>
      <c r="BD16" s="437"/>
      <c r="BE16" s="441" t="n">
        <f aca="false">+B16+H16+N16+T16+Z16+AF16+AL16+AR16+AX16</f>
        <v>86172</v>
      </c>
      <c r="BF16" s="441" t="n">
        <f aca="false">+C16+I16+O16+U16+AA16+AG16+AM16+AS16+AY16</f>
        <v>43086</v>
      </c>
      <c r="BG16" s="441" t="n">
        <f aca="false">+D16+J16+P16+V16+AB16+AH16+AN16+AT16+AZ16</f>
        <v>106832</v>
      </c>
      <c r="BH16" s="441" t="n">
        <f aca="false">+E16+K16+Q16+W16+AC16+AI16+AO16+AU16+BA16</f>
        <v>63746</v>
      </c>
      <c r="BI16" s="441" t="n">
        <f aca="false">+F16+L16+R16+X16+AD16+AJ16+AP16+AV16+BB16</f>
        <v>418300.5</v>
      </c>
      <c r="BJ16" s="441"/>
    </row>
    <row r="17" customFormat="false" ht="12.75" hidden="false" customHeight="false" outlineLevel="0" collapsed="false">
      <c r="A17" s="438" t="n">
        <f aca="false">+BaseloadMarkets!A17</f>
        <v>36719</v>
      </c>
      <c r="B17" s="439" t="n">
        <f aca="false">+OCCMarkets!O17</f>
        <v>1723</v>
      </c>
      <c r="C17" s="440" t="n">
        <f aca="false">B17/2</f>
        <v>861.5</v>
      </c>
      <c r="D17" s="440" t="n">
        <f aca="false">+OCCMarkets!S17</f>
        <v>0</v>
      </c>
      <c r="E17" s="441" t="n">
        <f aca="false">D17-C17</f>
        <v>-861.5</v>
      </c>
      <c r="F17" s="441" t="n">
        <f aca="false">F16+E17</f>
        <v>16835.5</v>
      </c>
      <c r="G17" s="442"/>
      <c r="H17" s="439" t="n">
        <f aca="false">+OCCMarkets!C17</f>
        <v>4304</v>
      </c>
      <c r="I17" s="440" t="n">
        <f aca="false">H17/2</f>
        <v>2152</v>
      </c>
      <c r="J17" s="440" t="n">
        <f aca="false">+OCCMarkets!L17-OCCMarkets!H17</f>
        <v>3380</v>
      </c>
      <c r="K17" s="441" t="n">
        <f aca="false">J17-I17</f>
        <v>1228</v>
      </c>
      <c r="L17" s="441" t="n">
        <f aca="false">L16+K17</f>
        <v>96721.5</v>
      </c>
      <c r="M17" s="442"/>
      <c r="N17" s="439" t="n">
        <f aca="false">+OCCMarkets!V17</f>
        <v>1382</v>
      </c>
      <c r="O17" s="440" t="n">
        <f aca="false">N17/2</f>
        <v>691</v>
      </c>
      <c r="P17" s="440" t="n">
        <f aca="false">+OCCMarkets!Z17</f>
        <v>0</v>
      </c>
      <c r="Q17" s="441" t="n">
        <f aca="false">P17-O17</f>
        <v>-691</v>
      </c>
      <c r="R17" s="441" t="n">
        <f aca="false">R16+Q17</f>
        <v>-1488</v>
      </c>
      <c r="S17" s="442"/>
      <c r="T17" s="430" t="n">
        <f aca="false">+EES!C16</f>
        <v>70000</v>
      </c>
      <c r="U17" s="430" t="n">
        <f aca="false">T17/2</f>
        <v>35000</v>
      </c>
      <c r="V17" s="430" t="n">
        <f aca="false">+EES!AM16-EES!M16</f>
        <v>46867</v>
      </c>
      <c r="W17" s="441" t="n">
        <f aca="false">V17-U17</f>
        <v>11867</v>
      </c>
      <c r="X17" s="441" t="n">
        <f aca="false">X16+W17</f>
        <v>238818</v>
      </c>
      <c r="Y17" s="442"/>
      <c r="Z17" s="430" t="n">
        <f aca="false">+OCCMarkets!AC17</f>
        <v>181</v>
      </c>
      <c r="AA17" s="430" t="n">
        <f aca="false">Z17/2</f>
        <v>90.5</v>
      </c>
      <c r="AB17" s="430" t="n">
        <f aca="false">+OCCMarkets!AG17</f>
        <v>0</v>
      </c>
      <c r="AC17" s="441" t="n">
        <f aca="false">AB17-AA17</f>
        <v>-90.5</v>
      </c>
      <c r="AD17" s="441" t="n">
        <f aca="false">AD16+AC17</f>
        <v>-193.5</v>
      </c>
      <c r="AE17" s="442"/>
      <c r="AF17" s="430" t="n">
        <f aca="false">+OCCMarkets!AJ17</f>
        <v>9646</v>
      </c>
      <c r="AG17" s="430" t="n">
        <f aca="false">AF17/2</f>
        <v>4823</v>
      </c>
      <c r="AH17" s="430" t="n">
        <f aca="false">+OCCMarkets!AN17</f>
        <v>6685</v>
      </c>
      <c r="AI17" s="441" t="n">
        <f aca="false">AH17-AG17</f>
        <v>1862</v>
      </c>
      <c r="AJ17" s="441" t="n">
        <f aca="false">AJ16+AI17</f>
        <v>80029</v>
      </c>
      <c r="AK17" s="442"/>
      <c r="AL17" s="430" t="n">
        <f aca="false">+OCCMarkets!AQ17</f>
        <v>0</v>
      </c>
      <c r="AM17" s="430" t="n">
        <f aca="false">AL17/2</f>
        <v>0</v>
      </c>
      <c r="AN17" s="430" t="n">
        <f aca="false">+OCCMarkets!AU17</f>
        <v>0</v>
      </c>
      <c r="AO17" s="441" t="n">
        <f aca="false">AN17-AM17</f>
        <v>0</v>
      </c>
      <c r="AP17" s="441" t="n">
        <f aca="false">AP16+AO17</f>
        <v>0</v>
      </c>
      <c r="AQ17" s="442"/>
      <c r="AR17" s="430" t="n">
        <f aca="false">+OCCMarkets!AX17</f>
        <v>200</v>
      </c>
      <c r="AS17" s="430" t="n">
        <f aca="false">AR17/2</f>
        <v>100</v>
      </c>
      <c r="AT17" s="430" t="n">
        <f aca="false">+OCCMarkets!BB17</f>
        <v>0</v>
      </c>
      <c r="AU17" s="441" t="n">
        <f aca="false">AT17-AS17</f>
        <v>-100</v>
      </c>
      <c r="AV17" s="441" t="n">
        <f aca="false">AV16+AU17</f>
        <v>-48.5</v>
      </c>
      <c r="AW17" s="442"/>
      <c r="AX17" s="430" t="n">
        <f aca="false">+OCCMarkets!BE17</f>
        <v>288</v>
      </c>
      <c r="AY17" s="430" t="n">
        <f aca="false">AX17/2</f>
        <v>144</v>
      </c>
      <c r="AZ17" s="430" t="n">
        <f aca="false">+OCCMarkets!BI17</f>
        <v>0</v>
      </c>
      <c r="BA17" s="441" t="n">
        <f aca="false">AZ17-AY17</f>
        <v>-144</v>
      </c>
      <c r="BB17" s="441" t="n">
        <f aca="false">BB16+BA17</f>
        <v>696.5</v>
      </c>
      <c r="BC17" s="442"/>
      <c r="BD17" s="437"/>
      <c r="BE17" s="441" t="n">
        <f aca="false">+B17+H17+N17+T17+Z17+AF17+AL17+AR17+AX17</f>
        <v>87724</v>
      </c>
      <c r="BF17" s="441" t="n">
        <f aca="false">+C17+I17+O17+U17+AA17+AG17+AM17+AS17+AY17</f>
        <v>43862</v>
      </c>
      <c r="BG17" s="441" t="n">
        <f aca="false">+D17+J17+P17+V17+AB17+AH17+AN17+AT17+AZ17</f>
        <v>56932</v>
      </c>
      <c r="BH17" s="441" t="n">
        <f aca="false">+E17+K17+Q17+W17+AC17+AI17+AO17+AU17+BA17</f>
        <v>13070</v>
      </c>
      <c r="BI17" s="441" t="n">
        <f aca="false">+F17+L17+R17+X17+AD17+AJ17+AP17+AV17+BB17</f>
        <v>431370.5</v>
      </c>
      <c r="BJ17" s="441"/>
    </row>
    <row r="18" customFormat="false" ht="12.75" hidden="false" customHeight="false" outlineLevel="0" collapsed="false">
      <c r="A18" s="438" t="n">
        <f aca="false">+BaseloadMarkets!A18</f>
        <v>36720</v>
      </c>
      <c r="B18" s="439" t="n">
        <f aca="false">+OCCMarkets!O18</f>
        <v>1994</v>
      </c>
      <c r="C18" s="440" t="n">
        <f aca="false">B18/2</f>
        <v>997</v>
      </c>
      <c r="D18" s="440" t="n">
        <f aca="false">+OCCMarkets!S18</f>
        <v>1085</v>
      </c>
      <c r="E18" s="441" t="n">
        <f aca="false">D18-C18</f>
        <v>88</v>
      </c>
      <c r="F18" s="441" t="n">
        <f aca="false">F17+E18</f>
        <v>16923.5</v>
      </c>
      <c r="G18" s="442"/>
      <c r="H18" s="439" t="n">
        <f aca="false">+OCCMarkets!C18</f>
        <v>3540</v>
      </c>
      <c r="I18" s="440" t="n">
        <f aca="false">H18/2</f>
        <v>1770</v>
      </c>
      <c r="J18" s="440" t="n">
        <f aca="false">+OCCMarkets!L18-OCCMarkets!H18</f>
        <v>17466</v>
      </c>
      <c r="K18" s="441" t="n">
        <f aca="false">J18-I18</f>
        <v>15696</v>
      </c>
      <c r="L18" s="441" t="n">
        <f aca="false">L17+K18</f>
        <v>112417.5</v>
      </c>
      <c r="M18" s="442"/>
      <c r="N18" s="439" t="n">
        <f aca="false">+OCCMarkets!V18</f>
        <v>1308</v>
      </c>
      <c r="O18" s="440" t="n">
        <f aca="false">N18/2</f>
        <v>654</v>
      </c>
      <c r="P18" s="440" t="n">
        <f aca="false">+OCCMarkets!Z18</f>
        <v>542</v>
      </c>
      <c r="Q18" s="441" t="n">
        <f aca="false">P18-O18</f>
        <v>-112</v>
      </c>
      <c r="R18" s="441" t="n">
        <f aca="false">R17+Q18</f>
        <v>-1600</v>
      </c>
      <c r="S18" s="442"/>
      <c r="T18" s="430" t="n">
        <f aca="false">+EES!C17</f>
        <v>70000</v>
      </c>
      <c r="U18" s="430" t="n">
        <f aca="false">T18/2</f>
        <v>35000</v>
      </c>
      <c r="V18" s="430" t="n">
        <f aca="false">+EES!AM17-EES!M17</f>
        <v>92067</v>
      </c>
      <c r="W18" s="441" t="n">
        <f aca="false">V18-U18</f>
        <v>57067</v>
      </c>
      <c r="X18" s="441" t="n">
        <f aca="false">X17+W18</f>
        <v>295885</v>
      </c>
      <c r="Y18" s="442"/>
      <c r="Z18" s="430" t="n">
        <f aca="false">+OCCMarkets!AC18</f>
        <v>177</v>
      </c>
      <c r="AA18" s="430" t="n">
        <f aca="false">Z18/2</f>
        <v>88.5</v>
      </c>
      <c r="AB18" s="430" t="n">
        <f aca="false">+OCCMarkets!AG18</f>
        <v>361</v>
      </c>
      <c r="AC18" s="441" t="n">
        <f aca="false">AB18-AA18</f>
        <v>272.5</v>
      </c>
      <c r="AD18" s="441" t="n">
        <f aca="false">AD17+AC18</f>
        <v>79</v>
      </c>
      <c r="AE18" s="442"/>
      <c r="AF18" s="430" t="n">
        <f aca="false">+OCCMarkets!AJ18</f>
        <v>9422</v>
      </c>
      <c r="AG18" s="430" t="n">
        <f aca="false">AF18/2</f>
        <v>4711</v>
      </c>
      <c r="AH18" s="430" t="n">
        <f aca="false">+OCCMarkets!AN18</f>
        <v>38700</v>
      </c>
      <c r="AI18" s="441" t="n">
        <f aca="false">AH18-AG18</f>
        <v>33989</v>
      </c>
      <c r="AJ18" s="441" t="n">
        <f aca="false">AJ17+AI18</f>
        <v>114018</v>
      </c>
      <c r="AK18" s="442"/>
      <c r="AL18" s="430" t="n">
        <f aca="false">+OCCMarkets!AQ18</f>
        <v>0</v>
      </c>
      <c r="AM18" s="430" t="n">
        <f aca="false">AL18/2</f>
        <v>0</v>
      </c>
      <c r="AN18" s="430" t="n">
        <f aca="false">+OCCMarkets!AU18</f>
        <v>0</v>
      </c>
      <c r="AO18" s="441" t="n">
        <f aca="false">AN18-AM18</f>
        <v>0</v>
      </c>
      <c r="AP18" s="441" t="n">
        <f aca="false">AP17+AO18</f>
        <v>0</v>
      </c>
      <c r="AQ18" s="442"/>
      <c r="AR18" s="430" t="n">
        <f aca="false">+OCCMarkets!AX18</f>
        <v>204</v>
      </c>
      <c r="AS18" s="430" t="n">
        <f aca="false">AR18/2</f>
        <v>102</v>
      </c>
      <c r="AT18" s="430" t="n">
        <f aca="false">+OCCMarkets!BB18</f>
        <v>886</v>
      </c>
      <c r="AU18" s="441" t="n">
        <f aca="false">AT18-AS18</f>
        <v>784</v>
      </c>
      <c r="AV18" s="441" t="n">
        <f aca="false">AV17+AU18</f>
        <v>735.5</v>
      </c>
      <c r="AW18" s="442"/>
      <c r="AX18" s="430" t="n">
        <f aca="false">+OCCMarkets!BE18</f>
        <v>308</v>
      </c>
      <c r="AY18" s="430" t="n">
        <f aca="false">AX18/2</f>
        <v>154</v>
      </c>
      <c r="AZ18" s="430" t="n">
        <f aca="false">+OCCMarkets!BI18</f>
        <v>904</v>
      </c>
      <c r="BA18" s="441" t="n">
        <f aca="false">AZ18-AY18</f>
        <v>750</v>
      </c>
      <c r="BB18" s="441" t="n">
        <f aca="false">BB17+BA18</f>
        <v>1446.5</v>
      </c>
      <c r="BC18" s="442"/>
      <c r="BD18" s="437"/>
      <c r="BE18" s="441" t="n">
        <f aca="false">+B18+H18+N18+T18+Z18+AF18+AL18+AR18+AX18</f>
        <v>86953</v>
      </c>
      <c r="BF18" s="441" t="n">
        <f aca="false">+C18+I18+O18+U18+AA18+AG18+AM18+AS18+AY18</f>
        <v>43476.5</v>
      </c>
      <c r="BG18" s="441" t="n">
        <f aca="false">+D18+J18+P18+V18+AB18+AH18+AN18+AT18+AZ18</f>
        <v>152011</v>
      </c>
      <c r="BH18" s="441" t="n">
        <f aca="false">+E18+K18+Q18+W18+AC18+AI18+AO18+AU18+BA18</f>
        <v>108534.5</v>
      </c>
      <c r="BI18" s="441" t="n">
        <f aca="false">+F18+L18+R18+X18+AD18+AJ18+AP18+AV18+BB18</f>
        <v>539905</v>
      </c>
      <c r="BJ18" s="441"/>
    </row>
    <row r="19" customFormat="false" ht="12.75" hidden="false" customHeight="false" outlineLevel="0" collapsed="false">
      <c r="A19" s="438" t="n">
        <f aca="false">+BaseloadMarkets!A19</f>
        <v>36721</v>
      </c>
      <c r="B19" s="439" t="n">
        <f aca="false">+OCCMarkets!O19</f>
        <v>1632</v>
      </c>
      <c r="C19" s="440" t="n">
        <f aca="false">B19/2</f>
        <v>816</v>
      </c>
      <c r="D19" s="440" t="n">
        <f aca="false">+OCCMarkets!S19</f>
        <v>2327</v>
      </c>
      <c r="E19" s="441" t="n">
        <f aca="false">D19-C19</f>
        <v>1511</v>
      </c>
      <c r="F19" s="441" t="n">
        <f aca="false">F18+E19</f>
        <v>18434.5</v>
      </c>
      <c r="G19" s="442"/>
      <c r="H19" s="439" t="n">
        <f aca="false">+OCCMarkets!C19</f>
        <v>5803</v>
      </c>
      <c r="I19" s="440" t="n">
        <f aca="false">H19/2</f>
        <v>2901.5</v>
      </c>
      <c r="J19" s="440" t="n">
        <f aca="false">+OCCMarkets!L19-OCCMarkets!H19</f>
        <v>11508</v>
      </c>
      <c r="K19" s="441" t="n">
        <f aca="false">J19-I19</f>
        <v>8606.5</v>
      </c>
      <c r="L19" s="441" t="n">
        <f aca="false">L18+K19</f>
        <v>121024</v>
      </c>
      <c r="M19" s="442"/>
      <c r="N19" s="439" t="n">
        <f aca="false">+OCCMarkets!V19</f>
        <v>1406</v>
      </c>
      <c r="O19" s="440" t="n">
        <f aca="false">N19/2</f>
        <v>703</v>
      </c>
      <c r="P19" s="440" t="n">
        <f aca="false">+OCCMarkets!Z19</f>
        <v>6656</v>
      </c>
      <c r="Q19" s="441" t="n">
        <f aca="false">P19-O19</f>
        <v>5953</v>
      </c>
      <c r="R19" s="441" t="n">
        <f aca="false">R18+Q19</f>
        <v>4353</v>
      </c>
      <c r="S19" s="442"/>
      <c r="T19" s="430" t="n">
        <f aca="false">+EES!C18</f>
        <v>70000</v>
      </c>
      <c r="U19" s="430" t="n">
        <f aca="false">T19/2</f>
        <v>35000</v>
      </c>
      <c r="V19" s="430" t="n">
        <f aca="false">+EES!AM18-EES!M18</f>
        <v>89189</v>
      </c>
      <c r="W19" s="441" t="n">
        <f aca="false">V19-U19</f>
        <v>54189</v>
      </c>
      <c r="X19" s="441" t="n">
        <f aca="false">X18+W19</f>
        <v>350074</v>
      </c>
      <c r="Y19" s="442"/>
      <c r="Z19" s="430" t="n">
        <f aca="false">+OCCMarkets!AC19</f>
        <v>157</v>
      </c>
      <c r="AA19" s="430" t="n">
        <f aca="false">Z19/2</f>
        <v>78.5</v>
      </c>
      <c r="AB19" s="430" t="n">
        <f aca="false">+OCCMarkets!AG19</f>
        <v>1397</v>
      </c>
      <c r="AC19" s="441" t="n">
        <f aca="false">AB19-AA19</f>
        <v>1318.5</v>
      </c>
      <c r="AD19" s="441" t="n">
        <f aca="false">AD18+AC19</f>
        <v>1397.5</v>
      </c>
      <c r="AE19" s="442"/>
      <c r="AF19" s="430" t="n">
        <f aca="false">+OCCMarkets!AJ19</f>
        <v>8534</v>
      </c>
      <c r="AG19" s="430" t="n">
        <f aca="false">AF19/2</f>
        <v>4267</v>
      </c>
      <c r="AH19" s="430" t="n">
        <f aca="false">+OCCMarkets!AN19</f>
        <v>13239</v>
      </c>
      <c r="AI19" s="441" t="n">
        <f aca="false">AH19-AG19</f>
        <v>8972</v>
      </c>
      <c r="AJ19" s="441" t="n">
        <f aca="false">AJ18+AI19</f>
        <v>122990</v>
      </c>
      <c r="AK19" s="442"/>
      <c r="AL19" s="430" t="n">
        <f aca="false">+OCCMarkets!AQ19</f>
        <v>0</v>
      </c>
      <c r="AM19" s="430" t="n">
        <f aca="false">AL19/2</f>
        <v>0</v>
      </c>
      <c r="AN19" s="430" t="n">
        <f aca="false">+OCCMarkets!AU19</f>
        <v>0</v>
      </c>
      <c r="AO19" s="441" t="n">
        <f aca="false">AN19-AM19</f>
        <v>0</v>
      </c>
      <c r="AP19" s="441" t="n">
        <f aca="false">AP18+AO19</f>
        <v>0</v>
      </c>
      <c r="AQ19" s="442"/>
      <c r="AR19" s="430" t="n">
        <f aca="false">+OCCMarkets!AX19</f>
        <v>213</v>
      </c>
      <c r="AS19" s="430" t="n">
        <f aca="false">AR19/2</f>
        <v>106.5</v>
      </c>
      <c r="AT19" s="430" t="n">
        <f aca="false">+OCCMarkets!BB19</f>
        <v>1397</v>
      </c>
      <c r="AU19" s="441" t="n">
        <f aca="false">AT19-AS19</f>
        <v>1290.5</v>
      </c>
      <c r="AV19" s="441" t="n">
        <f aca="false">AV18+AU19</f>
        <v>2026</v>
      </c>
      <c r="AW19" s="442"/>
      <c r="AX19" s="430" t="n">
        <f aca="false">+OCCMarkets!BE19</f>
        <v>286</v>
      </c>
      <c r="AY19" s="430" t="n">
        <f aca="false">AX19/2</f>
        <v>143</v>
      </c>
      <c r="AZ19" s="430" t="n">
        <f aca="false">+OCCMarkets!BI19</f>
        <v>1862</v>
      </c>
      <c r="BA19" s="441" t="n">
        <f aca="false">AZ19-AY19</f>
        <v>1719</v>
      </c>
      <c r="BB19" s="441" t="n">
        <f aca="false">BB18+BA19</f>
        <v>3165.5</v>
      </c>
      <c r="BC19" s="442"/>
      <c r="BD19" s="437"/>
      <c r="BE19" s="441" t="n">
        <f aca="false">+B19+H19+N19+T19+Z19+AF19+AL19+AR19+AX19</f>
        <v>88031</v>
      </c>
      <c r="BF19" s="441" t="n">
        <f aca="false">+C19+I19+O19+U19+AA19+AG19+AM19+AS19+AY19</f>
        <v>44015.5</v>
      </c>
      <c r="BG19" s="441" t="n">
        <f aca="false">+D19+J19+P19+V19+AB19+AH19+AN19+AT19+AZ19</f>
        <v>127575</v>
      </c>
      <c r="BH19" s="441" t="n">
        <f aca="false">+E19+K19+Q19+W19+AC19+AI19+AO19+AU19+BA19</f>
        <v>83559.5</v>
      </c>
      <c r="BI19" s="441" t="n">
        <f aca="false">+F19+L19+R19+X19+AD19+AJ19+AP19+AV19+BB19</f>
        <v>623464.5</v>
      </c>
      <c r="BJ19" s="441"/>
    </row>
    <row r="20" customFormat="false" ht="12.75" hidden="false" customHeight="false" outlineLevel="0" collapsed="false">
      <c r="A20" s="438" t="n">
        <f aca="false">+BaseloadMarkets!A20</f>
        <v>36722</v>
      </c>
      <c r="B20" s="439" t="n">
        <f aca="false">+OCCMarkets!O20</f>
        <v>752</v>
      </c>
      <c r="C20" s="440" t="n">
        <f aca="false">B20/2</f>
        <v>376</v>
      </c>
      <c r="D20" s="440" t="n">
        <f aca="false">+OCCMarkets!S20</f>
        <v>1298</v>
      </c>
      <c r="E20" s="441" t="n">
        <f aca="false">D20-C20</f>
        <v>922</v>
      </c>
      <c r="F20" s="441" t="n">
        <f aca="false">F19+E20</f>
        <v>19356.5</v>
      </c>
      <c r="G20" s="442" t="n">
        <f aca="false">SUM(E16:E20)</f>
        <v>651</v>
      </c>
      <c r="H20" s="439" t="n">
        <f aca="false">+OCCMarkets!C20</f>
        <v>5350</v>
      </c>
      <c r="I20" s="440" t="n">
        <f aca="false">H20/2</f>
        <v>2675</v>
      </c>
      <c r="J20" s="440" t="n">
        <f aca="false">+OCCMarkets!L20-OCCMarkets!H20</f>
        <v>3000</v>
      </c>
      <c r="K20" s="441" t="n">
        <f aca="false">J20-I20</f>
        <v>325</v>
      </c>
      <c r="L20" s="441" t="n">
        <f aca="false">L19+K20</f>
        <v>121349</v>
      </c>
      <c r="M20" s="442" t="n">
        <f aca="false">SUM(K16:K20)</f>
        <v>35846</v>
      </c>
      <c r="N20" s="439" t="n">
        <f aca="false">+OCCMarkets!V20</f>
        <v>1257</v>
      </c>
      <c r="O20" s="440" t="n">
        <f aca="false">N20/2</f>
        <v>628.5</v>
      </c>
      <c r="P20" s="440" t="n">
        <f aca="false">+OCCMarkets!Z20</f>
        <v>843</v>
      </c>
      <c r="Q20" s="441" t="n">
        <f aca="false">P20-O20</f>
        <v>214.5</v>
      </c>
      <c r="R20" s="441" t="n">
        <f aca="false">R19+Q20</f>
        <v>4567.5</v>
      </c>
      <c r="S20" s="442" t="n">
        <f aca="false">SUM(Q16:Q20)</f>
        <v>4915.5</v>
      </c>
      <c r="T20" s="430" t="n">
        <f aca="false">+EES!C19</f>
        <v>70000</v>
      </c>
      <c r="U20" s="430" t="n">
        <f aca="false">T20/2</f>
        <v>35000</v>
      </c>
      <c r="V20" s="430" t="n">
        <f aca="false">+EES!AM19-EES!M19</f>
        <v>50908</v>
      </c>
      <c r="W20" s="441" t="n">
        <f aca="false">V20-U20</f>
        <v>15908</v>
      </c>
      <c r="X20" s="441" t="n">
        <f aca="false">X19+W20</f>
        <v>365982</v>
      </c>
      <c r="Y20" s="442" t="n">
        <f aca="false">SUM(W16:W20)</f>
        <v>184757</v>
      </c>
      <c r="Z20" s="430" t="n">
        <f aca="false">+OCCMarkets!AC20</f>
        <v>170</v>
      </c>
      <c r="AA20" s="430" t="n">
        <f aca="false">Z20/2</f>
        <v>85</v>
      </c>
      <c r="AB20" s="430" t="n">
        <f aca="false">+OCCMarkets!AG20</f>
        <v>0</v>
      </c>
      <c r="AC20" s="441" t="n">
        <f aca="false">AB20-AA20</f>
        <v>-85</v>
      </c>
      <c r="AD20" s="441" t="n">
        <f aca="false">AD19+AC20</f>
        <v>1312.5</v>
      </c>
      <c r="AE20" s="442" t="n">
        <f aca="false">SUM(AC16:AC20)</f>
        <v>1326.5</v>
      </c>
      <c r="AF20" s="430" t="n">
        <f aca="false">+OCCMarkets!AJ20</f>
        <v>6025</v>
      </c>
      <c r="AG20" s="430" t="n">
        <f aca="false">AF20/2</f>
        <v>3012.5</v>
      </c>
      <c r="AH20" s="430" t="n">
        <f aca="false">+OCCMarkets!AN20</f>
        <v>9449</v>
      </c>
      <c r="AI20" s="441" t="n">
        <f aca="false">AH20-AG20</f>
        <v>6436.5</v>
      </c>
      <c r="AJ20" s="441" t="n">
        <f aca="false">AJ19+AI20</f>
        <v>129426.5</v>
      </c>
      <c r="AK20" s="442" t="n">
        <f aca="false">SUM(AI16:AI20)</f>
        <v>61099</v>
      </c>
      <c r="AL20" s="430" t="n">
        <f aca="false">+OCCMarkets!AQ20</f>
        <v>0</v>
      </c>
      <c r="AM20" s="430" t="n">
        <f aca="false">AL20/2</f>
        <v>0</v>
      </c>
      <c r="AN20" s="430" t="n">
        <f aca="false">+OCCMarkets!AU20</f>
        <v>0</v>
      </c>
      <c r="AO20" s="441" t="n">
        <f aca="false">AN20-AM20</f>
        <v>0</v>
      </c>
      <c r="AP20" s="441" t="n">
        <f aca="false">AP19+AO20</f>
        <v>0</v>
      </c>
      <c r="AQ20" s="442" t="n">
        <f aca="false">SUM(AO16:AO20)</f>
        <v>0</v>
      </c>
      <c r="AR20" s="430" t="n">
        <f aca="false">+OCCMarkets!AX20</f>
        <v>31</v>
      </c>
      <c r="AS20" s="430" t="n">
        <f aca="false">AR20/2</f>
        <v>15.5</v>
      </c>
      <c r="AT20" s="430" t="n">
        <f aca="false">+OCCMarkets!BB20</f>
        <v>0</v>
      </c>
      <c r="AU20" s="441" t="n">
        <f aca="false">AT20-AS20</f>
        <v>-15.5</v>
      </c>
      <c r="AV20" s="441" t="n">
        <f aca="false">AV19+AU20</f>
        <v>2010.5</v>
      </c>
      <c r="AW20" s="442" t="n">
        <f aca="false">SUM(AU16:AU20)</f>
        <v>1858</v>
      </c>
      <c r="AX20" s="430" t="n">
        <f aca="false">+OCCMarkets!BE20</f>
        <v>132</v>
      </c>
      <c r="AY20" s="430" t="n">
        <f aca="false">AX20/2</f>
        <v>66</v>
      </c>
      <c r="AZ20" s="430" t="n">
        <f aca="false">+OCCMarkets!BI20</f>
        <v>0</v>
      </c>
      <c r="BA20" s="441" t="n">
        <f aca="false">AZ20-AY20</f>
        <v>-66</v>
      </c>
      <c r="BB20" s="441" t="n">
        <f aca="false">BB19+BA20</f>
        <v>3099.5</v>
      </c>
      <c r="BC20" s="442" t="n">
        <f aca="false">SUM(BA16:BA20)</f>
        <v>2096.5</v>
      </c>
      <c r="BD20" s="437"/>
      <c r="BE20" s="441" t="n">
        <f aca="false">+B20+H20+N20+T20+Z20+AF20+AL20+AR20+AX20</f>
        <v>83717</v>
      </c>
      <c r="BF20" s="441" t="n">
        <f aca="false">+C20+I20+O20+U20+AA20+AG20+AM20+AS20+AY20</f>
        <v>41858.5</v>
      </c>
      <c r="BG20" s="441" t="n">
        <f aca="false">+D20+J20+P20+V20+AB20+AH20+AN20+AT20+AZ20</f>
        <v>65498</v>
      </c>
      <c r="BH20" s="441" t="n">
        <f aca="false">+E20+K20+Q20+W20+AC20+AI20+AO20+AU20+BA20</f>
        <v>23639.5</v>
      </c>
      <c r="BI20" s="441" t="n">
        <f aca="false">+F20+L20+R20+X20+AD20+AJ20+AP20+AV20+BB20</f>
        <v>647104</v>
      </c>
      <c r="BJ20" s="437" t="n">
        <f aca="false">+G20+M20+S20+Y20+AE20+AK20+AQ20+AW20+BC20</f>
        <v>292549.5</v>
      </c>
      <c r="BK20" s="419"/>
    </row>
    <row r="21" customFormat="false" ht="12.75" hidden="false" customHeight="false" outlineLevel="0" collapsed="false">
      <c r="A21" s="438" t="n">
        <f aca="false">+BaseloadMarkets!A21</f>
        <v>36723</v>
      </c>
      <c r="B21" s="439" t="n">
        <f aca="false">+OCCMarkets!O21</f>
        <v>1212</v>
      </c>
      <c r="C21" s="440" t="n">
        <f aca="false">B21/2</f>
        <v>606</v>
      </c>
      <c r="D21" s="440" t="n">
        <f aca="false">+OCCMarkets!S21</f>
        <v>1228</v>
      </c>
      <c r="E21" s="441" t="n">
        <f aca="false">D21-C21</f>
        <v>622</v>
      </c>
      <c r="F21" s="441" t="n">
        <f aca="false">F20+E21</f>
        <v>19978.5</v>
      </c>
      <c r="G21" s="442"/>
      <c r="H21" s="439" t="n">
        <f aca="false">+OCCMarkets!C21</f>
        <v>3980</v>
      </c>
      <c r="I21" s="440" t="n">
        <f aca="false">H21/2</f>
        <v>1990</v>
      </c>
      <c r="J21" s="440" t="n">
        <f aca="false">+OCCMarkets!L21-OCCMarkets!H21</f>
        <v>3000</v>
      </c>
      <c r="K21" s="441" t="n">
        <f aca="false">J21-I21</f>
        <v>1010</v>
      </c>
      <c r="L21" s="441" t="n">
        <f aca="false">L20+K21</f>
        <v>122359</v>
      </c>
      <c r="M21" s="442"/>
      <c r="N21" s="439" t="n">
        <f aca="false">+OCCMarkets!V21</f>
        <v>1259</v>
      </c>
      <c r="O21" s="440" t="n">
        <f aca="false">N21/2</f>
        <v>629.5</v>
      </c>
      <c r="P21" s="440" t="n">
        <f aca="false">+OCCMarkets!Z21</f>
        <v>798</v>
      </c>
      <c r="Q21" s="441" t="n">
        <f aca="false">P21-O21</f>
        <v>168.5</v>
      </c>
      <c r="R21" s="441" t="n">
        <f aca="false">R20+Q21</f>
        <v>4736</v>
      </c>
      <c r="S21" s="442"/>
      <c r="T21" s="430" t="n">
        <f aca="false">+EES!C20</f>
        <v>70000</v>
      </c>
      <c r="U21" s="430" t="n">
        <f aca="false">T21/2</f>
        <v>35000</v>
      </c>
      <c r="V21" s="430" t="n">
        <f aca="false">+EES!AM20-EES!M20</f>
        <v>48757</v>
      </c>
      <c r="W21" s="441" t="n">
        <f aca="false">V21-U21</f>
        <v>13757</v>
      </c>
      <c r="X21" s="441" t="n">
        <f aca="false">X20+W21</f>
        <v>379739</v>
      </c>
      <c r="Y21" s="442"/>
      <c r="Z21" s="430" t="n">
        <f aca="false">+OCCMarkets!AC21</f>
        <v>28</v>
      </c>
      <c r="AA21" s="430" t="n">
        <f aca="false">Z21/2</f>
        <v>14</v>
      </c>
      <c r="AB21" s="430" t="n">
        <f aca="false">+OCCMarkets!AG21</f>
        <v>0</v>
      </c>
      <c r="AC21" s="441" t="n">
        <f aca="false">AB21-AA21</f>
        <v>-14</v>
      </c>
      <c r="AD21" s="441" t="n">
        <f aca="false">AD20+AC21</f>
        <v>1298.5</v>
      </c>
      <c r="AE21" s="442"/>
      <c r="AF21" s="430" t="n">
        <f aca="false">+OCCMarkets!AJ21</f>
        <v>9078</v>
      </c>
      <c r="AG21" s="430" t="n">
        <f aca="false">AF21/2</f>
        <v>4539</v>
      </c>
      <c r="AH21" s="430" t="n">
        <f aca="false">+OCCMarkets!AN21</f>
        <v>9119</v>
      </c>
      <c r="AI21" s="441" t="n">
        <f aca="false">AH21-AG21</f>
        <v>4580</v>
      </c>
      <c r="AJ21" s="441" t="n">
        <f aca="false">AJ20+AI21</f>
        <v>134006.5</v>
      </c>
      <c r="AK21" s="442"/>
      <c r="AL21" s="430" t="n">
        <f aca="false">+OCCMarkets!AQ21</f>
        <v>0</v>
      </c>
      <c r="AM21" s="430" t="n">
        <f aca="false">AL21/2</f>
        <v>0</v>
      </c>
      <c r="AN21" s="430" t="n">
        <f aca="false">+OCCMarkets!AU21</f>
        <v>0</v>
      </c>
      <c r="AO21" s="441" t="n">
        <f aca="false">AN21-AM21</f>
        <v>0</v>
      </c>
      <c r="AP21" s="441" t="n">
        <f aca="false">AP20+AO21</f>
        <v>0</v>
      </c>
      <c r="AQ21" s="442"/>
      <c r="AR21" s="430" t="n">
        <f aca="false">+OCCMarkets!AX21</f>
        <v>0</v>
      </c>
      <c r="AS21" s="430" t="n">
        <f aca="false">AR21/2</f>
        <v>0</v>
      </c>
      <c r="AT21" s="430" t="n">
        <f aca="false">+OCCMarkets!BB21</f>
        <v>0</v>
      </c>
      <c r="AU21" s="441" t="n">
        <f aca="false">AT21-AS21</f>
        <v>0</v>
      </c>
      <c r="AV21" s="441" t="n">
        <f aca="false">AV20+AU21</f>
        <v>2010.5</v>
      </c>
      <c r="AW21" s="442"/>
      <c r="AX21" s="430" t="n">
        <f aca="false">+OCCMarkets!BE21</f>
        <v>25</v>
      </c>
      <c r="AY21" s="430" t="n">
        <f aca="false">AX21/2</f>
        <v>12.5</v>
      </c>
      <c r="AZ21" s="430" t="n">
        <f aca="false">+OCCMarkets!BI21</f>
        <v>0</v>
      </c>
      <c r="BA21" s="441" t="n">
        <f aca="false">AZ21-AY21</f>
        <v>-12.5</v>
      </c>
      <c r="BB21" s="441" t="n">
        <f aca="false">BB20+BA21</f>
        <v>3087</v>
      </c>
      <c r="BC21" s="442"/>
      <c r="BD21" s="437"/>
      <c r="BE21" s="441" t="n">
        <f aca="false">+B21+H21+N21+T21+Z21+AF21+AL21+AR21+AX21</f>
        <v>85582</v>
      </c>
      <c r="BF21" s="441" t="n">
        <f aca="false">+C21+I21+O21+U21+AA21+AG21+AM21+AS21+AY21</f>
        <v>42791</v>
      </c>
      <c r="BG21" s="441" t="n">
        <f aca="false">+D21+J21+P21+V21+AB21+AH21+AN21+AT21+AZ21</f>
        <v>62902</v>
      </c>
      <c r="BH21" s="441" t="n">
        <f aca="false">+E21+K21+Q21+W21+AC21+AI21+AO21+AU21+BA21</f>
        <v>20111</v>
      </c>
      <c r="BI21" s="441" t="n">
        <f aca="false">+F21+L21+R21+X21+AD21+AJ21+AP21+AV21+BB21</f>
        <v>667215</v>
      </c>
      <c r="BJ21" s="441"/>
    </row>
    <row r="22" customFormat="false" ht="12.75" hidden="false" customHeight="false" outlineLevel="0" collapsed="false">
      <c r="A22" s="438" t="n">
        <f aca="false">+BaseloadMarkets!A22</f>
        <v>36724</v>
      </c>
      <c r="B22" s="439" t="n">
        <f aca="false">+OCCMarkets!O22</f>
        <v>2044</v>
      </c>
      <c r="C22" s="440" t="n">
        <f aca="false">B22/2</f>
        <v>1022</v>
      </c>
      <c r="D22" s="440" t="n">
        <f aca="false">+OCCMarkets!S22</f>
        <v>1149</v>
      </c>
      <c r="E22" s="441" t="n">
        <f aca="false">D22-C22</f>
        <v>127</v>
      </c>
      <c r="F22" s="441" t="n">
        <f aca="false">F21+E22</f>
        <v>20105.5</v>
      </c>
      <c r="G22" s="442"/>
      <c r="H22" s="439" t="n">
        <f aca="false">+OCCMarkets!C22</f>
        <v>3590</v>
      </c>
      <c r="I22" s="440" t="n">
        <f aca="false">H22/2</f>
        <v>1795</v>
      </c>
      <c r="J22" s="440" t="n">
        <f aca="false">+OCCMarkets!L22-OCCMarkets!H22</f>
        <v>3000</v>
      </c>
      <c r="K22" s="441" t="n">
        <f aca="false">J22-I22</f>
        <v>1205</v>
      </c>
      <c r="L22" s="441" t="n">
        <f aca="false">L21+K22</f>
        <v>123564</v>
      </c>
      <c r="M22" s="442"/>
      <c r="N22" s="439" t="n">
        <f aca="false">+OCCMarkets!V22</f>
        <v>989</v>
      </c>
      <c r="O22" s="440" t="n">
        <f aca="false">N22/2</f>
        <v>494.5</v>
      </c>
      <c r="P22" s="440" t="n">
        <f aca="false">+OCCMarkets!Z22</f>
        <v>778</v>
      </c>
      <c r="Q22" s="441" t="n">
        <f aca="false">P22-O22</f>
        <v>283.5</v>
      </c>
      <c r="R22" s="441" t="n">
        <f aca="false">R21+Q22</f>
        <v>5019.5</v>
      </c>
      <c r="S22" s="442"/>
      <c r="T22" s="430" t="n">
        <f aca="false">+EES!C21</f>
        <v>70000</v>
      </c>
      <c r="U22" s="430" t="n">
        <f aca="false">T22/2</f>
        <v>35000</v>
      </c>
      <c r="V22" s="430" t="n">
        <f aca="false">+EES!AM21-EES!M21</f>
        <v>92906</v>
      </c>
      <c r="W22" s="441" t="n">
        <f aca="false">V22-U22</f>
        <v>57906</v>
      </c>
      <c r="X22" s="441" t="n">
        <f aca="false">X21+W22</f>
        <v>437645</v>
      </c>
      <c r="Y22" s="442"/>
      <c r="Z22" s="430" t="n">
        <f aca="false">+OCCMarkets!AC22</f>
        <v>96</v>
      </c>
      <c r="AA22" s="430" t="n">
        <f aca="false">Z22/2</f>
        <v>48</v>
      </c>
      <c r="AB22" s="430" t="n">
        <f aca="false">+OCCMarkets!AG22</f>
        <v>0</v>
      </c>
      <c r="AC22" s="441" t="n">
        <f aca="false">AB22-AA22</f>
        <v>-48</v>
      </c>
      <c r="AD22" s="441" t="n">
        <f aca="false">AD21+AC22</f>
        <v>1250.5</v>
      </c>
      <c r="AE22" s="442"/>
      <c r="AF22" s="430" t="n">
        <f aca="false">+OCCMarkets!AJ22</f>
        <v>9378</v>
      </c>
      <c r="AG22" s="430" t="n">
        <f aca="false">AF22/2</f>
        <v>4689</v>
      </c>
      <c r="AH22" s="430" t="n">
        <f aca="false">+OCCMarkets!AN22</f>
        <v>8969</v>
      </c>
      <c r="AI22" s="441" t="n">
        <f aca="false">AH22-AG22</f>
        <v>4280</v>
      </c>
      <c r="AJ22" s="441" t="n">
        <f aca="false">AJ21+AI22</f>
        <v>138286.5</v>
      </c>
      <c r="AK22" s="442"/>
      <c r="AL22" s="430" t="n">
        <f aca="false">+OCCMarkets!AQ22</f>
        <v>0</v>
      </c>
      <c r="AM22" s="430" t="n">
        <f aca="false">AL22/2</f>
        <v>0</v>
      </c>
      <c r="AN22" s="430" t="n">
        <f aca="false">+OCCMarkets!AU22</f>
        <v>0</v>
      </c>
      <c r="AO22" s="441" t="n">
        <f aca="false">AN22-AM22</f>
        <v>0</v>
      </c>
      <c r="AP22" s="441" t="n">
        <f aca="false">AP21+AO22</f>
        <v>0</v>
      </c>
      <c r="AQ22" s="442"/>
      <c r="AR22" s="430" t="n">
        <f aca="false">+OCCMarkets!AX22</f>
        <v>135</v>
      </c>
      <c r="AS22" s="430" t="n">
        <f aca="false">AR22/2</f>
        <v>67.5</v>
      </c>
      <c r="AT22" s="430" t="n">
        <f aca="false">+OCCMarkets!BB22</f>
        <v>0</v>
      </c>
      <c r="AU22" s="441" t="n">
        <f aca="false">AT22-AS22</f>
        <v>-67.5</v>
      </c>
      <c r="AV22" s="441" t="n">
        <f aca="false">AV21+AU22</f>
        <v>1943</v>
      </c>
      <c r="AW22" s="442"/>
      <c r="AX22" s="430" t="n">
        <f aca="false">+OCCMarkets!BE22</f>
        <v>246</v>
      </c>
      <c r="AY22" s="430" t="n">
        <f aca="false">AX22/2</f>
        <v>123</v>
      </c>
      <c r="AZ22" s="430" t="n">
        <f aca="false">+OCCMarkets!BI22</f>
        <v>0</v>
      </c>
      <c r="BA22" s="441" t="n">
        <f aca="false">AZ22-AY22</f>
        <v>-123</v>
      </c>
      <c r="BB22" s="441" t="n">
        <f aca="false">BB21+BA22</f>
        <v>2964</v>
      </c>
      <c r="BC22" s="442"/>
      <c r="BD22" s="437"/>
      <c r="BE22" s="441" t="n">
        <f aca="false">+B22+H22+N22+T22+Z22+AF22+AL22+AR22+AX22</f>
        <v>86478</v>
      </c>
      <c r="BF22" s="441" t="n">
        <f aca="false">+C22+I22+O22+U22+AA22+AG22+AM22+AS22+AY22</f>
        <v>43239</v>
      </c>
      <c r="BG22" s="441" t="n">
        <f aca="false">+D22+J22+P22+V22+AB22+AH22+AN22+AT22+AZ22</f>
        <v>106802</v>
      </c>
      <c r="BH22" s="441" t="n">
        <f aca="false">+E22+K22+Q22+W22+AC22+AI22+AO22+AU22+BA22</f>
        <v>63563</v>
      </c>
      <c r="BI22" s="441" t="n">
        <f aca="false">+F22+L22+R22+X22+AD22+AJ22+AP22+AV22+BB22</f>
        <v>730778</v>
      </c>
      <c r="BJ22" s="441"/>
    </row>
    <row r="23" customFormat="false" ht="12.75" hidden="false" customHeight="false" outlineLevel="0" collapsed="false">
      <c r="A23" s="438" t="n">
        <f aca="false">+BaseloadMarkets!A23</f>
        <v>36725</v>
      </c>
      <c r="B23" s="439" t="n">
        <f aca="false">+OCCMarkets!O23</f>
        <v>2258</v>
      </c>
      <c r="C23" s="440" t="n">
        <f aca="false">B23/2</f>
        <v>1129</v>
      </c>
      <c r="D23" s="440" t="n">
        <f aca="false">+OCCMarkets!S23</f>
        <v>0</v>
      </c>
      <c r="E23" s="441" t="n">
        <f aca="false">D23-C23</f>
        <v>-1129</v>
      </c>
      <c r="F23" s="441" t="n">
        <f aca="false">F22+E23</f>
        <v>18976.5</v>
      </c>
      <c r="G23" s="442"/>
      <c r="H23" s="439" t="n">
        <f aca="false">+OCCMarkets!C23</f>
        <v>15826</v>
      </c>
      <c r="I23" s="440" t="n">
        <f aca="false">H23/2</f>
        <v>7913</v>
      </c>
      <c r="J23" s="440" t="n">
        <f aca="false">+OCCMarkets!L23-OCCMarkets!H23</f>
        <v>12603</v>
      </c>
      <c r="K23" s="441" t="n">
        <f aca="false">J23-I23</f>
        <v>4690</v>
      </c>
      <c r="L23" s="441" t="n">
        <f aca="false">L22+K23</f>
        <v>128254</v>
      </c>
      <c r="M23" s="442"/>
      <c r="N23" s="439" t="n">
        <f aca="false">+OCCMarkets!V23</f>
        <v>1458</v>
      </c>
      <c r="O23" s="440" t="n">
        <f aca="false">N23/2</f>
        <v>729</v>
      </c>
      <c r="P23" s="440" t="n">
        <f aca="false">+OCCMarkets!Z23</f>
        <v>0</v>
      </c>
      <c r="Q23" s="441" t="n">
        <f aca="false">P23-O23</f>
        <v>-729</v>
      </c>
      <c r="R23" s="441" t="n">
        <f aca="false">R22+Q23</f>
        <v>4290.5</v>
      </c>
      <c r="S23" s="442"/>
      <c r="T23" s="430" t="n">
        <f aca="false">+EES!C22</f>
        <v>70000</v>
      </c>
      <c r="U23" s="430" t="n">
        <f aca="false">T23/2</f>
        <v>35000</v>
      </c>
      <c r="V23" s="430" t="n">
        <f aca="false">+EES!AM22-EES!M22</f>
        <v>124848</v>
      </c>
      <c r="W23" s="441" t="n">
        <f aca="false">V23-U23</f>
        <v>89848</v>
      </c>
      <c r="X23" s="441" t="n">
        <f aca="false">X22+W23</f>
        <v>527493</v>
      </c>
      <c r="Y23" s="442"/>
      <c r="Z23" s="430" t="n">
        <f aca="false">+OCCMarkets!AC23</f>
        <v>173</v>
      </c>
      <c r="AA23" s="430" t="n">
        <f aca="false">Z23/2</f>
        <v>86.5</v>
      </c>
      <c r="AB23" s="430" t="n">
        <f aca="false">+OCCMarkets!AG23</f>
        <v>0</v>
      </c>
      <c r="AC23" s="441" t="n">
        <f aca="false">AB23-AA23</f>
        <v>-86.5</v>
      </c>
      <c r="AD23" s="441" t="n">
        <f aca="false">AD22+AC23</f>
        <v>1164</v>
      </c>
      <c r="AE23" s="442"/>
      <c r="AF23" s="430" t="n">
        <f aca="false">+OCCMarkets!AJ23</f>
        <v>9444</v>
      </c>
      <c r="AG23" s="430" t="n">
        <f aca="false">AF23/2</f>
        <v>4722</v>
      </c>
      <c r="AH23" s="430" t="n">
        <f aca="false">+OCCMarkets!AN23</f>
        <v>10787</v>
      </c>
      <c r="AI23" s="441" t="n">
        <f aca="false">AH23-AG23</f>
        <v>6065</v>
      </c>
      <c r="AJ23" s="441" t="n">
        <f aca="false">AJ22+AI23</f>
        <v>144351.5</v>
      </c>
      <c r="AK23" s="442"/>
      <c r="AL23" s="430" t="n">
        <f aca="false">+OCCMarkets!AQ23</f>
        <v>0</v>
      </c>
      <c r="AM23" s="430" t="n">
        <f aca="false">AL23/2</f>
        <v>0</v>
      </c>
      <c r="AN23" s="430" t="n">
        <f aca="false">+OCCMarkets!AU23</f>
        <v>0</v>
      </c>
      <c r="AO23" s="441" t="n">
        <f aca="false">AN23-AM23</f>
        <v>0</v>
      </c>
      <c r="AP23" s="441" t="n">
        <f aca="false">AP22+AO23</f>
        <v>0</v>
      </c>
      <c r="AQ23" s="442"/>
      <c r="AR23" s="430" t="n">
        <f aca="false">+OCCMarkets!AX23</f>
        <v>197</v>
      </c>
      <c r="AS23" s="430" t="n">
        <f aca="false">AR23/2</f>
        <v>98.5</v>
      </c>
      <c r="AT23" s="430" t="n">
        <f aca="false">+OCCMarkets!BB23</f>
        <v>0</v>
      </c>
      <c r="AU23" s="441" t="n">
        <f aca="false">AT23-AS23</f>
        <v>-98.5</v>
      </c>
      <c r="AV23" s="441" t="n">
        <f aca="false">AV22+AU23</f>
        <v>1844.5</v>
      </c>
      <c r="AW23" s="442"/>
      <c r="AX23" s="430" t="n">
        <f aca="false">+OCCMarkets!BE23</f>
        <v>306</v>
      </c>
      <c r="AY23" s="430" t="n">
        <f aca="false">AX23/2</f>
        <v>153</v>
      </c>
      <c r="AZ23" s="430" t="n">
        <f aca="false">+OCCMarkets!BI23</f>
        <v>0</v>
      </c>
      <c r="BA23" s="441" t="n">
        <f aca="false">AZ23-AY23</f>
        <v>-153</v>
      </c>
      <c r="BB23" s="441" t="n">
        <f aca="false">BB22+BA23</f>
        <v>2811</v>
      </c>
      <c r="BC23" s="442"/>
      <c r="BD23" s="437"/>
      <c r="BE23" s="441" t="n">
        <f aca="false">+B23+H23+N23+T23+Z23+AF23+AL23+AR23+AX23</f>
        <v>99662</v>
      </c>
      <c r="BF23" s="441" t="n">
        <f aca="false">+C23+I23+O23+U23+AA23+AG23+AM23+AS23+AY23</f>
        <v>49831</v>
      </c>
      <c r="BG23" s="441" t="n">
        <f aca="false">+D23+J23+P23+V23+AB23+AH23+AN23+AT23+AZ23</f>
        <v>148238</v>
      </c>
      <c r="BH23" s="441" t="n">
        <f aca="false">+E23+K23+Q23+W23+AC23+AI23+AO23+AU23+BA23</f>
        <v>98407</v>
      </c>
      <c r="BI23" s="441" t="n">
        <f aca="false">+F23+L23+R23+X23+AD23+AJ23+AP23+AV23+BB23</f>
        <v>829185</v>
      </c>
      <c r="BJ23" s="441"/>
    </row>
    <row r="24" customFormat="false" ht="12.75" hidden="false" customHeight="false" outlineLevel="0" collapsed="false">
      <c r="A24" s="438" t="n">
        <f aca="false">+BaseloadMarkets!A24</f>
        <v>36726</v>
      </c>
      <c r="B24" s="439" t="n">
        <f aca="false">+OCCMarkets!O24</f>
        <v>1773</v>
      </c>
      <c r="C24" s="440" t="n">
        <f aca="false">B24/2</f>
        <v>886.5</v>
      </c>
      <c r="D24" s="440" t="n">
        <f aca="false">+OCCMarkets!S24</f>
        <v>0</v>
      </c>
      <c r="E24" s="441" t="n">
        <f aca="false">D24-C24</f>
        <v>-886.5</v>
      </c>
      <c r="F24" s="441" t="n">
        <f aca="false">F23+E24</f>
        <v>18090</v>
      </c>
      <c r="G24" s="442"/>
      <c r="H24" s="439" t="n">
        <f aca="false">+OCCMarkets!C24</f>
        <v>16372</v>
      </c>
      <c r="I24" s="440" t="n">
        <f aca="false">H24/2</f>
        <v>8186</v>
      </c>
      <c r="J24" s="440" t="n">
        <f aca="false">+OCCMarkets!L24-OCCMarkets!H24</f>
        <v>3000</v>
      </c>
      <c r="K24" s="441" t="n">
        <f aca="false">J24-I24</f>
        <v>-5186</v>
      </c>
      <c r="L24" s="441" t="n">
        <f aca="false">L23+K24</f>
        <v>123068</v>
      </c>
      <c r="M24" s="442"/>
      <c r="N24" s="439" t="n">
        <f aca="false">+OCCMarkets!V24</f>
        <v>1285</v>
      </c>
      <c r="O24" s="440" t="n">
        <f aca="false">N24/2</f>
        <v>642.5</v>
      </c>
      <c r="P24" s="440" t="n">
        <f aca="false">+OCCMarkets!Z24</f>
        <v>0</v>
      </c>
      <c r="Q24" s="441" t="n">
        <f aca="false">P24-O24</f>
        <v>-642.5</v>
      </c>
      <c r="R24" s="441" t="n">
        <f aca="false">R23+Q24</f>
        <v>3648</v>
      </c>
      <c r="S24" s="442"/>
      <c r="T24" s="430" t="n">
        <f aca="false">+EES!C23</f>
        <v>70000</v>
      </c>
      <c r="U24" s="430" t="n">
        <f aca="false">T24/2</f>
        <v>35000</v>
      </c>
      <c r="V24" s="430" t="n">
        <f aca="false">+EES!AM23-EES!M23</f>
        <v>206536</v>
      </c>
      <c r="W24" s="441" t="n">
        <f aca="false">V24-U24</f>
        <v>171536</v>
      </c>
      <c r="X24" s="441" t="n">
        <f aca="false">X23+W24</f>
        <v>699029</v>
      </c>
      <c r="Y24" s="442"/>
      <c r="Z24" s="430" t="n">
        <f aca="false">+OCCMarkets!AC24</f>
        <v>132</v>
      </c>
      <c r="AA24" s="430" t="n">
        <f aca="false">Z24/2</f>
        <v>66</v>
      </c>
      <c r="AB24" s="430" t="n">
        <f aca="false">+OCCMarkets!AG24</f>
        <v>0</v>
      </c>
      <c r="AC24" s="441" t="n">
        <f aca="false">AB24-AA24</f>
        <v>-66</v>
      </c>
      <c r="AD24" s="441" t="n">
        <f aca="false">AD23+AC24</f>
        <v>1098</v>
      </c>
      <c r="AE24" s="442"/>
      <c r="AF24" s="430" t="n">
        <f aca="false">+OCCMarkets!AJ24</f>
        <v>9446</v>
      </c>
      <c r="AG24" s="430" t="n">
        <f aca="false">AF24/2</f>
        <v>4723</v>
      </c>
      <c r="AH24" s="430" t="n">
        <f aca="false">+OCCMarkets!AN24</f>
        <v>980</v>
      </c>
      <c r="AI24" s="441" t="n">
        <f aca="false">AH24-AG24</f>
        <v>-3743</v>
      </c>
      <c r="AJ24" s="441" t="n">
        <f aca="false">AJ23+AI24</f>
        <v>140608.5</v>
      </c>
      <c r="AK24" s="442"/>
      <c r="AL24" s="430" t="n">
        <f aca="false">+OCCMarkets!AQ24</f>
        <v>0</v>
      </c>
      <c r="AM24" s="430" t="n">
        <f aca="false">AL24/2</f>
        <v>0</v>
      </c>
      <c r="AN24" s="430" t="n">
        <f aca="false">+OCCMarkets!AU24</f>
        <v>0</v>
      </c>
      <c r="AO24" s="441" t="n">
        <f aca="false">AN24-AM24</f>
        <v>0</v>
      </c>
      <c r="AP24" s="441" t="n">
        <f aca="false">AP23+AO24</f>
        <v>0</v>
      </c>
      <c r="AQ24" s="442"/>
      <c r="AR24" s="430" t="n">
        <f aca="false">+OCCMarkets!AX24</f>
        <v>186</v>
      </c>
      <c r="AS24" s="430" t="n">
        <f aca="false">AR24/2</f>
        <v>93</v>
      </c>
      <c r="AT24" s="430" t="n">
        <f aca="false">+OCCMarkets!BB24</f>
        <v>0</v>
      </c>
      <c r="AU24" s="441" t="n">
        <f aca="false">AT24-AS24</f>
        <v>-93</v>
      </c>
      <c r="AV24" s="441" t="n">
        <f aca="false">AV23+AU24</f>
        <v>1751.5</v>
      </c>
      <c r="AW24" s="442"/>
      <c r="AX24" s="430" t="n">
        <f aca="false">+OCCMarkets!BE24</f>
        <v>262</v>
      </c>
      <c r="AY24" s="430" t="n">
        <f aca="false">AX24/2</f>
        <v>131</v>
      </c>
      <c r="AZ24" s="430" t="n">
        <f aca="false">+OCCMarkets!BI24</f>
        <v>0</v>
      </c>
      <c r="BA24" s="441" t="n">
        <f aca="false">AZ24-AY24</f>
        <v>-131</v>
      </c>
      <c r="BB24" s="441" t="n">
        <f aca="false">BB23+BA24</f>
        <v>2680</v>
      </c>
      <c r="BC24" s="442"/>
      <c r="BD24" s="437"/>
      <c r="BE24" s="441" t="n">
        <f aca="false">+B24+H24+N24+T24+Z24+AF24+AL24+AR24+AX24</f>
        <v>99456</v>
      </c>
      <c r="BF24" s="441" t="n">
        <f aca="false">+C24+I24+O24+U24+AA24+AG24+AM24+AS24+AY24</f>
        <v>49728</v>
      </c>
      <c r="BG24" s="441" t="n">
        <f aca="false">+D24+J24+P24+V24+AB24+AH24+AN24+AT24+AZ24</f>
        <v>210516</v>
      </c>
      <c r="BH24" s="441" t="n">
        <f aca="false">+E24+K24+Q24+W24+AC24+AI24+AO24+AU24+BA24</f>
        <v>160788</v>
      </c>
      <c r="BI24" s="441" t="n">
        <f aca="false">+F24+L24+R24+X24+AD24+AJ24+AP24+AV24+BB24</f>
        <v>989973</v>
      </c>
      <c r="BJ24" s="441"/>
    </row>
    <row r="25" customFormat="false" ht="12.75" hidden="false" customHeight="false" outlineLevel="0" collapsed="false">
      <c r="A25" s="438" t="n">
        <f aca="false">+BaseloadMarkets!A25</f>
        <v>36727</v>
      </c>
      <c r="B25" s="439" t="n">
        <f aca="false">+OCCMarkets!O25</f>
        <v>2234</v>
      </c>
      <c r="C25" s="440" t="n">
        <f aca="false">B25/2</f>
        <v>1117</v>
      </c>
      <c r="D25" s="440" t="n">
        <f aca="false">+OCCMarkets!S25</f>
        <v>3098</v>
      </c>
      <c r="E25" s="441" t="n">
        <f aca="false">D25-C25</f>
        <v>1981</v>
      </c>
      <c r="F25" s="441" t="n">
        <f aca="false">F24+E25</f>
        <v>20071</v>
      </c>
      <c r="G25" s="442" t="n">
        <f aca="false">SUM(E21:E25)</f>
        <v>714.5</v>
      </c>
      <c r="H25" s="439" t="n">
        <f aca="false">+OCCMarkets!C25</f>
        <v>14206</v>
      </c>
      <c r="I25" s="440" t="n">
        <f aca="false">H25/2</f>
        <v>7103</v>
      </c>
      <c r="J25" s="440" t="n">
        <f aca="false">+OCCMarkets!L25-OCCMarkets!H25</f>
        <v>2466</v>
      </c>
      <c r="K25" s="441" t="n">
        <f aca="false">J25-I25</f>
        <v>-4637</v>
      </c>
      <c r="L25" s="441" t="n">
        <f aca="false">L24+K25</f>
        <v>118431</v>
      </c>
      <c r="M25" s="442" t="n">
        <f aca="false">SUM(K21:K25)</f>
        <v>-2918</v>
      </c>
      <c r="N25" s="439" t="n">
        <f aca="false">+OCCMarkets!V25</f>
        <v>1386</v>
      </c>
      <c r="O25" s="440" t="n">
        <f aca="false">N25/2</f>
        <v>693</v>
      </c>
      <c r="P25" s="440" t="n">
        <f aca="false">+OCCMarkets!Z25</f>
        <v>964</v>
      </c>
      <c r="Q25" s="441" t="n">
        <f aca="false">P25-O25</f>
        <v>271</v>
      </c>
      <c r="R25" s="441" t="n">
        <f aca="false">R24+Q25</f>
        <v>3919</v>
      </c>
      <c r="S25" s="442" t="n">
        <f aca="false">SUM(Q21:Q25)</f>
        <v>-648.5</v>
      </c>
      <c r="T25" s="430" t="n">
        <f aca="false">+EES!C24</f>
        <v>70000</v>
      </c>
      <c r="U25" s="430" t="n">
        <f aca="false">T25/2</f>
        <v>35000</v>
      </c>
      <c r="V25" s="430" t="n">
        <f aca="false">+EES!AM24-EES!M24</f>
        <v>128109</v>
      </c>
      <c r="W25" s="441" t="n">
        <f aca="false">V25-U25</f>
        <v>93109</v>
      </c>
      <c r="X25" s="441" t="n">
        <f aca="false">X24+W25</f>
        <v>792138</v>
      </c>
      <c r="Y25" s="442" t="n">
        <f aca="false">SUM(W21:W25)</f>
        <v>426156</v>
      </c>
      <c r="Z25" s="430" t="n">
        <f aca="false">+OCCMarkets!AC25</f>
        <v>174</v>
      </c>
      <c r="AA25" s="430" t="n">
        <f aca="false">Z25/2</f>
        <v>87</v>
      </c>
      <c r="AB25" s="430" t="n">
        <f aca="false">+OCCMarkets!AG25</f>
        <v>0</v>
      </c>
      <c r="AC25" s="441" t="n">
        <f aca="false">AB25-AA25</f>
        <v>-87</v>
      </c>
      <c r="AD25" s="441" t="n">
        <f aca="false">AD24+AC25</f>
        <v>1011</v>
      </c>
      <c r="AE25" s="442" t="n">
        <f aca="false">SUM(AC21:AC25)</f>
        <v>-301.5</v>
      </c>
      <c r="AF25" s="430" t="n">
        <f aca="false">+OCCMarkets!AJ25</f>
        <v>9798</v>
      </c>
      <c r="AG25" s="430" t="n">
        <f aca="false">AF25/2</f>
        <v>4899</v>
      </c>
      <c r="AH25" s="430" t="n">
        <f aca="false">+OCCMarkets!AN25</f>
        <v>1514</v>
      </c>
      <c r="AI25" s="441" t="n">
        <f aca="false">AH25-AG25</f>
        <v>-3385</v>
      </c>
      <c r="AJ25" s="441" t="n">
        <f aca="false">AJ24+AI25</f>
        <v>137223.5</v>
      </c>
      <c r="AK25" s="442" t="n">
        <f aca="false">SUM(AI21:AI25)</f>
        <v>7797</v>
      </c>
      <c r="AL25" s="430" t="n">
        <f aca="false">+OCCMarkets!AQ25</f>
        <v>0</v>
      </c>
      <c r="AM25" s="430" t="n">
        <f aca="false">AL25/2</f>
        <v>0</v>
      </c>
      <c r="AN25" s="430" t="n">
        <f aca="false">+OCCMarkets!AU25</f>
        <v>0</v>
      </c>
      <c r="AO25" s="441" t="n">
        <f aca="false">AN25-AM25</f>
        <v>0</v>
      </c>
      <c r="AP25" s="441" t="n">
        <f aca="false">AP24+AO25</f>
        <v>0</v>
      </c>
      <c r="AQ25" s="442" t="n">
        <f aca="false">SUM(AO21:AO25)</f>
        <v>0</v>
      </c>
      <c r="AR25" s="430" t="n">
        <f aca="false">+OCCMarkets!AX25</f>
        <v>202</v>
      </c>
      <c r="AS25" s="430" t="n">
        <f aca="false">AR25/2</f>
        <v>101</v>
      </c>
      <c r="AT25" s="430" t="n">
        <f aca="false">+OCCMarkets!BB25</f>
        <v>0</v>
      </c>
      <c r="AU25" s="441" t="n">
        <f aca="false">AT25-AS25</f>
        <v>-101</v>
      </c>
      <c r="AV25" s="441" t="n">
        <f aca="false">AV24+AU25</f>
        <v>1650.5</v>
      </c>
      <c r="AW25" s="442" t="n">
        <f aca="false">SUM(AU21:AU25)</f>
        <v>-360</v>
      </c>
      <c r="AX25" s="430" t="n">
        <f aca="false">+OCCMarkets!BE25</f>
        <v>300</v>
      </c>
      <c r="AY25" s="430" t="n">
        <f aca="false">AX25/2</f>
        <v>150</v>
      </c>
      <c r="AZ25" s="430" t="n">
        <f aca="false">+OCCMarkets!BI25</f>
        <v>0</v>
      </c>
      <c r="BA25" s="441" t="n">
        <f aca="false">AZ25-AY25</f>
        <v>-150</v>
      </c>
      <c r="BB25" s="441" t="n">
        <f aca="false">BB24+BA25</f>
        <v>2530</v>
      </c>
      <c r="BC25" s="442" t="n">
        <f aca="false">SUM(BA21:BA25)</f>
        <v>-569.5</v>
      </c>
      <c r="BD25" s="437"/>
      <c r="BE25" s="441" t="n">
        <f aca="false">+B25+H25+N25+T25+Z25+AF25+AL25+AR25+AX25</f>
        <v>98300</v>
      </c>
      <c r="BF25" s="441" t="n">
        <f aca="false">+C25+I25+O25+U25+AA25+AG25+AM25+AS25+AY25</f>
        <v>49150</v>
      </c>
      <c r="BG25" s="441" t="n">
        <f aca="false">+D25+J25+P25+V25+AB25+AH25+AN25+AT25+AZ25</f>
        <v>136151</v>
      </c>
      <c r="BH25" s="441" t="n">
        <f aca="false">+E25+K25+Q25+W25+AC25+AI25+AO25+AU25+BA25</f>
        <v>87001</v>
      </c>
      <c r="BI25" s="441" t="n">
        <f aca="false">+F25+L25+R25+X25+AD25+AJ25+AP25+AV25+BB25</f>
        <v>1076974</v>
      </c>
      <c r="BJ25" s="437" t="n">
        <f aca="false">+G25+M25+S25+Y25+AE25+AK25+AQ25+AW25+BC25</f>
        <v>429870</v>
      </c>
      <c r="BK25" s="419"/>
    </row>
    <row r="26" customFormat="false" ht="12.75" hidden="false" customHeight="false" outlineLevel="0" collapsed="false">
      <c r="A26" s="438" t="n">
        <f aca="false">+BaseloadMarkets!A26</f>
        <v>36728</v>
      </c>
      <c r="B26" s="439" t="n">
        <f aca="false">+OCCMarkets!O26</f>
        <v>1896</v>
      </c>
      <c r="C26" s="440" t="n">
        <f aca="false">B26/2</f>
        <v>948</v>
      </c>
      <c r="D26" s="440" t="n">
        <f aca="false">+OCCMarkets!S26</f>
        <v>1160</v>
      </c>
      <c r="E26" s="441" t="n">
        <f aca="false">D26-C26</f>
        <v>212</v>
      </c>
      <c r="F26" s="441" t="n">
        <f aca="false">F25+E26</f>
        <v>20283</v>
      </c>
      <c r="G26" s="442"/>
      <c r="H26" s="439" t="n">
        <f aca="false">+OCCMarkets!C26</f>
        <v>12302</v>
      </c>
      <c r="I26" s="440" t="n">
        <f aca="false">H26/2</f>
        <v>6151</v>
      </c>
      <c r="J26" s="440" t="n">
        <f aca="false">+OCCMarkets!L26-OCCMarkets!H26</f>
        <v>4339</v>
      </c>
      <c r="K26" s="441" t="n">
        <f aca="false">J26-I26</f>
        <v>-1812</v>
      </c>
      <c r="L26" s="441" t="n">
        <f aca="false">L25+K26</f>
        <v>116619</v>
      </c>
      <c r="M26" s="442"/>
      <c r="N26" s="439" t="n">
        <f aca="false">+OCCMarkets!V26</f>
        <v>1320</v>
      </c>
      <c r="O26" s="440" t="n">
        <f aca="false">N26/2</f>
        <v>660</v>
      </c>
      <c r="P26" s="440" t="n">
        <f aca="false">+OCCMarkets!Z26</f>
        <v>645</v>
      </c>
      <c r="Q26" s="441" t="n">
        <f aca="false">P26-O26</f>
        <v>-15</v>
      </c>
      <c r="R26" s="441" t="n">
        <f aca="false">R25+Q26</f>
        <v>3904</v>
      </c>
      <c r="S26" s="442"/>
      <c r="T26" s="430" t="n">
        <f aca="false">+EES!C25</f>
        <v>70000</v>
      </c>
      <c r="U26" s="430" t="n">
        <f aca="false">T26/2</f>
        <v>35000</v>
      </c>
      <c r="V26" s="430" t="n">
        <f aca="false">+EES!AM25-EES!M25</f>
        <v>97323</v>
      </c>
      <c r="W26" s="441" t="n">
        <f aca="false">V26-U26</f>
        <v>62323</v>
      </c>
      <c r="X26" s="441" t="n">
        <f aca="false">X25+W26</f>
        <v>854461</v>
      </c>
      <c r="Y26" s="442"/>
      <c r="Z26" s="430" t="n">
        <f aca="false">+OCCMarkets!AC26</f>
        <v>178</v>
      </c>
      <c r="AA26" s="430" t="n">
        <f aca="false">Z26/2</f>
        <v>89</v>
      </c>
      <c r="AB26" s="430" t="n">
        <f aca="false">+OCCMarkets!AG26</f>
        <v>1289</v>
      </c>
      <c r="AC26" s="441" t="n">
        <f aca="false">AB26-AA26</f>
        <v>1200</v>
      </c>
      <c r="AD26" s="441" t="n">
        <f aca="false">AD25+AC26</f>
        <v>2211</v>
      </c>
      <c r="AE26" s="442"/>
      <c r="AF26" s="430" t="n">
        <f aca="false">+OCCMarkets!AJ26</f>
        <v>9740</v>
      </c>
      <c r="AG26" s="430" t="n">
        <f aca="false">AF26/2</f>
        <v>4870</v>
      </c>
      <c r="AH26" s="430" t="n">
        <f aca="false">+OCCMarkets!AN26</f>
        <v>2269</v>
      </c>
      <c r="AI26" s="441" t="n">
        <f aca="false">AH26-AG26</f>
        <v>-2601</v>
      </c>
      <c r="AJ26" s="441" t="n">
        <f aca="false">AJ25+AI26</f>
        <v>134622.5</v>
      </c>
      <c r="AK26" s="442"/>
      <c r="AL26" s="430" t="n">
        <f aca="false">+OCCMarkets!AQ26</f>
        <v>0</v>
      </c>
      <c r="AM26" s="430" t="n">
        <f aca="false">AL26/2</f>
        <v>0</v>
      </c>
      <c r="AN26" s="430" t="n">
        <f aca="false">+OCCMarkets!AU26</f>
        <v>0</v>
      </c>
      <c r="AO26" s="441" t="n">
        <f aca="false">AN26-AM26</f>
        <v>0</v>
      </c>
      <c r="AP26" s="441" t="n">
        <f aca="false">AP25+AO26</f>
        <v>0</v>
      </c>
      <c r="AQ26" s="442"/>
      <c r="AR26" s="430" t="n">
        <f aca="false">+OCCMarkets!AX26</f>
        <v>198</v>
      </c>
      <c r="AS26" s="430" t="n">
        <f aca="false">AR26/2</f>
        <v>99</v>
      </c>
      <c r="AT26" s="430" t="n">
        <f aca="false">+OCCMarkets!BB26</f>
        <v>1289</v>
      </c>
      <c r="AU26" s="441" t="n">
        <f aca="false">AT26-AS26</f>
        <v>1190</v>
      </c>
      <c r="AV26" s="441" t="n">
        <f aca="false">AV25+AU26</f>
        <v>2840.5</v>
      </c>
      <c r="AW26" s="442"/>
      <c r="AX26" s="430" t="n">
        <f aca="false">+OCCMarkets!BE26</f>
        <v>298</v>
      </c>
      <c r="AY26" s="430" t="n">
        <f aca="false">AX26/2</f>
        <v>149</v>
      </c>
      <c r="AZ26" s="430" t="n">
        <f aca="false">+OCCMarkets!BI26</f>
        <v>1289</v>
      </c>
      <c r="BA26" s="441" t="n">
        <f aca="false">AZ26-AY26</f>
        <v>1140</v>
      </c>
      <c r="BB26" s="441" t="n">
        <f aca="false">BB25+BA26</f>
        <v>3670</v>
      </c>
      <c r="BC26" s="442"/>
      <c r="BD26" s="437"/>
      <c r="BE26" s="441" t="n">
        <f aca="false">+B26+H26+N26+T26+Z26+AF26+AL26+AR26+AX26</f>
        <v>95932</v>
      </c>
      <c r="BF26" s="441" t="n">
        <f aca="false">+C26+I26+O26+U26+AA26+AG26+AM26+AS26+AY26</f>
        <v>47966</v>
      </c>
      <c r="BG26" s="441" t="n">
        <f aca="false">+D26+J26+P26+V26+AB26+AH26+AN26+AT26+AZ26</f>
        <v>109603</v>
      </c>
      <c r="BH26" s="441" t="n">
        <f aca="false">+E26+K26+Q26+W26+AC26+AI26+AO26+AU26+BA26</f>
        <v>61637</v>
      </c>
      <c r="BI26" s="441" t="n">
        <f aca="false">+F26+L26+R26+X26+AD26+AJ26+AP26+AV26+BB26</f>
        <v>1138611</v>
      </c>
      <c r="BJ26" s="441"/>
    </row>
    <row r="27" customFormat="false" ht="12.75" hidden="false" customHeight="false" outlineLevel="0" collapsed="false">
      <c r="A27" s="438" t="n">
        <f aca="false">+BaseloadMarkets!A27</f>
        <v>36729</v>
      </c>
      <c r="B27" s="439" t="n">
        <f aca="false">+OCCMarkets!O27</f>
        <v>2615.2</v>
      </c>
      <c r="C27" s="440" t="n">
        <f aca="false">B27/2</f>
        <v>1307.6</v>
      </c>
      <c r="D27" s="440" t="n">
        <f aca="false">+OCCMarkets!S27</f>
        <v>0</v>
      </c>
      <c r="E27" s="441" t="n">
        <f aca="false">D27-C27</f>
        <v>-1307.6</v>
      </c>
      <c r="F27" s="441" t="n">
        <f aca="false">F26+E27</f>
        <v>18975.4</v>
      </c>
      <c r="G27" s="442"/>
      <c r="H27" s="439" t="n">
        <f aca="false">+OCCMarkets!C27</f>
        <v>13994</v>
      </c>
      <c r="I27" s="440" t="n">
        <f aca="false">H27/2</f>
        <v>6997</v>
      </c>
      <c r="J27" s="440" t="n">
        <f aca="false">+OCCMarkets!L27-OCCMarkets!H27</f>
        <v>10423</v>
      </c>
      <c r="K27" s="441" t="n">
        <f aca="false">J27-I27</f>
        <v>3426</v>
      </c>
      <c r="L27" s="441" t="n">
        <f aca="false">L26+K27</f>
        <v>120045</v>
      </c>
      <c r="M27" s="442"/>
      <c r="N27" s="439" t="n">
        <f aca="false">+OCCMarkets!V27</f>
        <v>993</v>
      </c>
      <c r="O27" s="440" t="n">
        <f aca="false">N27/2</f>
        <v>496.5</v>
      </c>
      <c r="P27" s="440" t="n">
        <f aca="false">+OCCMarkets!Z27</f>
        <v>0</v>
      </c>
      <c r="Q27" s="441" t="n">
        <f aca="false">P27-O27</f>
        <v>-496.5</v>
      </c>
      <c r="R27" s="441" t="n">
        <f aca="false">R26+Q27</f>
        <v>3407.5</v>
      </c>
      <c r="S27" s="442"/>
      <c r="T27" s="430" t="n">
        <f aca="false">+EES!C26</f>
        <v>70000</v>
      </c>
      <c r="U27" s="430" t="n">
        <f aca="false">T27/2</f>
        <v>35000</v>
      </c>
      <c r="V27" s="430" t="n">
        <f aca="false">+EES!AM26-EES!M26</f>
        <v>16869</v>
      </c>
      <c r="W27" s="441" t="n">
        <f aca="false">V27-U27</f>
        <v>-18131</v>
      </c>
      <c r="X27" s="441" t="n">
        <f aca="false">X26+W27</f>
        <v>836330</v>
      </c>
      <c r="Y27" s="442"/>
      <c r="Z27" s="430" t="n">
        <f aca="false">+OCCMarkets!AC27</f>
        <v>193.9</v>
      </c>
      <c r="AA27" s="430" t="n">
        <f aca="false">Z27/2</f>
        <v>96.95</v>
      </c>
      <c r="AB27" s="430" t="n">
        <f aca="false">+OCCMarkets!AG27</f>
        <v>0</v>
      </c>
      <c r="AC27" s="441" t="n">
        <f aca="false">AB27-AA27</f>
        <v>-96.95</v>
      </c>
      <c r="AD27" s="441" t="n">
        <f aca="false">AD26+AC27</f>
        <v>2114.05</v>
      </c>
      <c r="AE27" s="442"/>
      <c r="AF27" s="430" t="n">
        <f aca="false">+OCCMarkets!AJ27</f>
        <v>9232.3</v>
      </c>
      <c r="AG27" s="430" t="n">
        <f aca="false">AF27/2</f>
        <v>4616.15</v>
      </c>
      <c r="AH27" s="430" t="n">
        <f aca="false">+OCCMarkets!AN27</f>
        <v>9253</v>
      </c>
      <c r="AI27" s="441" t="n">
        <f aca="false">AH27-AG27</f>
        <v>4636.85</v>
      </c>
      <c r="AJ27" s="441" t="n">
        <f aca="false">AJ26+AI27</f>
        <v>139259.35</v>
      </c>
      <c r="AK27" s="442"/>
      <c r="AL27" s="430" t="n">
        <f aca="false">+OCCMarkets!AQ27</f>
        <v>0</v>
      </c>
      <c r="AM27" s="430" t="n">
        <f aca="false">AL27/2</f>
        <v>0</v>
      </c>
      <c r="AN27" s="430" t="n">
        <f aca="false">+OCCMarkets!AU27</f>
        <v>0</v>
      </c>
      <c r="AO27" s="441" t="n">
        <f aca="false">AN27-AM27</f>
        <v>0</v>
      </c>
      <c r="AP27" s="441" t="n">
        <f aca="false">AP26+AO27</f>
        <v>0</v>
      </c>
      <c r="AQ27" s="442"/>
      <c r="AR27" s="430" t="n">
        <f aca="false">+OCCMarkets!AX27</f>
        <v>25.9</v>
      </c>
      <c r="AS27" s="430" t="n">
        <f aca="false">AR27/2</f>
        <v>12.95</v>
      </c>
      <c r="AT27" s="430" t="n">
        <f aca="false">+OCCMarkets!BB27</f>
        <v>0</v>
      </c>
      <c r="AU27" s="441" t="n">
        <f aca="false">AT27-AS27</f>
        <v>-12.95</v>
      </c>
      <c r="AV27" s="441" t="n">
        <f aca="false">AV26+AU27</f>
        <v>2827.55</v>
      </c>
      <c r="AW27" s="442"/>
      <c r="AX27" s="430" t="n">
        <f aca="false">+OCCMarkets!BE27</f>
        <v>168</v>
      </c>
      <c r="AY27" s="430" t="n">
        <f aca="false">AX27/2</f>
        <v>84</v>
      </c>
      <c r="AZ27" s="430" t="n">
        <f aca="false">+OCCMarkets!BI27</f>
        <v>0</v>
      </c>
      <c r="BA27" s="441" t="n">
        <f aca="false">AZ27-AY27</f>
        <v>-84</v>
      </c>
      <c r="BB27" s="441" t="n">
        <f aca="false">BB26+BA27</f>
        <v>3586</v>
      </c>
      <c r="BC27" s="442"/>
      <c r="BD27" s="437"/>
      <c r="BE27" s="441" t="n">
        <f aca="false">+B27+H27+N27+T27+Z27+AF27+AL27+AR27+AX27</f>
        <v>97222.3</v>
      </c>
      <c r="BF27" s="441" t="n">
        <f aca="false">+C27+I27+O27+U27+AA27+AG27+AM27+AS27+AY27</f>
        <v>48611.15</v>
      </c>
      <c r="BG27" s="441" t="n">
        <f aca="false">+D27+J27+P27+V27+AB27+AH27+AN27+AT27+AZ27</f>
        <v>36545</v>
      </c>
      <c r="BH27" s="441" t="n">
        <f aca="false">+E27+K27+Q27+W27+AC27+AI27+AO27+AU27+BA27</f>
        <v>-12066.15</v>
      </c>
      <c r="BI27" s="441" t="n">
        <f aca="false">+F27+L27+R27+X27+AD27+AJ27+AP27+AV27+BB27</f>
        <v>1126544.85</v>
      </c>
      <c r="BJ27" s="441"/>
    </row>
    <row r="28" customFormat="false" ht="12.75" hidden="false" customHeight="false" outlineLevel="0" collapsed="false">
      <c r="A28" s="438" t="n">
        <f aca="false">+BaseloadMarkets!A28</f>
        <v>36730</v>
      </c>
      <c r="B28" s="439" t="n">
        <f aca="false">+OCCMarkets!O28</f>
        <v>2455.9</v>
      </c>
      <c r="C28" s="440" t="n">
        <f aca="false">B28/2</f>
        <v>1227.95</v>
      </c>
      <c r="D28" s="440" t="n">
        <f aca="false">+OCCMarkets!S28</f>
        <v>0</v>
      </c>
      <c r="E28" s="441" t="n">
        <f aca="false">D28-C28</f>
        <v>-1227.95</v>
      </c>
      <c r="F28" s="441" t="n">
        <f aca="false">F27+E28</f>
        <v>17747.45</v>
      </c>
      <c r="G28" s="442"/>
      <c r="H28" s="439" t="n">
        <f aca="false">+OCCMarkets!C28</f>
        <v>14950</v>
      </c>
      <c r="I28" s="440" t="n">
        <f aca="false">H28/2</f>
        <v>7475</v>
      </c>
      <c r="J28" s="440" t="n">
        <f aca="false">+OCCMarkets!L28-OCCMarkets!H28</f>
        <v>14263</v>
      </c>
      <c r="K28" s="441" t="n">
        <f aca="false">J28-I28</f>
        <v>6788</v>
      </c>
      <c r="L28" s="441" t="n">
        <f aca="false">L27+K28</f>
        <v>126833</v>
      </c>
      <c r="M28" s="442"/>
      <c r="N28" s="439" t="n">
        <f aca="false">+OCCMarkets!V28</f>
        <v>1438</v>
      </c>
      <c r="O28" s="440" t="n">
        <f aca="false">N28/2</f>
        <v>719</v>
      </c>
      <c r="P28" s="440" t="n">
        <f aca="false">+OCCMarkets!Z28</f>
        <v>0</v>
      </c>
      <c r="Q28" s="441" t="n">
        <f aca="false">P28-O28</f>
        <v>-719</v>
      </c>
      <c r="R28" s="441" t="n">
        <f aca="false">R27+Q28</f>
        <v>2688.5</v>
      </c>
      <c r="S28" s="442"/>
      <c r="T28" s="430" t="n">
        <f aca="false">+EES!C27</f>
        <v>70000</v>
      </c>
      <c r="U28" s="430" t="n">
        <f aca="false">T28/2</f>
        <v>35000</v>
      </c>
      <c r="V28" s="430" t="n">
        <f aca="false">+EES!AM27-EES!M27</f>
        <v>16259</v>
      </c>
      <c r="W28" s="441" t="n">
        <f aca="false">V28-U28</f>
        <v>-18741</v>
      </c>
      <c r="X28" s="441" t="n">
        <f aca="false">X27+W28</f>
        <v>817589</v>
      </c>
      <c r="Y28" s="442"/>
      <c r="Z28" s="430" t="n">
        <f aca="false">+OCCMarkets!AC28</f>
        <v>27</v>
      </c>
      <c r="AA28" s="430" t="n">
        <f aca="false">Z28/2</f>
        <v>13.5</v>
      </c>
      <c r="AB28" s="430" t="n">
        <f aca="false">+OCCMarkets!AG28</f>
        <v>0</v>
      </c>
      <c r="AC28" s="441" t="n">
        <f aca="false">AB28-AA28</f>
        <v>-13.5</v>
      </c>
      <c r="AD28" s="441" t="n">
        <f aca="false">AD27+AC28</f>
        <v>2100.55</v>
      </c>
      <c r="AE28" s="442"/>
      <c r="AF28" s="430" t="n">
        <f aca="false">+OCCMarkets!AJ28</f>
        <v>9146.6</v>
      </c>
      <c r="AG28" s="430" t="n">
        <f aca="false">AF28/2</f>
        <v>4573.3</v>
      </c>
      <c r="AH28" s="430" t="n">
        <f aca="false">+OCCMarkets!AN28</f>
        <v>12662</v>
      </c>
      <c r="AI28" s="441" t="n">
        <f aca="false">AH28-AG28</f>
        <v>8088.7</v>
      </c>
      <c r="AJ28" s="441" t="n">
        <f aca="false">AJ27+AI28</f>
        <v>147348.05</v>
      </c>
      <c r="AK28" s="442"/>
      <c r="AL28" s="430" t="n">
        <f aca="false">+OCCMarkets!AQ28</f>
        <v>0</v>
      </c>
      <c r="AM28" s="430" t="n">
        <f aca="false">AL28/2</f>
        <v>0</v>
      </c>
      <c r="AN28" s="430" t="n">
        <f aca="false">+OCCMarkets!AU28</f>
        <v>0</v>
      </c>
      <c r="AO28" s="441" t="n">
        <f aca="false">AN28-AM28</f>
        <v>0</v>
      </c>
      <c r="AP28" s="441" t="n">
        <f aca="false">AP27+AO28</f>
        <v>0</v>
      </c>
      <c r="AQ28" s="442"/>
      <c r="AR28" s="430" t="n">
        <f aca="false">+OCCMarkets!AX28</f>
        <v>23.2</v>
      </c>
      <c r="AS28" s="430" t="n">
        <f aca="false">AR28/2</f>
        <v>11.6</v>
      </c>
      <c r="AT28" s="430" t="n">
        <f aca="false">+OCCMarkets!BB28</f>
        <v>0</v>
      </c>
      <c r="AU28" s="441" t="n">
        <f aca="false">AT28-AS28</f>
        <v>-11.6</v>
      </c>
      <c r="AV28" s="441" t="n">
        <f aca="false">AV27+AU28</f>
        <v>2815.95</v>
      </c>
      <c r="AW28" s="442"/>
      <c r="AX28" s="430" t="n">
        <f aca="false">+OCCMarkets!BE28</f>
        <v>0</v>
      </c>
      <c r="AY28" s="430" t="n">
        <f aca="false">AX28/2</f>
        <v>0</v>
      </c>
      <c r="AZ28" s="430" t="n">
        <f aca="false">+OCCMarkets!BI28</f>
        <v>0</v>
      </c>
      <c r="BA28" s="441" t="n">
        <f aca="false">AZ28-AY28</f>
        <v>0</v>
      </c>
      <c r="BB28" s="441" t="n">
        <f aca="false">BB27+BA28</f>
        <v>3586</v>
      </c>
      <c r="BC28" s="442"/>
      <c r="BD28" s="437"/>
      <c r="BE28" s="441" t="n">
        <f aca="false">+B28+H28+N28+T28+Z28+AF28+AL28+AR28+AX28</f>
        <v>98040.7</v>
      </c>
      <c r="BF28" s="441" t="n">
        <f aca="false">+C28+I28+O28+U28+AA28+AG28+AM28+AS28+AY28</f>
        <v>49020.35</v>
      </c>
      <c r="BG28" s="441" t="n">
        <f aca="false">+D28+J28+P28+V28+AB28+AH28+AN28+AT28+AZ28</f>
        <v>43184</v>
      </c>
      <c r="BH28" s="441" t="n">
        <f aca="false">+E28+K28+Q28+W28+AC28+AI28+AO28+AU28+BA28</f>
        <v>-5836.35</v>
      </c>
      <c r="BI28" s="441" t="n">
        <f aca="false">+F28+L28+R28+X28+AD28+AJ28+AP28+AV28+BB28</f>
        <v>1120708.5</v>
      </c>
      <c r="BJ28" s="441"/>
    </row>
    <row r="29" customFormat="false" ht="12.75" hidden="false" customHeight="false" outlineLevel="0" collapsed="false">
      <c r="A29" s="438" t="n">
        <f aca="false">+BaseloadMarkets!A29</f>
        <v>36731</v>
      </c>
      <c r="B29" s="439" t="n">
        <f aca="false">+OCCMarkets!O29</f>
        <v>2305.5</v>
      </c>
      <c r="C29" s="440" t="n">
        <f aca="false">B29/2</f>
        <v>1152.75</v>
      </c>
      <c r="D29" s="440" t="n">
        <f aca="false">+OCCMarkets!S29</f>
        <v>0</v>
      </c>
      <c r="E29" s="441" t="n">
        <f aca="false">D29-C29</f>
        <v>-1152.75</v>
      </c>
      <c r="F29" s="441" t="n">
        <f aca="false">F28+E29</f>
        <v>16594.7</v>
      </c>
      <c r="G29" s="442"/>
      <c r="H29" s="439" t="n">
        <f aca="false">+OCCMarkets!C29</f>
        <v>15963</v>
      </c>
      <c r="I29" s="440" t="n">
        <f aca="false">H29/2</f>
        <v>7981.5</v>
      </c>
      <c r="J29" s="440" t="n">
        <f aca="false">+OCCMarkets!L29-OCCMarkets!H29</f>
        <v>11141</v>
      </c>
      <c r="K29" s="441" t="n">
        <f aca="false">J29-I29</f>
        <v>3159.5</v>
      </c>
      <c r="L29" s="441" t="n">
        <f aca="false">L28+K29</f>
        <v>129992.5</v>
      </c>
      <c r="M29" s="442"/>
      <c r="N29" s="439" t="n">
        <f aca="false">+OCCMarkets!V29</f>
        <v>424</v>
      </c>
      <c r="O29" s="440" t="n">
        <f aca="false">N29/2</f>
        <v>212</v>
      </c>
      <c r="P29" s="440" t="n">
        <f aca="false">+OCCMarkets!Z29</f>
        <v>0</v>
      </c>
      <c r="Q29" s="441" t="n">
        <f aca="false">P29-O29</f>
        <v>-212</v>
      </c>
      <c r="R29" s="441" t="n">
        <f aca="false">R28+Q29</f>
        <v>2476.5</v>
      </c>
      <c r="S29" s="442"/>
      <c r="T29" s="430" t="n">
        <f aca="false">+EES!C28</f>
        <v>70000</v>
      </c>
      <c r="U29" s="430" t="n">
        <f aca="false">T29/2</f>
        <v>35000</v>
      </c>
      <c r="V29" s="430" t="n">
        <f aca="false">+EES!AM28-EES!M28</f>
        <v>63346</v>
      </c>
      <c r="W29" s="441" t="n">
        <f aca="false">V29-U29</f>
        <v>28346</v>
      </c>
      <c r="X29" s="441" t="n">
        <f aca="false">X28+W29</f>
        <v>845935</v>
      </c>
      <c r="Y29" s="442"/>
      <c r="Z29" s="430" t="n">
        <f aca="false">+OCCMarkets!AC29</f>
        <v>143.5</v>
      </c>
      <c r="AA29" s="430" t="n">
        <f aca="false">Z29/2</f>
        <v>71.75</v>
      </c>
      <c r="AB29" s="430" t="n">
        <f aca="false">+OCCMarkets!AG29</f>
        <v>0</v>
      </c>
      <c r="AC29" s="441" t="n">
        <f aca="false">AB29-AA29</f>
        <v>-71.75</v>
      </c>
      <c r="AD29" s="441" t="n">
        <f aca="false">AD28+AC29</f>
        <v>2028.8</v>
      </c>
      <c r="AE29" s="442"/>
      <c r="AF29" s="430" t="n">
        <f aca="false">+OCCMarkets!AJ29</f>
        <v>9274.1</v>
      </c>
      <c r="AG29" s="430" t="n">
        <f aca="false">AF29/2</f>
        <v>4637.05</v>
      </c>
      <c r="AH29" s="430" t="n">
        <f aca="false">+OCCMarkets!AN29</f>
        <v>9891</v>
      </c>
      <c r="AI29" s="441" t="n">
        <f aca="false">AH29-AG29</f>
        <v>5253.95</v>
      </c>
      <c r="AJ29" s="441" t="n">
        <f aca="false">AJ28+AI29</f>
        <v>152602</v>
      </c>
      <c r="AK29" s="442"/>
      <c r="AL29" s="430" t="n">
        <f aca="false">+OCCMarkets!AQ29</f>
        <v>0</v>
      </c>
      <c r="AM29" s="430" t="n">
        <f aca="false">AL29/2</f>
        <v>0</v>
      </c>
      <c r="AN29" s="430" t="n">
        <f aca="false">+OCCMarkets!AU29</f>
        <v>0</v>
      </c>
      <c r="AO29" s="441" t="n">
        <f aca="false">AN29-AM29</f>
        <v>0</v>
      </c>
      <c r="AP29" s="441" t="n">
        <f aca="false">AP28+AO29</f>
        <v>0</v>
      </c>
      <c r="AQ29" s="442"/>
      <c r="AR29" s="430" t="n">
        <f aca="false">+OCCMarkets!AX29</f>
        <v>191.4</v>
      </c>
      <c r="AS29" s="430" t="n">
        <f aca="false">AR29/2</f>
        <v>95.7</v>
      </c>
      <c r="AT29" s="430" t="n">
        <f aca="false">+OCCMarkets!BB29</f>
        <v>0</v>
      </c>
      <c r="AU29" s="441" t="n">
        <f aca="false">AT29-AS29</f>
        <v>-95.7</v>
      </c>
      <c r="AV29" s="441" t="n">
        <f aca="false">AV28+AU29</f>
        <v>2720.25</v>
      </c>
      <c r="AW29" s="442"/>
      <c r="AX29" s="430" t="n">
        <f aca="false">+OCCMarkets!BE29</f>
        <v>225.5</v>
      </c>
      <c r="AY29" s="430" t="n">
        <f aca="false">AX29/2</f>
        <v>112.75</v>
      </c>
      <c r="AZ29" s="430" t="n">
        <f aca="false">+OCCMarkets!BI29</f>
        <v>0</v>
      </c>
      <c r="BA29" s="441" t="n">
        <f aca="false">AZ29-AY29</f>
        <v>-112.75</v>
      </c>
      <c r="BB29" s="441" t="n">
        <f aca="false">BB28+BA29</f>
        <v>3473.25</v>
      </c>
      <c r="BC29" s="442"/>
      <c r="BD29" s="437"/>
      <c r="BE29" s="441" t="n">
        <f aca="false">+B29+H29+N29+T29+Z29+AF29+AL29+AR29+AX29</f>
        <v>98527</v>
      </c>
      <c r="BF29" s="441" t="n">
        <f aca="false">+C29+I29+O29+U29+AA29+AG29+AM29+AS29+AY29</f>
        <v>49263.5</v>
      </c>
      <c r="BG29" s="441" t="n">
        <f aca="false">+D29+J29+P29+V29+AB29+AH29+AN29+AT29+AZ29</f>
        <v>84378</v>
      </c>
      <c r="BH29" s="441" t="n">
        <f aca="false">+E29+K29+Q29+W29+AC29+AI29+AO29+AU29+BA29</f>
        <v>35114.5</v>
      </c>
      <c r="BI29" s="441" t="n">
        <f aca="false">+F29+L29+R29+X29+AD29+AJ29+AP29+AV29+BB29</f>
        <v>1155823</v>
      </c>
      <c r="BJ29" s="441"/>
    </row>
    <row r="30" customFormat="false" ht="12.75" hidden="false" customHeight="false" outlineLevel="0" collapsed="false">
      <c r="A30" s="438" t="n">
        <f aca="false">+BaseloadMarkets!A30</f>
        <v>36732</v>
      </c>
      <c r="B30" s="439" t="n">
        <f aca="false">+OCCMarkets!O30</f>
        <v>1959.9</v>
      </c>
      <c r="C30" s="440" t="n">
        <f aca="false">B30/2</f>
        <v>979.95</v>
      </c>
      <c r="D30" s="440" t="n">
        <f aca="false">+OCCMarkets!S30</f>
        <v>2000</v>
      </c>
      <c r="E30" s="441" t="n">
        <f aca="false">D30-C30</f>
        <v>1020.05</v>
      </c>
      <c r="F30" s="441" t="n">
        <f aca="false">F29+E30</f>
        <v>17614.75</v>
      </c>
      <c r="G30" s="442" t="n">
        <f aca="false">SUM(E26:E30)</f>
        <v>-2456.25</v>
      </c>
      <c r="H30" s="439" t="n">
        <f aca="false">+OCCMarkets!C30</f>
        <v>16517</v>
      </c>
      <c r="I30" s="440" t="n">
        <f aca="false">H30/2</f>
        <v>8258.5</v>
      </c>
      <c r="J30" s="440" t="n">
        <f aca="false">+OCCMarkets!L30-OCCMarkets!H30</f>
        <v>9826</v>
      </c>
      <c r="K30" s="441" t="n">
        <f aca="false">J30-I30</f>
        <v>1567.5</v>
      </c>
      <c r="L30" s="441" t="n">
        <f aca="false">L29+K30</f>
        <v>131560</v>
      </c>
      <c r="M30" s="442" t="n">
        <f aca="false">SUM(K26:K30)</f>
        <v>13129</v>
      </c>
      <c r="N30" s="439" t="n">
        <f aca="false">+OCCMarkets!V30</f>
        <v>29.3</v>
      </c>
      <c r="O30" s="440" t="n">
        <f aca="false">N30/2</f>
        <v>14.65</v>
      </c>
      <c r="P30" s="440" t="n">
        <f aca="false">+OCCMarkets!Z30</f>
        <v>2000</v>
      </c>
      <c r="Q30" s="441" t="n">
        <f aca="false">P30-O30</f>
        <v>1985.35</v>
      </c>
      <c r="R30" s="441" t="n">
        <f aca="false">R29+Q30</f>
        <v>4461.85</v>
      </c>
      <c r="S30" s="442" t="n">
        <f aca="false">SUM(Q26:Q30)</f>
        <v>542.85</v>
      </c>
      <c r="T30" s="430" t="n">
        <f aca="false">+EES!C29</f>
        <v>70000</v>
      </c>
      <c r="U30" s="430" t="n">
        <f aca="false">T30/2</f>
        <v>35000</v>
      </c>
      <c r="V30" s="430" t="n">
        <f aca="false">+EES!AM29-EES!M29</f>
        <v>10534</v>
      </c>
      <c r="W30" s="441" t="n">
        <f aca="false">V30-U30</f>
        <v>-24466</v>
      </c>
      <c r="X30" s="441" t="n">
        <f aca="false">X29+W30</f>
        <v>821469</v>
      </c>
      <c r="Y30" s="442" t="n">
        <f aca="false">SUM(W26:W30)</f>
        <v>29331</v>
      </c>
      <c r="Z30" s="430" t="n">
        <f aca="false">+OCCMarkets!AC30</f>
        <v>180.6</v>
      </c>
      <c r="AA30" s="430" t="n">
        <f aca="false">Z30/2</f>
        <v>90.3</v>
      </c>
      <c r="AB30" s="430" t="n">
        <f aca="false">+OCCMarkets!AG30</f>
        <v>0</v>
      </c>
      <c r="AC30" s="441" t="n">
        <f aca="false">AB30-AA30</f>
        <v>-90.3</v>
      </c>
      <c r="AD30" s="441" t="n">
        <f aca="false">AD29+AC30</f>
        <v>1938.5</v>
      </c>
      <c r="AE30" s="442" t="n">
        <f aca="false">SUM(AC26:AC30)</f>
        <v>927.5</v>
      </c>
      <c r="AF30" s="430" t="n">
        <f aca="false">+OCCMarkets!AJ30</f>
        <v>9303.8</v>
      </c>
      <c r="AG30" s="430" t="n">
        <f aca="false">AF30/2</f>
        <v>4651.9</v>
      </c>
      <c r="AH30" s="430" t="n">
        <f aca="false">+OCCMarkets!AN30</f>
        <v>7363</v>
      </c>
      <c r="AI30" s="441" t="n">
        <f aca="false">AH30-AG30</f>
        <v>2711.1</v>
      </c>
      <c r="AJ30" s="441" t="n">
        <f aca="false">AJ29+AI30</f>
        <v>155313.1</v>
      </c>
      <c r="AK30" s="442" t="n">
        <f aca="false">SUM(AI26:AI30)</f>
        <v>18089.6</v>
      </c>
      <c r="AL30" s="430" t="n">
        <f aca="false">+OCCMarkets!AQ30</f>
        <v>0</v>
      </c>
      <c r="AM30" s="430" t="n">
        <f aca="false">AL30/2</f>
        <v>0</v>
      </c>
      <c r="AN30" s="430" t="n">
        <f aca="false">+OCCMarkets!AU30</f>
        <v>0</v>
      </c>
      <c r="AO30" s="441" t="n">
        <f aca="false">AN30-AM30</f>
        <v>0</v>
      </c>
      <c r="AP30" s="441" t="n">
        <f aca="false">AP29+AO30</f>
        <v>0</v>
      </c>
      <c r="AQ30" s="442" t="n">
        <f aca="false">SUM(AO26:AO30)</f>
        <v>0</v>
      </c>
      <c r="AR30" s="430" t="n">
        <f aca="false">+OCCMarkets!AX30</f>
        <v>202.7</v>
      </c>
      <c r="AS30" s="430" t="n">
        <f aca="false">AR30/2</f>
        <v>101.35</v>
      </c>
      <c r="AT30" s="430" t="n">
        <f aca="false">+OCCMarkets!BB30</f>
        <v>0</v>
      </c>
      <c r="AU30" s="441" t="n">
        <f aca="false">AT30-AS30</f>
        <v>-101.35</v>
      </c>
      <c r="AV30" s="441" t="n">
        <f aca="false">AV29+AU30</f>
        <v>2618.9</v>
      </c>
      <c r="AW30" s="442" t="n">
        <f aca="false">SUM(AU26:AU30)</f>
        <v>968.4</v>
      </c>
      <c r="AX30" s="430" t="n">
        <f aca="false">+OCCMarkets!BE30</f>
        <v>311.6</v>
      </c>
      <c r="AY30" s="430" t="n">
        <f aca="false">AX30/2</f>
        <v>155.8</v>
      </c>
      <c r="AZ30" s="430" t="n">
        <f aca="false">+OCCMarkets!BI30</f>
        <v>0</v>
      </c>
      <c r="BA30" s="441" t="n">
        <f aca="false">AZ30-AY30</f>
        <v>-155.8</v>
      </c>
      <c r="BB30" s="441" t="n">
        <f aca="false">BB29+BA30</f>
        <v>3317.45</v>
      </c>
      <c r="BC30" s="442" t="n">
        <f aca="false">SUM(BA26:BA30)</f>
        <v>787.45</v>
      </c>
      <c r="BD30" s="437"/>
      <c r="BE30" s="441" t="n">
        <f aca="false">+B30+H30+N30+T30+Z30+AF30+AL30+AR30+AX30</f>
        <v>98504.9</v>
      </c>
      <c r="BF30" s="441" t="n">
        <f aca="false">+C30+I30+O30+U30+AA30+AG30+AM30+AS30+AY30</f>
        <v>49252.45</v>
      </c>
      <c r="BG30" s="441" t="n">
        <f aca="false">+D30+J30+P30+V30+AB30+AH30+AN30+AT30+AZ30</f>
        <v>31723</v>
      </c>
      <c r="BH30" s="441" t="n">
        <f aca="false">+E30+K30+Q30+W30+AC30+AI30+AO30+AU30+BA30</f>
        <v>-17529.45</v>
      </c>
      <c r="BI30" s="441" t="n">
        <f aca="false">+F30+L30+R30+X30+AD30+AJ30+AP30+AV30+BB30</f>
        <v>1138293.55</v>
      </c>
      <c r="BJ30" s="437" t="n">
        <f aca="false">+G30+M30+S30+Y30+AE30+AK30+AQ30+AW30+BC30</f>
        <v>61319.55</v>
      </c>
      <c r="BK30" s="419"/>
    </row>
    <row r="31" customFormat="false" ht="12.75" hidden="false" customHeight="false" outlineLevel="0" collapsed="false">
      <c r="A31" s="438" t="n">
        <f aca="false">+BaseloadMarkets!A31</f>
        <v>36733</v>
      </c>
      <c r="B31" s="439" t="n">
        <f aca="false">+OCCMarkets!O31</f>
        <v>1757</v>
      </c>
      <c r="C31" s="440" t="n">
        <f aca="false">B31/2</f>
        <v>878.5</v>
      </c>
      <c r="D31" s="440" t="n">
        <f aca="false">+OCCMarkets!S31</f>
        <v>0</v>
      </c>
      <c r="E31" s="441" t="n">
        <f aca="false">D31-C31</f>
        <v>-878.5</v>
      </c>
      <c r="F31" s="441" t="n">
        <f aca="false">F30+E31</f>
        <v>16736.25</v>
      </c>
      <c r="G31" s="442"/>
      <c r="H31" s="439" t="n">
        <f aca="false">+OCCMarkets!C31</f>
        <v>17199</v>
      </c>
      <c r="I31" s="440" t="n">
        <f aca="false">H31/2</f>
        <v>8599.5</v>
      </c>
      <c r="J31" s="440" t="n">
        <f aca="false">+OCCMarkets!L31-OCCMarkets!H31</f>
        <v>3000</v>
      </c>
      <c r="K31" s="441" t="n">
        <f aca="false">J31-I31</f>
        <v>-5599.5</v>
      </c>
      <c r="L31" s="441" t="n">
        <f aca="false">L30+K31</f>
        <v>125960.5</v>
      </c>
      <c r="M31" s="442"/>
      <c r="N31" s="439" t="n">
        <f aca="false">+OCCMarkets!V31</f>
        <v>717</v>
      </c>
      <c r="O31" s="440" t="n">
        <f aca="false">N31/2</f>
        <v>358.5</v>
      </c>
      <c r="P31" s="440" t="n">
        <f aca="false">+OCCMarkets!Z31</f>
        <v>0</v>
      </c>
      <c r="Q31" s="441" t="n">
        <f aca="false">P31-O31</f>
        <v>-358.5</v>
      </c>
      <c r="R31" s="441" t="n">
        <f aca="false">R30+Q31</f>
        <v>4103.35</v>
      </c>
      <c r="S31" s="442"/>
      <c r="T31" s="430" t="n">
        <f aca="false">+EES!C30</f>
        <v>70000</v>
      </c>
      <c r="U31" s="430" t="n">
        <f aca="false">T31/2</f>
        <v>35000</v>
      </c>
      <c r="V31" s="430" t="n">
        <f aca="false">+EES!AM30-EES!M30</f>
        <v>134291</v>
      </c>
      <c r="W31" s="441" t="n">
        <f aca="false">V31-U31</f>
        <v>99291</v>
      </c>
      <c r="X31" s="441" t="n">
        <f aca="false">X30+W31</f>
        <v>920760</v>
      </c>
      <c r="Y31" s="442"/>
      <c r="Z31" s="430" t="n">
        <f aca="false">+OCCMarkets!AC31</f>
        <v>189</v>
      </c>
      <c r="AA31" s="430" t="n">
        <f aca="false">Z31/2</f>
        <v>94.5</v>
      </c>
      <c r="AB31" s="430" t="n">
        <f aca="false">+OCCMarkets!AG31</f>
        <v>0</v>
      </c>
      <c r="AC31" s="441" t="n">
        <f aca="false">AB31-AA31</f>
        <v>-94.5</v>
      </c>
      <c r="AD31" s="441" t="n">
        <f aca="false">AD30+AC31</f>
        <v>1844</v>
      </c>
      <c r="AE31" s="442"/>
      <c r="AF31" s="430" t="n">
        <f aca="false">+OCCMarkets!AJ31</f>
        <v>9267</v>
      </c>
      <c r="AG31" s="430" t="n">
        <f aca="false">AF31/2</f>
        <v>4633.5</v>
      </c>
      <c r="AH31" s="430" t="n">
        <f aca="false">+OCCMarkets!AN31</f>
        <v>6414</v>
      </c>
      <c r="AI31" s="441" t="n">
        <f aca="false">AH31-AG31</f>
        <v>1780.5</v>
      </c>
      <c r="AJ31" s="441" t="n">
        <f aca="false">AJ30+AI31</f>
        <v>157093.6</v>
      </c>
      <c r="AK31" s="442"/>
      <c r="AL31" s="430" t="n">
        <f aca="false">+OCCMarkets!AQ31</f>
        <v>0</v>
      </c>
      <c r="AM31" s="430" t="n">
        <f aca="false">AL31/2</f>
        <v>0</v>
      </c>
      <c r="AN31" s="430" t="n">
        <f aca="false">+OCCMarkets!AU31</f>
        <v>0</v>
      </c>
      <c r="AO31" s="441" t="n">
        <f aca="false">AN31-AM31</f>
        <v>0</v>
      </c>
      <c r="AP31" s="441" t="n">
        <f aca="false">AP30+AO31</f>
        <v>0</v>
      </c>
      <c r="AQ31" s="442"/>
      <c r="AR31" s="430" t="n">
        <f aca="false">+OCCMarkets!AX31</f>
        <v>200</v>
      </c>
      <c r="AS31" s="430" t="n">
        <f aca="false">AR31/2</f>
        <v>100</v>
      </c>
      <c r="AT31" s="430" t="n">
        <f aca="false">+OCCMarkets!BB31</f>
        <v>0</v>
      </c>
      <c r="AU31" s="441" t="n">
        <f aca="false">AT31-AS31</f>
        <v>-100</v>
      </c>
      <c r="AV31" s="441" t="n">
        <f aca="false">AV30+AU31</f>
        <v>2518.9</v>
      </c>
      <c r="AW31" s="442"/>
      <c r="AX31" s="430" t="n">
        <f aca="false">+OCCMarkets!BE31</f>
        <v>303</v>
      </c>
      <c r="AY31" s="430" t="n">
        <f aca="false">AX31/2</f>
        <v>151.5</v>
      </c>
      <c r="AZ31" s="430" t="n">
        <f aca="false">+OCCMarkets!BI31</f>
        <v>0</v>
      </c>
      <c r="BA31" s="441" t="n">
        <f aca="false">AZ31-AY31</f>
        <v>-151.5</v>
      </c>
      <c r="BB31" s="441" t="n">
        <f aca="false">BB30+BA31</f>
        <v>3165.95</v>
      </c>
      <c r="BC31" s="442"/>
      <c r="BD31" s="437"/>
      <c r="BE31" s="441" t="n">
        <f aca="false">+B31+H31+N31+T31+Z31+AF31+AL31+AR31+AX31</f>
        <v>99632</v>
      </c>
      <c r="BF31" s="441" t="n">
        <f aca="false">+C31+I31+O31+U31+AA31+AG31+AM31+AS31+AY31</f>
        <v>49816</v>
      </c>
      <c r="BG31" s="441" t="n">
        <f aca="false">+D31+J31+P31+V31+AB31+AH31+AN31+AT31+AZ31</f>
        <v>143705</v>
      </c>
      <c r="BH31" s="441" t="n">
        <f aca="false">+E31+K31+Q31+W31+AC31+AI31+AO31+AU31+BA31</f>
        <v>93889</v>
      </c>
      <c r="BI31" s="441" t="n">
        <f aca="false">+F31+L31+R31+X31+AD31+AJ31+AP31+AV31+BB31</f>
        <v>1232182.55</v>
      </c>
      <c r="BJ31" s="441"/>
    </row>
    <row r="32" customFormat="false" ht="12.75" hidden="false" customHeight="false" outlineLevel="0" collapsed="false">
      <c r="A32" s="438" t="n">
        <f aca="false">+BaseloadMarkets!A32</f>
        <v>36734</v>
      </c>
      <c r="B32" s="439" t="n">
        <f aca="false">+OCCMarkets!O32</f>
        <v>2445</v>
      </c>
      <c r="C32" s="440" t="n">
        <f aca="false">B32/2</f>
        <v>1222.5</v>
      </c>
      <c r="D32" s="440" t="n">
        <f aca="false">+OCCMarkets!S32</f>
        <v>0</v>
      </c>
      <c r="E32" s="441" t="n">
        <f aca="false">D32-C32</f>
        <v>-1222.5</v>
      </c>
      <c r="F32" s="441" t="n">
        <f aca="false">F31+E32</f>
        <v>15513.75</v>
      </c>
      <c r="G32" s="442"/>
      <c r="H32" s="439" t="n">
        <f aca="false">+OCCMarkets!C32</f>
        <v>17642</v>
      </c>
      <c r="I32" s="440" t="n">
        <f aca="false">H32/2</f>
        <v>8821</v>
      </c>
      <c r="J32" s="440" t="n">
        <f aca="false">+OCCMarkets!L32-OCCMarkets!H32</f>
        <v>7595</v>
      </c>
      <c r="K32" s="441" t="n">
        <f aca="false">J32-I32</f>
        <v>-1226</v>
      </c>
      <c r="L32" s="441" t="n">
        <f aca="false">L31+K32</f>
        <v>124734.5</v>
      </c>
      <c r="M32" s="442"/>
      <c r="N32" s="439" t="n">
        <f aca="false">+OCCMarkets!V32</f>
        <v>936</v>
      </c>
      <c r="O32" s="440" t="n">
        <f aca="false">N32/2</f>
        <v>468</v>
      </c>
      <c r="P32" s="440" t="n">
        <f aca="false">+OCCMarkets!Z32</f>
        <v>0</v>
      </c>
      <c r="Q32" s="441" t="n">
        <f aca="false">P32-O32</f>
        <v>-468</v>
      </c>
      <c r="R32" s="441" t="n">
        <f aca="false">R31+Q32</f>
        <v>3635.35</v>
      </c>
      <c r="S32" s="442"/>
      <c r="T32" s="430" t="n">
        <f aca="false">+EES!C31</f>
        <v>70000</v>
      </c>
      <c r="U32" s="430" t="n">
        <f aca="false">T32/2</f>
        <v>35000</v>
      </c>
      <c r="V32" s="430" t="n">
        <f aca="false">+EES!AM31-EES!M31</f>
        <v>63876</v>
      </c>
      <c r="W32" s="441" t="n">
        <f aca="false">V32-U32</f>
        <v>28876</v>
      </c>
      <c r="X32" s="441" t="n">
        <f aca="false">X31+W32</f>
        <v>949636</v>
      </c>
      <c r="Y32" s="442"/>
      <c r="Z32" s="430" t="n">
        <f aca="false">+OCCMarkets!AC32</f>
        <v>183</v>
      </c>
      <c r="AA32" s="430" t="n">
        <f aca="false">Z32/2</f>
        <v>91.5</v>
      </c>
      <c r="AB32" s="430" t="n">
        <f aca="false">+OCCMarkets!AG32</f>
        <v>0</v>
      </c>
      <c r="AC32" s="441" t="n">
        <f aca="false">AB32-AA32</f>
        <v>-91.5</v>
      </c>
      <c r="AD32" s="441" t="n">
        <f aca="false">AD31+AC32</f>
        <v>1752.5</v>
      </c>
      <c r="AE32" s="442"/>
      <c r="AF32" s="430" t="n">
        <f aca="false">+OCCMarkets!AJ32</f>
        <v>9338</v>
      </c>
      <c r="AG32" s="430" t="n">
        <f aca="false">AF32/2</f>
        <v>4669</v>
      </c>
      <c r="AH32" s="430" t="n">
        <f aca="false">+OCCMarkets!AN32</f>
        <v>12122</v>
      </c>
      <c r="AI32" s="441" t="n">
        <f aca="false">AH32-AG32</f>
        <v>7453</v>
      </c>
      <c r="AJ32" s="441" t="n">
        <f aca="false">AJ31+AI32</f>
        <v>164546.6</v>
      </c>
      <c r="AK32" s="442"/>
      <c r="AL32" s="430" t="n">
        <f aca="false">+OCCMarkets!AQ32</f>
        <v>0</v>
      </c>
      <c r="AM32" s="430" t="n">
        <f aca="false">AL32/2</f>
        <v>0</v>
      </c>
      <c r="AN32" s="430" t="n">
        <f aca="false">+OCCMarkets!AU32</f>
        <v>0</v>
      </c>
      <c r="AO32" s="441" t="n">
        <f aca="false">AN32-AM32</f>
        <v>0</v>
      </c>
      <c r="AP32" s="441" t="n">
        <f aca="false">AP31+AO32</f>
        <v>0</v>
      </c>
      <c r="AQ32" s="442"/>
      <c r="AR32" s="430" t="n">
        <f aca="false">+OCCMarkets!AX32</f>
        <v>204</v>
      </c>
      <c r="AS32" s="430" t="n">
        <f aca="false">AR32/2</f>
        <v>102</v>
      </c>
      <c r="AT32" s="430" t="n">
        <f aca="false">+OCCMarkets!BB32</f>
        <v>0</v>
      </c>
      <c r="AU32" s="441" t="n">
        <f aca="false">AT32-AS32</f>
        <v>-102</v>
      </c>
      <c r="AV32" s="441" t="n">
        <f aca="false">AV31+AU32</f>
        <v>2416.9</v>
      </c>
      <c r="AW32" s="442"/>
      <c r="AX32" s="430" t="n">
        <f aca="false">+OCCMarkets!BE32</f>
        <v>287</v>
      </c>
      <c r="AY32" s="430" t="n">
        <f aca="false">AX32/2</f>
        <v>143.5</v>
      </c>
      <c r="AZ32" s="430" t="n">
        <f aca="false">+OCCMarkets!BI32</f>
        <v>0</v>
      </c>
      <c r="BA32" s="441" t="n">
        <f aca="false">AZ32-AY32</f>
        <v>-143.5</v>
      </c>
      <c r="BB32" s="441" t="n">
        <f aca="false">BB31+BA32</f>
        <v>3022.45</v>
      </c>
      <c r="BC32" s="442"/>
      <c r="BD32" s="437"/>
      <c r="BE32" s="441" t="n">
        <f aca="false">+B32+H32+N32+T32+Z32+AF32+AL32+AR32+AX32</f>
        <v>101035</v>
      </c>
      <c r="BF32" s="441" t="n">
        <f aca="false">+C32+I32+O32+U32+AA32+AG32+AM32+AS32+AY32</f>
        <v>50517.5</v>
      </c>
      <c r="BG32" s="441" t="n">
        <f aca="false">+D32+J32+P32+V32+AB32+AH32+AN32+AT32+AZ32</f>
        <v>83593</v>
      </c>
      <c r="BH32" s="441" t="n">
        <f aca="false">+E32+K32+Q32+W32+AC32+AI32+AO32+AU32+BA32</f>
        <v>33075.5</v>
      </c>
      <c r="BI32" s="441" t="n">
        <f aca="false">+F32+L32+R32+X32+AD32+AJ32+AP32+AV32+BB32</f>
        <v>1265258.05</v>
      </c>
      <c r="BJ32" s="441"/>
    </row>
    <row r="33" customFormat="false" ht="12.75" hidden="false" customHeight="false" outlineLevel="0" collapsed="false">
      <c r="A33" s="438" t="n">
        <f aca="false">+BaseloadMarkets!A33</f>
        <v>36735</v>
      </c>
      <c r="B33" s="439" t="n">
        <f aca="false">+OCCMarkets!O33</f>
        <v>1899</v>
      </c>
      <c r="C33" s="440" t="n">
        <f aca="false">B33/2</f>
        <v>949.5</v>
      </c>
      <c r="D33" s="440" t="n">
        <f aca="false">+OCCMarkets!S33</f>
        <v>20000</v>
      </c>
      <c r="E33" s="441" t="n">
        <f aca="false">D33-C33</f>
        <v>19050.5</v>
      </c>
      <c r="F33" s="441" t="n">
        <f aca="false">F32+E33</f>
        <v>34564.25</v>
      </c>
      <c r="G33" s="442"/>
      <c r="H33" s="439" t="n">
        <f aca="false">+OCCMarkets!C33</f>
        <v>20457</v>
      </c>
      <c r="I33" s="440" t="n">
        <f aca="false">H33/2</f>
        <v>10228.5</v>
      </c>
      <c r="J33" s="440" t="n">
        <f aca="false">+OCCMarkets!L33-OCCMarkets!H33</f>
        <v>11774</v>
      </c>
      <c r="K33" s="441" t="n">
        <f aca="false">J33-I33</f>
        <v>1545.5</v>
      </c>
      <c r="L33" s="441" t="n">
        <f aca="false">L32+K33</f>
        <v>126280</v>
      </c>
      <c r="M33" s="442"/>
      <c r="N33" s="439" t="n">
        <f aca="false">+OCCMarkets!V33</f>
        <v>1247</v>
      </c>
      <c r="O33" s="440" t="n">
        <f aca="false">N33/2</f>
        <v>623.5</v>
      </c>
      <c r="P33" s="440" t="n">
        <f aca="false">+OCCMarkets!Z33</f>
        <v>1826</v>
      </c>
      <c r="Q33" s="441" t="n">
        <f aca="false">P33-O33</f>
        <v>1202.5</v>
      </c>
      <c r="R33" s="441" t="n">
        <f aca="false">R32+Q33</f>
        <v>4837.85</v>
      </c>
      <c r="S33" s="442"/>
      <c r="T33" s="430" t="n">
        <f aca="false">+EES!C32</f>
        <v>70000</v>
      </c>
      <c r="U33" s="430" t="n">
        <f aca="false">T33/2</f>
        <v>35000</v>
      </c>
      <c r="V33" s="430" t="n">
        <f aca="false">+EES!AM32-EES!M32</f>
        <v>112141</v>
      </c>
      <c r="W33" s="441" t="n">
        <f aca="false">V33-U33</f>
        <v>77141</v>
      </c>
      <c r="X33" s="441" t="n">
        <f aca="false">X32+W33</f>
        <v>1026777</v>
      </c>
      <c r="Y33" s="442"/>
      <c r="Z33" s="430" t="n">
        <f aca="false">+OCCMarkets!AC33</f>
        <v>194</v>
      </c>
      <c r="AA33" s="430" t="n">
        <f aca="false">Z33/2</f>
        <v>97</v>
      </c>
      <c r="AB33" s="430" t="n">
        <f aca="false">+OCCMarkets!AG33</f>
        <v>0</v>
      </c>
      <c r="AC33" s="441" t="n">
        <f aca="false">AB33-AA33</f>
        <v>-97</v>
      </c>
      <c r="AD33" s="441" t="n">
        <f aca="false">AD32+AC33</f>
        <v>1655.5</v>
      </c>
      <c r="AE33" s="442"/>
      <c r="AF33" s="430" t="n">
        <f aca="false">+OCCMarkets!AJ33</f>
        <v>9493</v>
      </c>
      <c r="AG33" s="430" t="n">
        <f aca="false">AF33/2</f>
        <v>4746.5</v>
      </c>
      <c r="AH33" s="430" t="n">
        <f aca="false">+OCCMarkets!AN33</f>
        <v>22696</v>
      </c>
      <c r="AI33" s="441" t="n">
        <f aca="false">AH33-AG33</f>
        <v>17949.5</v>
      </c>
      <c r="AJ33" s="441" t="n">
        <f aca="false">AJ32+AI33</f>
        <v>182496.1</v>
      </c>
      <c r="AK33" s="442"/>
      <c r="AL33" s="430" t="n">
        <f aca="false">+OCCMarkets!AQ33</f>
        <v>0</v>
      </c>
      <c r="AM33" s="430" t="n">
        <f aca="false">AL33/2</f>
        <v>0</v>
      </c>
      <c r="AN33" s="430" t="n">
        <f aca="false">+OCCMarkets!AU33</f>
        <v>0</v>
      </c>
      <c r="AO33" s="441" t="n">
        <f aca="false">AN33-AM33</f>
        <v>0</v>
      </c>
      <c r="AP33" s="441" t="n">
        <f aca="false">AP32+AO33</f>
        <v>0</v>
      </c>
      <c r="AQ33" s="442"/>
      <c r="AR33" s="430" t="n">
        <f aca="false">+OCCMarkets!AX33</f>
        <v>198</v>
      </c>
      <c r="AS33" s="430" t="n">
        <f aca="false">AR33/2</f>
        <v>99</v>
      </c>
      <c r="AT33" s="430" t="n">
        <f aca="false">+OCCMarkets!BB33</f>
        <v>0</v>
      </c>
      <c r="AU33" s="441" t="n">
        <f aca="false">AT33-AS33</f>
        <v>-99</v>
      </c>
      <c r="AV33" s="441" t="n">
        <f aca="false">AV32+AU33</f>
        <v>2317.9</v>
      </c>
      <c r="AW33" s="442"/>
      <c r="AX33" s="430" t="n">
        <f aca="false">+OCCMarkets!BE33</f>
        <v>313</v>
      </c>
      <c r="AY33" s="430" t="n">
        <f aca="false">AX33/2</f>
        <v>156.5</v>
      </c>
      <c r="AZ33" s="430" t="n">
        <f aca="false">+OCCMarkets!BI33</f>
        <v>0</v>
      </c>
      <c r="BA33" s="441" t="n">
        <f aca="false">AZ33-AY33</f>
        <v>-156.5</v>
      </c>
      <c r="BB33" s="441" t="n">
        <f aca="false">BB32+BA33</f>
        <v>2865.95</v>
      </c>
      <c r="BC33" s="442"/>
      <c r="BD33" s="437"/>
      <c r="BE33" s="441" t="n">
        <f aca="false">+B33+H33+N33+T33+Z33+AF33+AL33+AR33+AX33</f>
        <v>103801</v>
      </c>
      <c r="BF33" s="441" t="n">
        <f aca="false">+C33+I33+O33+U33+AA33+AG33+AM33+AS33+AY33</f>
        <v>51900.5</v>
      </c>
      <c r="BG33" s="441" t="n">
        <f aca="false">+D33+J33+P33+V33+AB33+AH33+AN33+AT33+AZ33</f>
        <v>168437</v>
      </c>
      <c r="BH33" s="441" t="n">
        <f aca="false">+E33+K33+Q33+W33+AC33+AI33+AO33+AU33+BA33</f>
        <v>116536.5</v>
      </c>
      <c r="BI33" s="441" t="n">
        <f aca="false">+F33+L33+R33+X33+AD33+AJ33+AP33+AV33+BB33</f>
        <v>1381794.55</v>
      </c>
      <c r="BJ33" s="441"/>
    </row>
    <row r="34" customFormat="false" ht="12.75" hidden="false" customHeight="false" outlineLevel="0" collapsed="false">
      <c r="A34" s="438" t="n">
        <f aca="false">+BaseloadMarkets!A34</f>
        <v>36736</v>
      </c>
      <c r="B34" s="439" t="n">
        <f aca="false">+OCCMarkets!O34</f>
        <v>2631</v>
      </c>
      <c r="C34" s="440" t="n">
        <f aca="false">B34/2</f>
        <v>1315.5</v>
      </c>
      <c r="D34" s="440" t="n">
        <f aca="false">+OCCMarkets!S34</f>
        <v>0</v>
      </c>
      <c r="E34" s="441" t="n">
        <f aca="false">D34-C34</f>
        <v>-1315.5</v>
      </c>
      <c r="F34" s="441" t="n">
        <f aca="false">F33+E34</f>
        <v>33248.75</v>
      </c>
      <c r="G34" s="442"/>
      <c r="H34" s="439" t="n">
        <f aca="false">+OCCMarkets!C34</f>
        <v>12636</v>
      </c>
      <c r="I34" s="440" t="n">
        <f aca="false">H34/2</f>
        <v>6318</v>
      </c>
      <c r="J34" s="440" t="n">
        <f aca="false">+OCCMarkets!L34-OCCMarkets!H34</f>
        <v>12308</v>
      </c>
      <c r="K34" s="441" t="n">
        <f aca="false">J34-I34</f>
        <v>5990</v>
      </c>
      <c r="L34" s="441" t="n">
        <f aca="false">L33+K34</f>
        <v>132270</v>
      </c>
      <c r="M34" s="442"/>
      <c r="N34" s="439" t="n">
        <f aca="false">+OCCMarkets!V34</f>
        <v>556</v>
      </c>
      <c r="O34" s="440" t="n">
        <f aca="false">N34/2</f>
        <v>278</v>
      </c>
      <c r="P34" s="440" t="n">
        <f aca="false">+OCCMarkets!Z34</f>
        <v>7231</v>
      </c>
      <c r="Q34" s="441" t="n">
        <f aca="false">P34-O34</f>
        <v>6953</v>
      </c>
      <c r="R34" s="441" t="n">
        <f aca="false">R33+Q34</f>
        <v>11790.85</v>
      </c>
      <c r="S34" s="442"/>
      <c r="T34" s="430" t="n">
        <f aca="false">+EES!C33</f>
        <v>70000</v>
      </c>
      <c r="U34" s="430" t="n">
        <f aca="false">T34/2</f>
        <v>35000</v>
      </c>
      <c r="V34" s="430" t="n">
        <f aca="false">+EES!AM33-EES!M33</f>
        <v>58954</v>
      </c>
      <c r="W34" s="441" t="n">
        <f aca="false">V34-U34</f>
        <v>23954</v>
      </c>
      <c r="X34" s="441" t="n">
        <f aca="false">X33+W34</f>
        <v>1050731</v>
      </c>
      <c r="Y34" s="442"/>
      <c r="Z34" s="430" t="n">
        <f aca="false">+OCCMarkets!AC34</f>
        <v>158</v>
      </c>
      <c r="AA34" s="430" t="n">
        <f aca="false">Z34/2</f>
        <v>79</v>
      </c>
      <c r="AB34" s="430" t="n">
        <f aca="false">+OCCMarkets!AG34</f>
        <v>818</v>
      </c>
      <c r="AC34" s="441" t="n">
        <f aca="false">AB34-AA34</f>
        <v>739</v>
      </c>
      <c r="AD34" s="441" t="n">
        <f aca="false">AD33+AC34</f>
        <v>2394.5</v>
      </c>
      <c r="AE34" s="442"/>
      <c r="AF34" s="430" t="n">
        <f aca="false">+OCCMarkets!AJ34</f>
        <v>9183</v>
      </c>
      <c r="AG34" s="430" t="n">
        <f aca="false">AF34/2</f>
        <v>4591.5</v>
      </c>
      <c r="AH34" s="430" t="n">
        <f aca="false">+OCCMarkets!AN34</f>
        <v>0</v>
      </c>
      <c r="AI34" s="441" t="n">
        <f aca="false">AH34-AG34</f>
        <v>-4591.5</v>
      </c>
      <c r="AJ34" s="441" t="n">
        <f aca="false">AJ33+AI34</f>
        <v>177904.6</v>
      </c>
      <c r="AK34" s="442"/>
      <c r="AL34" s="430" t="n">
        <f aca="false">+OCCMarkets!AQ34</f>
        <v>0</v>
      </c>
      <c r="AM34" s="430" t="n">
        <f aca="false">AL34/2</f>
        <v>0</v>
      </c>
      <c r="AN34" s="430" t="n">
        <f aca="false">+OCCMarkets!AU34</f>
        <v>0</v>
      </c>
      <c r="AO34" s="441" t="n">
        <f aca="false">AN34-AM34</f>
        <v>0</v>
      </c>
      <c r="AP34" s="441" t="n">
        <f aca="false">AP33+AO34</f>
        <v>0</v>
      </c>
      <c r="AQ34" s="442"/>
      <c r="AR34" s="430" t="n">
        <f aca="false">+OCCMarkets!AX34</f>
        <v>26</v>
      </c>
      <c r="AS34" s="430" t="n">
        <f aca="false">AR34/2</f>
        <v>13</v>
      </c>
      <c r="AT34" s="430" t="n">
        <f aca="false">+OCCMarkets!BB34</f>
        <v>608</v>
      </c>
      <c r="AU34" s="441" t="n">
        <f aca="false">AT34-AS34</f>
        <v>595</v>
      </c>
      <c r="AV34" s="441" t="n">
        <f aca="false">AV33+AU34</f>
        <v>2912.9</v>
      </c>
      <c r="AW34" s="442"/>
      <c r="AX34" s="430" t="n">
        <f aca="false">+OCCMarkets!BE34</f>
        <v>500</v>
      </c>
      <c r="AY34" s="430" t="n">
        <f aca="false">AX34/2</f>
        <v>250</v>
      </c>
      <c r="AZ34" s="430" t="n">
        <f aca="false">+OCCMarkets!BI34</f>
        <v>818</v>
      </c>
      <c r="BA34" s="441" t="n">
        <f aca="false">AZ34-AY34</f>
        <v>568</v>
      </c>
      <c r="BB34" s="441" t="n">
        <f aca="false">BB33+BA34</f>
        <v>3433.95</v>
      </c>
      <c r="BC34" s="442"/>
      <c r="BD34" s="437"/>
      <c r="BE34" s="441" t="n">
        <f aca="false">+B34+H34+N34+T34+Z34+AF34+AL34+AR34+AX34</f>
        <v>95690</v>
      </c>
      <c r="BF34" s="441" t="n">
        <f aca="false">+C34+I34+O34+U34+AA34+AG34+AM34+AS34+AY34</f>
        <v>47845</v>
      </c>
      <c r="BG34" s="441" t="n">
        <f aca="false">+D34+J34+P34+V34+AB34+AH34+AN34+AT34+AZ34</f>
        <v>80737</v>
      </c>
      <c r="BH34" s="441" t="n">
        <f aca="false">+E34+K34+Q34+W34+AC34+AI34+AO34+AU34+BA34</f>
        <v>32892</v>
      </c>
      <c r="BI34" s="441" t="n">
        <f aca="false">+F34+L34+R34+X34+AD34+AJ34+AP34+AV34+BB34</f>
        <v>1414686.55</v>
      </c>
      <c r="BJ34" s="441"/>
    </row>
    <row r="35" customFormat="false" ht="12.75" hidden="false" customHeight="false" outlineLevel="0" collapsed="false">
      <c r="A35" s="438" t="n">
        <f aca="false">+BaseloadMarkets!A35</f>
        <v>36737</v>
      </c>
      <c r="B35" s="439" t="n">
        <f aca="false">+OCCMarkets!O35</f>
        <v>2026</v>
      </c>
      <c r="C35" s="440" t="n">
        <f aca="false">B35/2</f>
        <v>1013</v>
      </c>
      <c r="D35" s="440" t="n">
        <f aca="false">+OCCMarkets!S35</f>
        <v>6658</v>
      </c>
      <c r="E35" s="441" t="n">
        <f aca="false">D35-C35</f>
        <v>5645</v>
      </c>
      <c r="F35" s="441" t="n">
        <f aca="false">F34+E35</f>
        <v>38893.75</v>
      </c>
      <c r="G35" s="442"/>
      <c r="H35" s="439" t="n">
        <f aca="false">+OCCMarkets!C35</f>
        <v>10674</v>
      </c>
      <c r="I35" s="440" t="n">
        <f aca="false">H35/2</f>
        <v>5337</v>
      </c>
      <c r="J35" s="440" t="n">
        <f aca="false">+OCCMarkets!L35-OCCMarkets!H35</f>
        <v>21972</v>
      </c>
      <c r="K35" s="441" t="n">
        <f aca="false">J35-I35</f>
        <v>16635</v>
      </c>
      <c r="L35" s="441" t="n">
        <f aca="false">L34+K35</f>
        <v>148905</v>
      </c>
      <c r="M35" s="442"/>
      <c r="N35" s="439" t="n">
        <f aca="false">+OCCMarkets!V35</f>
        <v>0</v>
      </c>
      <c r="O35" s="440" t="n">
        <f aca="false">N35/2</f>
        <v>0</v>
      </c>
      <c r="P35" s="440" t="n">
        <f aca="false">+OCCMarkets!Z35</f>
        <v>7704</v>
      </c>
      <c r="Q35" s="441" t="n">
        <f aca="false">P35-O35</f>
        <v>7704</v>
      </c>
      <c r="R35" s="441" t="n">
        <f aca="false">R34+Q35</f>
        <v>19494.85</v>
      </c>
      <c r="S35" s="442"/>
      <c r="T35" s="430" t="n">
        <f aca="false">+EES!C34</f>
        <v>70000</v>
      </c>
      <c r="U35" s="430" t="n">
        <f aca="false">T35/2</f>
        <v>35000</v>
      </c>
      <c r="V35" s="430" t="n">
        <f aca="false">+EES!AM34-EES!M34</f>
        <v>54766</v>
      </c>
      <c r="W35" s="441" t="n">
        <f aca="false">V35-U35</f>
        <v>19766</v>
      </c>
      <c r="X35" s="441" t="n">
        <f aca="false">X34+W35</f>
        <v>1070497</v>
      </c>
      <c r="Y35" s="442"/>
      <c r="Z35" s="430" t="n">
        <f aca="false">+OCCMarkets!AC35</f>
        <v>38</v>
      </c>
      <c r="AA35" s="430" t="n">
        <f aca="false">Z35/2</f>
        <v>19</v>
      </c>
      <c r="AB35" s="430" t="n">
        <f aca="false">+OCCMarkets!AG35</f>
        <v>1296</v>
      </c>
      <c r="AC35" s="441" t="n">
        <f aca="false">AB35-AA35</f>
        <v>1277</v>
      </c>
      <c r="AD35" s="441" t="n">
        <f aca="false">AD34+AC35</f>
        <v>3671.5</v>
      </c>
      <c r="AE35" s="442"/>
      <c r="AF35" s="430" t="n">
        <f aca="false">+OCCMarkets!AJ35</f>
        <v>8858</v>
      </c>
      <c r="AG35" s="430" t="n">
        <f aca="false">AF35/2</f>
        <v>4429</v>
      </c>
      <c r="AH35" s="430" t="n">
        <f aca="false">+OCCMarkets!AN35</f>
        <v>5950</v>
      </c>
      <c r="AI35" s="441" t="n">
        <f aca="false">AH35-AG35</f>
        <v>1521</v>
      </c>
      <c r="AJ35" s="441" t="n">
        <f aca="false">AJ34+AI35</f>
        <v>179425.6</v>
      </c>
      <c r="AK35" s="442"/>
      <c r="AL35" s="430" t="n">
        <f aca="false">+OCCMarkets!AQ35</f>
        <v>0</v>
      </c>
      <c r="AM35" s="430" t="n">
        <f aca="false">AL35/2</f>
        <v>0</v>
      </c>
      <c r="AN35" s="430" t="n">
        <f aca="false">+OCCMarkets!AU35</f>
        <v>0</v>
      </c>
      <c r="AO35" s="441" t="n">
        <f aca="false">AN35-AM35</f>
        <v>0</v>
      </c>
      <c r="AP35" s="441" t="n">
        <f aca="false">AP34+AO35</f>
        <v>0</v>
      </c>
      <c r="AQ35" s="442" t="n">
        <f aca="false">SUM(AO31:AO35)</f>
        <v>0</v>
      </c>
      <c r="AR35" s="430" t="n">
        <f aca="false">+OCCMarkets!AX35</f>
        <v>0</v>
      </c>
      <c r="AS35" s="430" t="n">
        <f aca="false">AR35/2</f>
        <v>0</v>
      </c>
      <c r="AT35" s="430" t="n">
        <f aca="false">+OCCMarkets!BB35</f>
        <v>1071</v>
      </c>
      <c r="AU35" s="441" t="n">
        <f aca="false">AT35-AS35</f>
        <v>1071</v>
      </c>
      <c r="AV35" s="441" t="n">
        <f aca="false">AV34+AU35</f>
        <v>3983.9</v>
      </c>
      <c r="AW35" s="442"/>
      <c r="AX35" s="430" t="n">
        <f aca="false">+OCCMarkets!BE35</f>
        <v>500</v>
      </c>
      <c r="AY35" s="430" t="n">
        <f aca="false">AX35/2</f>
        <v>250</v>
      </c>
      <c r="AZ35" s="430" t="n">
        <f aca="false">+OCCMarkets!BI35</f>
        <v>1296</v>
      </c>
      <c r="BA35" s="441" t="n">
        <f aca="false">AZ35-AY35</f>
        <v>1046</v>
      </c>
      <c r="BB35" s="441" t="n">
        <f aca="false">BB34+BA35</f>
        <v>4479.95</v>
      </c>
      <c r="BC35" s="442"/>
      <c r="BD35" s="437"/>
      <c r="BE35" s="441" t="n">
        <f aca="false">+B35+H35+N35+T35+Z35+AF35+AL35+AR35+AX35</f>
        <v>92096</v>
      </c>
      <c r="BF35" s="441" t="n">
        <f aca="false">+C35+I35+O35+U35+AA35+AG35+AM35+AS35+AY35</f>
        <v>46048</v>
      </c>
      <c r="BG35" s="441" t="n">
        <f aca="false">+D35+J35+P35+V35+AB35+AH35+AN35+AT35+AZ35</f>
        <v>100713</v>
      </c>
      <c r="BH35" s="441" t="n">
        <f aca="false">+E35+K35+Q35+W35+AC35+AI35+AO35+AU35+BA35</f>
        <v>54665</v>
      </c>
      <c r="BI35" s="441" t="n">
        <f aca="false">+F35+L35+R35+X35+AD35+AJ35+AP35+AV35+BB35</f>
        <v>1469351.55</v>
      </c>
      <c r="BJ35" s="442" t="n">
        <f aca="false">SUM(BH31:BH35)</f>
        <v>331058</v>
      </c>
    </row>
    <row r="36" customFormat="false" ht="13.5" hidden="false" customHeight="false" outlineLevel="0" collapsed="false">
      <c r="A36" s="438" t="n">
        <f aca="false">+BaseloadMarkets!A36</f>
        <v>36738</v>
      </c>
      <c r="B36" s="439" t="n">
        <f aca="false">+OCCMarkets!O36</f>
        <v>2567</v>
      </c>
      <c r="C36" s="440" t="n">
        <f aca="false">B36/2</f>
        <v>1283.5</v>
      </c>
      <c r="D36" s="440" t="n">
        <f aca="false">+OCCMarkets!S36</f>
        <v>7389</v>
      </c>
      <c r="E36" s="441" t="n">
        <f aca="false">D36-C36</f>
        <v>6105.5</v>
      </c>
      <c r="F36" s="441" t="n">
        <f aca="false">F35+E36</f>
        <v>44999.25</v>
      </c>
      <c r="G36" s="442"/>
      <c r="H36" s="439" t="n">
        <f aca="false">+OCCMarkets!C36</f>
        <v>19318</v>
      </c>
      <c r="I36" s="440" t="n">
        <f aca="false">H36/2</f>
        <v>9659</v>
      </c>
      <c r="J36" s="440" t="n">
        <f aca="false">+OCCMarkets!L36-OCCMarkets!H36</f>
        <v>35869</v>
      </c>
      <c r="K36" s="441" t="n">
        <f aca="false">J36-I36</f>
        <v>26210</v>
      </c>
      <c r="L36" s="441" t="n">
        <f aca="false">L35+K36</f>
        <v>175115</v>
      </c>
      <c r="M36" s="442"/>
      <c r="N36" s="439" t="n">
        <f aca="false">+OCCMarkets!V36</f>
        <v>0</v>
      </c>
      <c r="O36" s="440" t="n">
        <f aca="false">N36/2</f>
        <v>0</v>
      </c>
      <c r="P36" s="440" t="n">
        <f aca="false">+OCCMarkets!Z36</f>
        <v>7715</v>
      </c>
      <c r="Q36" s="441" t="n">
        <f aca="false">P36-O36</f>
        <v>7715</v>
      </c>
      <c r="R36" s="441" t="n">
        <f aca="false">R35+Q36</f>
        <v>27209.85</v>
      </c>
      <c r="S36" s="442"/>
      <c r="T36" s="430" t="n">
        <f aca="false">+EES!C35</f>
        <v>70000</v>
      </c>
      <c r="U36" s="430" t="n">
        <f aca="false">T36/2</f>
        <v>35000</v>
      </c>
      <c r="V36" s="430" t="n">
        <f aca="false">+EES!AM35-EES!M35</f>
        <v>44427</v>
      </c>
      <c r="W36" s="441" t="n">
        <f aca="false">V36-U36</f>
        <v>9427</v>
      </c>
      <c r="X36" s="441" t="n">
        <f aca="false">X35+W36</f>
        <v>1079924</v>
      </c>
      <c r="Y36" s="442"/>
      <c r="Z36" s="430" t="n">
        <f aca="false">+OCCMarkets!AC36</f>
        <v>81</v>
      </c>
      <c r="AA36" s="430" t="n">
        <f aca="false">Z36/2</f>
        <v>40.5</v>
      </c>
      <c r="AB36" s="430" t="n">
        <f aca="false">+OCCMarkets!AG36</f>
        <v>1297</v>
      </c>
      <c r="AC36" s="441" t="n">
        <f aca="false">AB36-AA36</f>
        <v>1256.5</v>
      </c>
      <c r="AD36" s="441" t="n">
        <f aca="false">AD35+AC36</f>
        <v>4928</v>
      </c>
      <c r="AE36" s="442"/>
      <c r="AF36" s="430" t="n">
        <f aca="false">+OCCMarkets!AJ36</f>
        <v>9078</v>
      </c>
      <c r="AG36" s="430" t="n">
        <f aca="false">AF36/2</f>
        <v>4539</v>
      </c>
      <c r="AH36" s="430" t="n">
        <f aca="false">+OCCMarkets!AN36</f>
        <v>6603</v>
      </c>
      <c r="AI36" s="441" t="n">
        <f aca="false">AH36-AG36</f>
        <v>2064</v>
      </c>
      <c r="AJ36" s="441" t="n">
        <f aca="false">AJ35+AI36</f>
        <v>181489.6</v>
      </c>
      <c r="AK36" s="442"/>
      <c r="AL36" s="430" t="n">
        <f aca="false">+OCCMarkets!AQ36</f>
        <v>0</v>
      </c>
      <c r="AM36" s="430" t="n">
        <f aca="false">AL36/2</f>
        <v>0</v>
      </c>
      <c r="AN36" s="430" t="n">
        <f aca="false">+OCCMarkets!AU36</f>
        <v>0</v>
      </c>
      <c r="AO36" s="441" t="n">
        <f aca="false">AN36-AM36</f>
        <v>0</v>
      </c>
      <c r="AP36" s="441" t="n">
        <f aca="false">AP35+AO36</f>
        <v>0</v>
      </c>
      <c r="AQ36" s="442" t="n">
        <f aca="false">SUM(AO32:AO36)</f>
        <v>0</v>
      </c>
      <c r="AR36" s="430" t="n">
        <f aca="false">+OCCMarkets!AX36</f>
        <v>118</v>
      </c>
      <c r="AS36" s="430" t="n">
        <f aca="false">AR36/2</f>
        <v>59</v>
      </c>
      <c r="AT36" s="430" t="n">
        <f aca="false">+OCCMarkets!BB36</f>
        <v>1071</v>
      </c>
      <c r="AU36" s="441" t="n">
        <f aca="false">AT36-AS36</f>
        <v>1012</v>
      </c>
      <c r="AV36" s="441" t="n">
        <f aca="false">AV35+AU36</f>
        <v>4995.9</v>
      </c>
      <c r="AW36" s="442"/>
      <c r="AX36" s="430" t="n">
        <f aca="false">+OCCMarkets!BE36</f>
        <v>500</v>
      </c>
      <c r="AY36" s="430" t="n">
        <f aca="false">AX36/2</f>
        <v>250</v>
      </c>
      <c r="AZ36" s="430" t="n">
        <f aca="false">+OCCMarkets!BI36</f>
        <v>1297</v>
      </c>
      <c r="BA36" s="441" t="n">
        <f aca="false">AZ36-AY36</f>
        <v>1047</v>
      </c>
      <c r="BB36" s="441" t="n">
        <f aca="false">BB35+BA36</f>
        <v>5526.95</v>
      </c>
      <c r="BC36" s="442"/>
      <c r="BD36" s="437"/>
      <c r="BE36" s="441" t="n">
        <f aca="false">+B36+H36+N36+T36+Z36+AF36+AL36+AR36+AX36</f>
        <v>101662</v>
      </c>
      <c r="BF36" s="441" t="n">
        <f aca="false">+C36+I36+O36+U36+AA36+AG36+AM36+AS36+AY36</f>
        <v>50831</v>
      </c>
      <c r="BG36" s="441" t="n">
        <f aca="false">+D36+J36+P36+V36+AB36+AH36+AN36+AT36+AZ36</f>
        <v>105668</v>
      </c>
      <c r="BH36" s="441" t="n">
        <f aca="false">+E36+K36+Q36+W36+AC36+AI36+AO36+AU36+BA36</f>
        <v>54837</v>
      </c>
      <c r="BI36" s="441" t="n">
        <f aca="false">+F36+L36+R36+X36+AD36+AJ36+AP36+AV36+BB36</f>
        <v>1524188.55</v>
      </c>
      <c r="BJ36" s="442" t="n">
        <f aca="false">SUM(BH32:BH36)</f>
        <v>292006</v>
      </c>
    </row>
    <row r="37" customFormat="false" ht="13.5" hidden="false" customHeight="false" outlineLevel="0" collapsed="false">
      <c r="A37" s="420"/>
      <c r="B37" s="443" t="n">
        <f aca="false">SUM(B6:B36)</f>
        <v>62695.5</v>
      </c>
      <c r="C37" s="443" t="n">
        <f aca="false">SUM(C6:C36)</f>
        <v>31347.75</v>
      </c>
      <c r="D37" s="443" t="n">
        <f aca="false">SUM(D6:D36)</f>
        <v>76347</v>
      </c>
      <c r="E37" s="444" t="n">
        <f aca="false">SUM(E6:E36)</f>
        <v>44999.25</v>
      </c>
      <c r="F37" s="444" t="n">
        <f aca="false">F36</f>
        <v>44999.25</v>
      </c>
      <c r="H37" s="443" t="n">
        <f aca="false">SUM(H6:H36)</f>
        <v>315254</v>
      </c>
      <c r="I37" s="443" t="n">
        <f aca="false">SUM(I6:I36)</f>
        <v>157627</v>
      </c>
      <c r="J37" s="443" t="n">
        <f aca="false">SUM(J6:J36)</f>
        <v>332742</v>
      </c>
      <c r="K37" s="444" t="n">
        <f aca="false">SUM(K6:K36)</f>
        <v>175115</v>
      </c>
      <c r="L37" s="444" t="n">
        <f aca="false">L36</f>
        <v>175115</v>
      </c>
      <c r="N37" s="443" t="n">
        <f aca="false">SUM(N6:N36)</f>
        <v>33504.3</v>
      </c>
      <c r="O37" s="443" t="n">
        <f aca="false">SUM(O6:O36)</f>
        <v>16752.15</v>
      </c>
      <c r="P37" s="443" t="n">
        <f aca="false">SUM(P6:P36)</f>
        <v>43962</v>
      </c>
      <c r="Q37" s="444" t="n">
        <f aca="false">SUM(Q6:Q36)</f>
        <v>27209.85</v>
      </c>
      <c r="R37" s="444" t="n">
        <f aca="false">R36</f>
        <v>27209.85</v>
      </c>
      <c r="T37" s="443" t="n">
        <f aca="false">SUM(T6:T36)</f>
        <v>2170000</v>
      </c>
      <c r="U37" s="443" t="n">
        <f aca="false">SUM(U6:U36)</f>
        <v>1085000</v>
      </c>
      <c r="V37" s="443" t="n">
        <f aca="false">SUM(V6:V36)</f>
        <v>2164924</v>
      </c>
      <c r="W37" s="444" t="n">
        <f aca="false">SUM(W6:W36)</f>
        <v>1079924</v>
      </c>
      <c r="X37" s="444" t="n">
        <f aca="false">X36</f>
        <v>1079924</v>
      </c>
      <c r="Z37" s="443" t="n">
        <f aca="false">SUM(Z6:Z36)</f>
        <v>4250</v>
      </c>
      <c r="AA37" s="443" t="n">
        <f aca="false">SUM(AA6:AA36)</f>
        <v>2125</v>
      </c>
      <c r="AB37" s="443" t="n">
        <f aca="false">SUM(AB6:AB36)</f>
        <v>7053</v>
      </c>
      <c r="AC37" s="444" t="n">
        <f aca="false">SUM(AC6:AC36)</f>
        <v>4928</v>
      </c>
      <c r="AD37" s="444" t="n">
        <f aca="false">AD36</f>
        <v>4928</v>
      </c>
      <c r="AF37" s="443" t="n">
        <f aca="false">SUM(AF6:AF36)</f>
        <v>276982.8</v>
      </c>
      <c r="AG37" s="443" t="n">
        <f aca="false">SUM(AG6:AG36)</f>
        <v>138491.4</v>
      </c>
      <c r="AH37" s="443" t="n">
        <f aca="false">SUM(AH6:AH36)</f>
        <v>319981</v>
      </c>
      <c r="AI37" s="444" t="n">
        <f aca="false">SUM(AI6:AI36)</f>
        <v>181489.6</v>
      </c>
      <c r="AJ37" s="444" t="n">
        <f aca="false">AJ36</f>
        <v>181489.6</v>
      </c>
      <c r="AL37" s="443" t="n">
        <f aca="false">SUM(AL6:AL36)</f>
        <v>0</v>
      </c>
      <c r="AM37" s="443" t="n">
        <f aca="false">SUM(AM6:AM36)</f>
        <v>0</v>
      </c>
      <c r="AN37" s="443" t="n">
        <f aca="false">SUM(AN6:AN36)</f>
        <v>0</v>
      </c>
      <c r="AO37" s="444" t="n">
        <f aca="false">SUM(AO6:AO36)</f>
        <v>0</v>
      </c>
      <c r="AP37" s="444" t="n">
        <f aca="false">AP36</f>
        <v>0</v>
      </c>
      <c r="AR37" s="443" t="n">
        <f aca="false">SUM(AR6:AR36)</f>
        <v>3842.2</v>
      </c>
      <c r="AS37" s="443" t="n">
        <f aca="false">SUM(AS6:AS36)</f>
        <v>1921.1</v>
      </c>
      <c r="AT37" s="443" t="n">
        <f aca="false">SUM(AT6:AT36)</f>
        <v>6917</v>
      </c>
      <c r="AU37" s="444" t="n">
        <f aca="false">SUM(AU6:AU36)</f>
        <v>4995.9</v>
      </c>
      <c r="AV37" s="444" t="n">
        <f aca="false">AV36</f>
        <v>4995.9</v>
      </c>
      <c r="AX37" s="443" t="n">
        <f aca="false">SUM(AX6:AX36)</f>
        <v>7450.1</v>
      </c>
      <c r="AY37" s="443" t="n">
        <f aca="false">SUM(AY6:AY36)</f>
        <v>3725.05</v>
      </c>
      <c r="AZ37" s="443" t="n">
        <f aca="false">SUM(AZ6:AZ36)</f>
        <v>9252</v>
      </c>
      <c r="BA37" s="444" t="n">
        <f aca="false">SUM(BA6:BA36)</f>
        <v>5526.95</v>
      </c>
      <c r="BB37" s="444" t="n">
        <f aca="false">BB36</f>
        <v>5526.95</v>
      </c>
      <c r="BE37" s="444" t="n">
        <f aca="false">SUM(BE6:BE36)</f>
        <v>2873978.9</v>
      </c>
      <c r="BF37" s="444" t="n">
        <f aca="false">SUM(BF6:BF36)</f>
        <v>1436989.45</v>
      </c>
      <c r="BG37" s="444" t="n">
        <f aca="false">SUM(BG6:BG36)</f>
        <v>2961178</v>
      </c>
      <c r="BH37" s="444" t="n">
        <f aca="false">SUM(BH6:BH36)</f>
        <v>1524188.55</v>
      </c>
      <c r="BI37" s="444" t="n">
        <f aca="false">SUM(BI6:BI36)</f>
        <v>23204893.7</v>
      </c>
      <c r="BJ37" s="420"/>
      <c r="BK37" s="420"/>
      <c r="BL37" s="420"/>
      <c r="BM37" s="420"/>
      <c r="BN37" s="420"/>
      <c r="BO37" s="420"/>
      <c r="BP37" s="420"/>
      <c r="BQ37" s="420"/>
      <c r="BR37" s="420"/>
      <c r="BS37" s="420"/>
      <c r="BT37" s="420"/>
      <c r="BU37" s="420"/>
      <c r="BV37" s="420"/>
      <c r="BW37" s="420"/>
      <c r="BX37" s="420"/>
      <c r="BY37" s="420"/>
      <c r="BZ37" s="420"/>
      <c r="CA37" s="420"/>
      <c r="CB37" s="420"/>
      <c r="CC37" s="420"/>
      <c r="CD37" s="420"/>
      <c r="CE37" s="420"/>
      <c r="CF37" s="420"/>
      <c r="CG37" s="420"/>
      <c r="CH37" s="420"/>
      <c r="CI37" s="420"/>
      <c r="CJ37" s="420"/>
      <c r="CK37" s="420"/>
      <c r="CL37" s="420"/>
      <c r="CM37" s="420"/>
      <c r="CN37" s="420"/>
      <c r="CO37" s="420"/>
      <c r="CP37" s="420"/>
      <c r="CQ37" s="420"/>
      <c r="CR37" s="420"/>
      <c r="CS37" s="420"/>
      <c r="CT37" s="420"/>
      <c r="CU37" s="420"/>
      <c r="CV37" s="420"/>
      <c r="CW37" s="420"/>
      <c r="CX37" s="420"/>
      <c r="CY37" s="420"/>
      <c r="CZ37" s="420"/>
      <c r="DA37" s="420"/>
      <c r="DB37" s="420"/>
      <c r="DC37" s="420"/>
      <c r="DD37" s="420"/>
      <c r="DE37" s="420"/>
      <c r="DF37" s="420"/>
      <c r="DG37" s="420"/>
      <c r="DH37" s="420"/>
      <c r="DI37" s="420"/>
      <c r="DJ37" s="420"/>
      <c r="DK37" s="420"/>
      <c r="DL37" s="420"/>
      <c r="DM37" s="420"/>
      <c r="DN37" s="420"/>
      <c r="DO37" s="420"/>
      <c r="DP37" s="420"/>
      <c r="DQ37" s="420"/>
      <c r="DR37" s="420"/>
      <c r="DS37" s="420"/>
      <c r="DT37" s="420"/>
      <c r="DU37" s="420"/>
      <c r="DV37" s="420"/>
      <c r="DW37" s="420"/>
      <c r="DX37" s="420"/>
      <c r="DY37" s="420"/>
      <c r="DZ37" s="420"/>
      <c r="EA37" s="420"/>
      <c r="EB37" s="420"/>
      <c r="EC37" s="420"/>
      <c r="ED37" s="420"/>
      <c r="EE37" s="420"/>
      <c r="EF37" s="420"/>
      <c r="EG37" s="420"/>
      <c r="EH37" s="420"/>
      <c r="EI37" s="420"/>
      <c r="EJ37" s="420"/>
      <c r="EK37" s="420"/>
      <c r="EL37" s="420"/>
      <c r="EM37" s="420"/>
      <c r="EN37" s="420"/>
      <c r="EO37" s="420"/>
      <c r="EP37" s="420"/>
      <c r="EQ37" s="420"/>
      <c r="ER37" s="420"/>
      <c r="ES37" s="420"/>
      <c r="ET37" s="420"/>
      <c r="EU37" s="420"/>
      <c r="EV37" s="420"/>
      <c r="EW37" s="420"/>
      <c r="EX37" s="420"/>
      <c r="EY37" s="420"/>
      <c r="EZ37" s="420"/>
      <c r="FA37" s="420"/>
      <c r="FB37" s="420"/>
      <c r="FC37" s="420"/>
      <c r="FD37" s="420"/>
      <c r="FE37" s="420"/>
      <c r="FF37" s="420"/>
      <c r="FG37" s="420"/>
      <c r="FH37" s="420"/>
      <c r="FI37" s="420"/>
      <c r="FJ37" s="420"/>
      <c r="FK37" s="420"/>
      <c r="FL37" s="420"/>
      <c r="FM37" s="420"/>
      <c r="FN37" s="420"/>
      <c r="FO37" s="420"/>
      <c r="FP37" s="420"/>
      <c r="FQ37" s="420"/>
      <c r="FR37" s="420"/>
      <c r="FS37" s="420"/>
      <c r="FT37" s="420"/>
      <c r="FU37" s="420"/>
      <c r="FV37" s="420"/>
      <c r="FW37" s="420"/>
      <c r="FX37" s="420"/>
      <c r="FY37" s="420"/>
      <c r="FZ37" s="420"/>
      <c r="GA37" s="420"/>
      <c r="GB37" s="420"/>
      <c r="GC37" s="420"/>
      <c r="GD37" s="420"/>
      <c r="GE37" s="420"/>
      <c r="GF37" s="420"/>
      <c r="GG37" s="420"/>
      <c r="GH37" s="420"/>
      <c r="GI37" s="420"/>
      <c r="GJ37" s="420"/>
      <c r="GK37" s="420"/>
      <c r="GL37" s="420"/>
      <c r="GM37" s="420"/>
      <c r="GN37" s="420"/>
      <c r="GO37" s="420"/>
      <c r="GP37" s="420"/>
      <c r="GQ37" s="420"/>
      <c r="GR37" s="420"/>
      <c r="GS37" s="420"/>
      <c r="GT37" s="420"/>
      <c r="GU37" s="420"/>
      <c r="GV37" s="420"/>
      <c r="GW37" s="420"/>
      <c r="GX37" s="420"/>
      <c r="GY37" s="420"/>
      <c r="GZ37" s="420"/>
      <c r="HA37" s="420"/>
      <c r="HB37" s="420"/>
      <c r="HC37" s="420"/>
      <c r="HD37" s="420"/>
      <c r="HE37" s="420"/>
      <c r="HF37" s="420"/>
      <c r="HG37" s="420"/>
      <c r="HH37" s="420"/>
      <c r="HI37" s="420"/>
      <c r="HJ37" s="420"/>
      <c r="HK37" s="420"/>
      <c r="HL37" s="420"/>
      <c r="HM37" s="420"/>
      <c r="HN37" s="420"/>
      <c r="HO37" s="420"/>
      <c r="HP37" s="420"/>
      <c r="HQ37" s="420"/>
      <c r="HR37" s="420"/>
      <c r="HS37" s="420"/>
      <c r="HT37" s="420"/>
      <c r="HU37" s="420"/>
      <c r="HV37" s="420"/>
      <c r="HW37" s="420"/>
      <c r="HX37" s="420"/>
      <c r="HY37" s="420"/>
      <c r="HZ37" s="420"/>
      <c r="IA37" s="420"/>
      <c r="IB37" s="420"/>
      <c r="IC37" s="420"/>
      <c r="ID37" s="420"/>
      <c r="IE37" s="420"/>
      <c r="IF37" s="420"/>
      <c r="IG37" s="420"/>
      <c r="IH37" s="420"/>
      <c r="II37" s="420"/>
      <c r="IJ37" s="420"/>
      <c r="IK37" s="420"/>
      <c r="IL37" s="420"/>
      <c r="IM37" s="420"/>
      <c r="IN37" s="420"/>
      <c r="IO37" s="420"/>
      <c r="IP37" s="420"/>
      <c r="IQ37" s="420"/>
      <c r="IR37" s="420"/>
      <c r="IS37" s="420"/>
      <c r="IT37" s="420"/>
      <c r="IU37" s="420"/>
      <c r="IV37" s="420"/>
      <c r="IW37" s="420"/>
    </row>
    <row r="38" customFormat="false" ht="12.75" hidden="false" customHeight="false" outlineLevel="0" collapsed="false">
      <c r="B38" s="440"/>
      <c r="C38" s="440"/>
      <c r="D38" s="440"/>
      <c r="H38" s="440"/>
      <c r="I38" s="440"/>
      <c r="J38" s="440"/>
      <c r="N38" s="440"/>
      <c r="O38" s="440"/>
      <c r="P38" s="440"/>
    </row>
  </sheetData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5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T19" activeCellId="0" sqref="AT1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3" width="16.49"/>
    <col collapsed="false" customWidth="true" hidden="false" outlineLevel="0" max="2" min="2" style="2" width="19.99"/>
    <col collapsed="false" customWidth="true" hidden="false" outlineLevel="0" max="3" min="3" style="33" width="16.49"/>
    <col collapsed="false" customWidth="true" hidden="false" outlineLevel="0" max="4" min="4" style="33" width="14.49"/>
    <col collapsed="false" customWidth="true" hidden="false" outlineLevel="0" max="5" min="5" style="33" width="16.49"/>
    <col collapsed="false" customWidth="true" hidden="false" outlineLevel="0" max="6" min="6" style="33" width="17.82"/>
    <col collapsed="false" customWidth="true" hidden="false" outlineLevel="0" max="7" min="7" style="33" width="14.49"/>
    <col collapsed="false" customWidth="false" hidden="false" outlineLevel="0" max="8" min="8" style="445" width="9.32"/>
    <col collapsed="false" customWidth="true" hidden="false" outlineLevel="0" max="9" min="9" style="2" width="18.82"/>
    <col collapsed="false" customWidth="true" hidden="false" outlineLevel="0" max="10" min="10" style="33" width="16.49"/>
    <col collapsed="false" customWidth="true" hidden="false" outlineLevel="0" max="11" min="11" style="33" width="14.49"/>
    <col collapsed="false" customWidth="true" hidden="false" outlineLevel="0" max="12" min="12" style="33" width="16.49"/>
    <col collapsed="false" customWidth="true" hidden="false" outlineLevel="0" max="13" min="13" style="33" width="17.82"/>
    <col collapsed="false" customWidth="true" hidden="false" outlineLevel="0" max="14" min="14" style="33" width="14.49"/>
    <col collapsed="false" customWidth="false" hidden="false" outlineLevel="0" max="15" min="15" style="445" width="9.32"/>
    <col collapsed="false" customWidth="true" hidden="false" outlineLevel="0" max="16" min="16" style="2" width="18.82"/>
    <col collapsed="false" customWidth="true" hidden="false" outlineLevel="0" max="17" min="17" style="33" width="16.49"/>
    <col collapsed="false" customWidth="true" hidden="false" outlineLevel="0" max="18" min="18" style="33" width="14.49"/>
    <col collapsed="false" customWidth="true" hidden="false" outlineLevel="0" max="20" min="19" style="33" width="14.65"/>
    <col collapsed="false" customWidth="false" hidden="false" outlineLevel="0" max="21" min="21" style="445" width="9.32"/>
    <col collapsed="false" customWidth="true" hidden="false" outlineLevel="0" max="22" min="22" style="33" width="21.99"/>
    <col collapsed="false" customWidth="true" hidden="false" outlineLevel="0" max="23" min="23" style="33" width="16.49"/>
    <col collapsed="false" customWidth="true" hidden="false" outlineLevel="0" max="24" min="24" style="33" width="14.49"/>
    <col collapsed="false" customWidth="true" hidden="false" outlineLevel="0" max="26" min="25" style="33" width="14.65"/>
    <col collapsed="false" customWidth="false" hidden="false" outlineLevel="0" max="27" min="27" style="445" width="9.32"/>
    <col collapsed="false" customWidth="true" hidden="false" outlineLevel="0" max="28" min="28" style="33" width="16.49"/>
    <col collapsed="false" customWidth="true" hidden="false" outlineLevel="0" max="29" min="29" style="33" width="11.65"/>
    <col collapsed="false" customWidth="true" hidden="false" outlineLevel="0" max="30" min="30" style="33" width="14.49"/>
    <col collapsed="false" customWidth="true" hidden="false" outlineLevel="0" max="32" min="31" style="33" width="14.65"/>
    <col collapsed="false" customWidth="false" hidden="false" outlineLevel="0" max="33" min="33" style="445" width="9.32"/>
    <col collapsed="false" customWidth="true" hidden="false" outlineLevel="0" max="34" min="34" style="33" width="16.49"/>
    <col collapsed="false" customWidth="true" hidden="false" outlineLevel="0" max="35" min="35" style="33" width="11.65"/>
    <col collapsed="false" customWidth="true" hidden="false" outlineLevel="0" max="36" min="36" style="33" width="14.49"/>
    <col collapsed="false" customWidth="true" hidden="false" outlineLevel="0" max="38" min="37" style="33" width="14.65"/>
    <col collapsed="false" customWidth="false" hidden="false" outlineLevel="0" max="39" min="39" style="445" width="9.32"/>
    <col collapsed="false" customWidth="true" hidden="false" outlineLevel="0" max="40" min="40" style="33" width="20.15"/>
    <col collapsed="false" customWidth="true" hidden="false" outlineLevel="0" max="41" min="41" style="33" width="11.65"/>
    <col collapsed="false" customWidth="true" hidden="false" outlineLevel="0" max="42" min="42" style="33" width="14.49"/>
    <col collapsed="false" customWidth="true" hidden="false" outlineLevel="0" max="44" min="43" style="33" width="14.65"/>
    <col collapsed="false" customWidth="false" hidden="false" outlineLevel="0" max="257" min="45" style="33" width="9.32"/>
  </cols>
  <sheetData>
    <row r="1" customFormat="false" ht="15.75" hidden="false" customHeight="false" outlineLevel="0" collapsed="false">
      <c r="A1" s="130" t="s">
        <v>293</v>
      </c>
      <c r="B1" s="8" t="n">
        <v>0</v>
      </c>
      <c r="C1" s="422"/>
      <c r="I1" s="8" t="n">
        <v>0</v>
      </c>
      <c r="J1" s="422"/>
      <c r="P1" s="8" t="n">
        <v>0</v>
      </c>
      <c r="Q1" s="422"/>
      <c r="V1" s="422"/>
      <c r="W1" s="422"/>
      <c r="AB1" s="422"/>
      <c r="AC1" s="426"/>
      <c r="AH1" s="422"/>
      <c r="AI1" s="426"/>
      <c r="AN1" s="422"/>
      <c r="AO1" s="426"/>
    </row>
    <row r="2" customFormat="false" ht="12.75" hidden="false" customHeight="false" outlineLevel="0" collapsed="false">
      <c r="A2" s="183" t="n">
        <f aca="false">+BaseloadMarkets!B1</f>
        <v>36708</v>
      </c>
      <c r="B2" s="11" t="str">
        <f aca="false">+Supplies!H2</f>
        <v>CA HUB</v>
      </c>
      <c r="C2" s="426"/>
      <c r="D2" s="426"/>
      <c r="E2" s="426"/>
      <c r="F2" s="426"/>
      <c r="G2" s="426"/>
      <c r="H2" s="446"/>
      <c r="I2" s="11" t="str">
        <f aca="false">+Supplies!I2</f>
        <v>CA HUB</v>
      </c>
      <c r="J2" s="426"/>
      <c r="K2" s="426"/>
      <c r="L2" s="426"/>
      <c r="M2" s="426"/>
      <c r="N2" s="426"/>
      <c r="O2" s="446"/>
      <c r="P2" s="11" t="str">
        <f aca="false">+Supplies!J2</f>
        <v>CA HUB</v>
      </c>
      <c r="Q2" s="426"/>
      <c r="R2" s="426"/>
      <c r="S2" s="426"/>
      <c r="T2" s="426"/>
      <c r="U2" s="446"/>
      <c r="V2" s="425" t="str">
        <f aca="false">+Supplies!K2</f>
        <v>CA HUB</v>
      </c>
      <c r="W2" s="426"/>
      <c r="X2" s="426"/>
      <c r="Y2" s="426"/>
      <c r="Z2" s="426"/>
      <c r="AA2" s="446"/>
      <c r="AB2" s="425" t="str">
        <f aca="false">+Supplies!L2</f>
        <v>CA HUB</v>
      </c>
      <c r="AC2" s="426"/>
      <c r="AD2" s="426"/>
      <c r="AE2" s="426"/>
      <c r="AF2" s="426"/>
      <c r="AG2" s="446"/>
      <c r="AH2" s="425" t="str">
        <f aca="false">+Supplies!N2</f>
        <v>CA HUB</v>
      </c>
      <c r="AI2" s="426"/>
      <c r="AJ2" s="426"/>
      <c r="AK2" s="426"/>
      <c r="AL2" s="426"/>
      <c r="AM2" s="446"/>
      <c r="AN2" s="425" t="str">
        <f aca="false">+BaseloadMarkets!R3</f>
        <v>CA HUB</v>
      </c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6"/>
      <c r="BL2" s="426"/>
      <c r="BM2" s="426"/>
      <c r="BN2" s="426"/>
      <c r="BO2" s="426"/>
      <c r="BP2" s="426"/>
      <c r="BQ2" s="426"/>
      <c r="BR2" s="426"/>
      <c r="BS2" s="426"/>
      <c r="BT2" s="426"/>
      <c r="BU2" s="426"/>
      <c r="BV2" s="426"/>
      <c r="BW2" s="426"/>
      <c r="BX2" s="426"/>
      <c r="BY2" s="426"/>
      <c r="BZ2" s="426"/>
      <c r="CA2" s="426"/>
      <c r="CB2" s="426"/>
      <c r="CC2" s="426"/>
      <c r="CD2" s="426"/>
      <c r="CE2" s="426"/>
      <c r="CF2" s="426"/>
      <c r="CG2" s="426"/>
      <c r="CH2" s="426"/>
      <c r="CI2" s="426"/>
      <c r="CJ2" s="426"/>
      <c r="CK2" s="426"/>
      <c r="CL2" s="426"/>
      <c r="CM2" s="426"/>
      <c r="CN2" s="426"/>
      <c r="CO2" s="426"/>
      <c r="CP2" s="426"/>
      <c r="CQ2" s="426"/>
      <c r="CR2" s="426"/>
      <c r="CS2" s="426"/>
      <c r="CT2" s="426"/>
      <c r="CU2" s="426"/>
      <c r="CV2" s="426"/>
      <c r="CW2" s="426"/>
      <c r="CX2" s="426"/>
      <c r="CY2" s="426"/>
      <c r="CZ2" s="426"/>
      <c r="DA2" s="426"/>
      <c r="DB2" s="426"/>
      <c r="DC2" s="426"/>
      <c r="DD2" s="426"/>
      <c r="DE2" s="426"/>
      <c r="DF2" s="426"/>
      <c r="DG2" s="426"/>
      <c r="DH2" s="426"/>
      <c r="DI2" s="426"/>
      <c r="DJ2" s="426"/>
      <c r="DK2" s="426"/>
      <c r="DL2" s="426"/>
      <c r="DM2" s="426"/>
      <c r="DN2" s="426"/>
      <c r="DO2" s="426"/>
      <c r="DP2" s="426"/>
      <c r="DQ2" s="426"/>
      <c r="DR2" s="426"/>
      <c r="DS2" s="426"/>
      <c r="DT2" s="426"/>
      <c r="DU2" s="426"/>
      <c r="DV2" s="426"/>
      <c r="DW2" s="426"/>
      <c r="DX2" s="426"/>
      <c r="DY2" s="426"/>
      <c r="DZ2" s="426"/>
      <c r="EA2" s="426"/>
      <c r="EB2" s="426"/>
      <c r="EC2" s="426"/>
      <c r="ED2" s="426"/>
      <c r="EE2" s="426"/>
      <c r="EF2" s="426"/>
      <c r="EG2" s="426"/>
      <c r="EH2" s="426"/>
      <c r="EI2" s="426"/>
      <c r="EJ2" s="426"/>
      <c r="EK2" s="426"/>
      <c r="EL2" s="426"/>
      <c r="EM2" s="426"/>
      <c r="EN2" s="426"/>
      <c r="EO2" s="426"/>
      <c r="EP2" s="426"/>
      <c r="EQ2" s="426"/>
      <c r="ER2" s="426"/>
      <c r="ES2" s="426"/>
      <c r="ET2" s="426"/>
      <c r="EU2" s="426"/>
      <c r="EV2" s="426"/>
      <c r="EW2" s="426"/>
      <c r="EX2" s="426"/>
      <c r="EY2" s="426"/>
      <c r="EZ2" s="426"/>
      <c r="FA2" s="426"/>
      <c r="FB2" s="426"/>
      <c r="FC2" s="426"/>
      <c r="FD2" s="426"/>
      <c r="FE2" s="426"/>
      <c r="FF2" s="426"/>
      <c r="FG2" s="426"/>
      <c r="FH2" s="426"/>
      <c r="FI2" s="426"/>
      <c r="FJ2" s="426"/>
      <c r="FK2" s="426"/>
      <c r="FL2" s="426"/>
      <c r="FM2" s="426"/>
      <c r="FN2" s="426"/>
      <c r="FO2" s="426"/>
      <c r="FP2" s="426"/>
      <c r="FQ2" s="426"/>
      <c r="FR2" s="426"/>
      <c r="FS2" s="426"/>
      <c r="FT2" s="426"/>
      <c r="FU2" s="426"/>
      <c r="FV2" s="426"/>
      <c r="FW2" s="426"/>
      <c r="FX2" s="426"/>
      <c r="FY2" s="426"/>
      <c r="FZ2" s="426"/>
      <c r="GA2" s="426"/>
      <c r="GB2" s="426"/>
      <c r="GC2" s="426"/>
      <c r="GD2" s="426"/>
      <c r="GE2" s="426"/>
      <c r="GF2" s="426"/>
      <c r="GG2" s="426"/>
      <c r="GH2" s="426"/>
      <c r="GI2" s="426"/>
      <c r="GJ2" s="426"/>
      <c r="GK2" s="426"/>
      <c r="GL2" s="426"/>
      <c r="GM2" s="426"/>
      <c r="GN2" s="426"/>
      <c r="GO2" s="426"/>
      <c r="GP2" s="426"/>
      <c r="GQ2" s="426"/>
      <c r="GR2" s="426"/>
      <c r="GS2" s="426"/>
      <c r="GT2" s="426"/>
      <c r="GU2" s="426"/>
      <c r="GV2" s="426"/>
      <c r="GW2" s="426"/>
      <c r="GX2" s="426"/>
      <c r="GY2" s="426"/>
      <c r="GZ2" s="426"/>
      <c r="HA2" s="426"/>
      <c r="HB2" s="426"/>
      <c r="HC2" s="426"/>
      <c r="HD2" s="426"/>
      <c r="HE2" s="426"/>
      <c r="HF2" s="426"/>
      <c r="HG2" s="426"/>
      <c r="HH2" s="426"/>
      <c r="HI2" s="426"/>
      <c r="HJ2" s="426"/>
      <c r="HK2" s="426"/>
      <c r="HL2" s="426"/>
      <c r="HM2" s="426"/>
      <c r="HN2" s="426"/>
      <c r="HO2" s="426"/>
      <c r="HP2" s="426"/>
      <c r="HQ2" s="426"/>
      <c r="HR2" s="426"/>
      <c r="HS2" s="426"/>
      <c r="HT2" s="426"/>
      <c r="HU2" s="426"/>
      <c r="HV2" s="426"/>
      <c r="HW2" s="426"/>
      <c r="HX2" s="426"/>
      <c r="HY2" s="426"/>
      <c r="HZ2" s="426"/>
      <c r="IA2" s="426"/>
      <c r="IB2" s="426"/>
      <c r="IC2" s="426"/>
      <c r="ID2" s="426"/>
      <c r="IE2" s="426"/>
      <c r="IF2" s="426"/>
      <c r="IG2" s="426"/>
      <c r="IH2" s="426"/>
      <c r="II2" s="426"/>
      <c r="IJ2" s="426"/>
      <c r="IK2" s="426"/>
      <c r="IL2" s="426"/>
      <c r="IM2" s="426"/>
      <c r="IN2" s="426"/>
      <c r="IO2" s="426"/>
      <c r="IP2" s="426"/>
      <c r="IQ2" s="426"/>
      <c r="IR2" s="426"/>
      <c r="IS2" s="426"/>
      <c r="IT2" s="426"/>
      <c r="IU2" s="426"/>
      <c r="IV2" s="426"/>
      <c r="IW2" s="426"/>
    </row>
    <row r="3" customFormat="false" ht="12.75" hidden="false" customHeight="false" outlineLevel="0" collapsed="false">
      <c r="A3" s="422" t="s">
        <v>294</v>
      </c>
      <c r="B3" s="11" t="n">
        <f aca="false">+Supplies!H4</f>
        <v>131490</v>
      </c>
      <c r="C3" s="447"/>
      <c r="I3" s="11" t="n">
        <f aca="false">+Supplies!I4</f>
        <v>168003</v>
      </c>
      <c r="J3" s="447"/>
      <c r="P3" s="11" t="n">
        <f aca="false">+Supplies!J4</f>
        <v>168093</v>
      </c>
      <c r="Q3" s="447"/>
      <c r="V3" s="425" t="n">
        <f aca="false">+Supplies!K4</f>
        <v>245352</v>
      </c>
      <c r="W3" s="447"/>
      <c r="AB3" s="425" t="n">
        <f aca="false">+Supplies!L4</f>
        <v>301942</v>
      </c>
      <c r="AH3" s="425" t="n">
        <f aca="false">+Supplies!N4</f>
        <v>152174</v>
      </c>
      <c r="AN3" s="425" t="n">
        <f aca="false">+BaseloadMarkets!R2</f>
        <v>293828</v>
      </c>
    </row>
    <row r="4" customFormat="false" ht="12.75" hidden="false" customHeight="false" outlineLevel="0" collapsed="false">
      <c r="B4" s="448" t="str">
        <f aca="false">+Supplies!H5</f>
        <v>TW</v>
      </c>
      <c r="C4" s="426"/>
      <c r="D4" s="426" t="s">
        <v>68</v>
      </c>
      <c r="E4" s="426" t="s">
        <v>193</v>
      </c>
      <c r="F4" s="426" t="s">
        <v>193</v>
      </c>
      <c r="G4" s="426" t="s">
        <v>69</v>
      </c>
      <c r="I4" s="11"/>
      <c r="J4" s="426"/>
      <c r="K4" s="426" t="s">
        <v>68</v>
      </c>
      <c r="L4" s="426" t="s">
        <v>193</v>
      </c>
      <c r="M4" s="426" t="s">
        <v>193</v>
      </c>
      <c r="N4" s="426" t="s">
        <v>69</v>
      </c>
      <c r="P4" s="11"/>
      <c r="Q4" s="426"/>
      <c r="R4" s="426" t="s">
        <v>68</v>
      </c>
      <c r="S4" s="426"/>
      <c r="T4" s="426" t="s">
        <v>193</v>
      </c>
      <c r="V4" s="425"/>
      <c r="W4" s="426"/>
      <c r="X4" s="426" t="s">
        <v>68</v>
      </c>
      <c r="Y4" s="426"/>
      <c r="Z4" s="426" t="s">
        <v>193</v>
      </c>
      <c r="AB4" s="425"/>
      <c r="AC4" s="426" t="s">
        <v>68</v>
      </c>
      <c r="AD4" s="426" t="s">
        <v>68</v>
      </c>
      <c r="AE4" s="426"/>
      <c r="AF4" s="426" t="s">
        <v>193</v>
      </c>
      <c r="AH4" s="425"/>
      <c r="AI4" s="426" t="s">
        <v>68</v>
      </c>
      <c r="AJ4" s="426" t="s">
        <v>68</v>
      </c>
      <c r="AK4" s="426"/>
      <c r="AL4" s="426" t="s">
        <v>193</v>
      </c>
      <c r="AN4" s="425"/>
      <c r="AO4" s="426" t="s">
        <v>68</v>
      </c>
      <c r="AP4" s="426" t="s">
        <v>68</v>
      </c>
      <c r="AQ4" s="426"/>
      <c r="AR4" s="426" t="s">
        <v>193</v>
      </c>
    </row>
    <row r="5" customFormat="false" ht="12.75" hidden="false" customHeight="false" outlineLevel="0" collapsed="false">
      <c r="B5" s="22" t="s">
        <v>295</v>
      </c>
      <c r="C5" s="426" t="s">
        <v>296</v>
      </c>
      <c r="D5" s="426" t="s">
        <v>297</v>
      </c>
      <c r="E5" s="426" t="s">
        <v>298</v>
      </c>
      <c r="F5" s="426" t="s">
        <v>133</v>
      </c>
      <c r="G5" s="426" t="s">
        <v>290</v>
      </c>
      <c r="I5" s="22" t="s">
        <v>295</v>
      </c>
      <c r="J5" s="426" t="s">
        <v>296</v>
      </c>
      <c r="K5" s="426" t="s">
        <v>297</v>
      </c>
      <c r="L5" s="426" t="s">
        <v>298</v>
      </c>
      <c r="M5" s="426" t="s">
        <v>133</v>
      </c>
      <c r="N5" s="426" t="s">
        <v>290</v>
      </c>
      <c r="P5" s="22" t="s">
        <v>295</v>
      </c>
      <c r="Q5" s="426" t="s">
        <v>296</v>
      </c>
      <c r="R5" s="426" t="s">
        <v>297</v>
      </c>
      <c r="S5" s="426" t="s">
        <v>298</v>
      </c>
      <c r="T5" s="426" t="s">
        <v>133</v>
      </c>
      <c r="V5" s="426" t="s">
        <v>295</v>
      </c>
      <c r="W5" s="426" t="s">
        <v>296</v>
      </c>
      <c r="X5" s="426" t="s">
        <v>297</v>
      </c>
      <c r="Y5" s="426" t="s">
        <v>298</v>
      </c>
      <c r="Z5" s="426" t="s">
        <v>133</v>
      </c>
      <c r="AB5" s="426" t="s">
        <v>295</v>
      </c>
      <c r="AC5" s="426" t="s">
        <v>78</v>
      </c>
      <c r="AD5" s="426" t="s">
        <v>297</v>
      </c>
      <c r="AE5" s="426" t="s">
        <v>298</v>
      </c>
      <c r="AF5" s="426" t="s">
        <v>133</v>
      </c>
      <c r="AH5" s="426" t="s">
        <v>295</v>
      </c>
      <c r="AI5" s="426" t="s">
        <v>78</v>
      </c>
      <c r="AJ5" s="426" t="s">
        <v>297</v>
      </c>
      <c r="AK5" s="426" t="s">
        <v>298</v>
      </c>
      <c r="AL5" s="426" t="s">
        <v>133</v>
      </c>
      <c r="AN5" s="426" t="s">
        <v>299</v>
      </c>
      <c r="AO5" s="426" t="s">
        <v>78</v>
      </c>
      <c r="AP5" s="426" t="s">
        <v>297</v>
      </c>
      <c r="AQ5" s="426" t="s">
        <v>298</v>
      </c>
      <c r="AR5" s="426" t="s">
        <v>133</v>
      </c>
    </row>
    <row r="6" customFormat="false" ht="12.75" hidden="false" customHeight="false" outlineLevel="0" collapsed="false">
      <c r="A6" s="449" t="n">
        <f aca="false">BaseloadMarkets!A6</f>
        <v>36708</v>
      </c>
      <c r="B6" s="25" t="n">
        <v>5000</v>
      </c>
      <c r="C6" s="419" t="n">
        <f aca="false">+Supplies!H6</f>
        <v>5000</v>
      </c>
      <c r="D6" s="419" t="n">
        <f aca="false">+C6-B6</f>
        <v>0</v>
      </c>
      <c r="E6" s="419" t="n">
        <f aca="false">+B6</f>
        <v>5000</v>
      </c>
      <c r="F6" s="419" t="n">
        <f aca="false">+C6</f>
        <v>5000</v>
      </c>
      <c r="G6" s="419" t="n">
        <f aca="false">+D6</f>
        <v>0</v>
      </c>
      <c r="I6" s="25" t="n">
        <v>968</v>
      </c>
      <c r="J6" s="419" t="n">
        <f aca="false">+Supplies!I6</f>
        <v>968</v>
      </c>
      <c r="K6" s="419" t="n">
        <f aca="false">+J6-I6</f>
        <v>0</v>
      </c>
      <c r="L6" s="419" t="n">
        <f aca="false">+I6</f>
        <v>968</v>
      </c>
      <c r="M6" s="419" t="n">
        <f aca="false">+J6</f>
        <v>968</v>
      </c>
      <c r="N6" s="419" t="n">
        <f aca="false">+K6</f>
        <v>0</v>
      </c>
      <c r="P6" s="25" t="n">
        <v>4193</v>
      </c>
      <c r="Q6" s="419" t="n">
        <f aca="false">+Supplies!J6</f>
        <v>4193</v>
      </c>
      <c r="R6" s="419" t="n">
        <f aca="false">+Q6-P6</f>
        <v>0</v>
      </c>
      <c r="S6" s="419" t="n">
        <f aca="false">+P6</f>
        <v>4193</v>
      </c>
      <c r="T6" s="419" t="n">
        <f aca="false">+Q6</f>
        <v>4193</v>
      </c>
      <c r="V6" s="419" t="n">
        <v>4000</v>
      </c>
      <c r="W6" s="419" t="n">
        <f aca="false">+Supplies!K6</f>
        <v>4000</v>
      </c>
      <c r="X6" s="419" t="n">
        <f aca="false">+W6-V6</f>
        <v>0</v>
      </c>
      <c r="Y6" s="419" t="n">
        <f aca="false">+V6</f>
        <v>4000</v>
      </c>
      <c r="Z6" s="419" t="n">
        <f aca="false">+W6</f>
        <v>4000</v>
      </c>
      <c r="AB6" s="25" t="n">
        <v>10000</v>
      </c>
      <c r="AC6" s="419" t="n">
        <f aca="false">+Supplies!L6</f>
        <v>10000</v>
      </c>
      <c r="AD6" s="419" t="n">
        <f aca="false">+AC6-AB6</f>
        <v>0</v>
      </c>
      <c r="AE6" s="419" t="n">
        <f aca="false">+AB6</f>
        <v>10000</v>
      </c>
      <c r="AF6" s="419" t="n">
        <f aca="false">+AC6</f>
        <v>10000</v>
      </c>
      <c r="AH6" s="419" t="n">
        <v>0</v>
      </c>
      <c r="AI6" s="419" t="n">
        <f aca="false">+Supplies!N6</f>
        <v>0</v>
      </c>
      <c r="AJ6" s="419" t="n">
        <f aca="false">+AI6-AH6</f>
        <v>0</v>
      </c>
      <c r="AK6" s="419" t="n">
        <f aca="false">+AH6</f>
        <v>0</v>
      </c>
      <c r="AL6" s="419" t="n">
        <f aca="false">+AI6</f>
        <v>0</v>
      </c>
      <c r="AN6" s="419" t="n">
        <v>5000</v>
      </c>
      <c r="AO6" s="419" t="n">
        <f aca="false">+BaseloadMarkets!S6</f>
        <v>5000</v>
      </c>
      <c r="AP6" s="419" t="n">
        <f aca="false">+AO6-AN6</f>
        <v>0</v>
      </c>
      <c r="AQ6" s="419" t="n">
        <f aca="false">+AN6</f>
        <v>5000</v>
      </c>
      <c r="AR6" s="419" t="n">
        <f aca="false">+AO6</f>
        <v>5000</v>
      </c>
    </row>
    <row r="7" customFormat="false" ht="12.75" hidden="false" customHeight="false" outlineLevel="0" collapsed="false">
      <c r="A7" s="449" t="n">
        <f aca="false">BaseloadMarkets!A7</f>
        <v>36709</v>
      </c>
      <c r="B7" s="25" t="n">
        <v>5000</v>
      </c>
      <c r="C7" s="419" t="n">
        <f aca="false">+Supplies!H7</f>
        <v>5000</v>
      </c>
      <c r="D7" s="419" t="n">
        <f aca="false">+C7-B7</f>
        <v>0</v>
      </c>
      <c r="E7" s="419" t="n">
        <f aca="false">+E6+B7</f>
        <v>10000</v>
      </c>
      <c r="F7" s="419" t="n">
        <f aca="false">+F6+C7</f>
        <v>10000</v>
      </c>
      <c r="G7" s="419" t="n">
        <f aca="false">+G6+D7</f>
        <v>0</v>
      </c>
      <c r="I7" s="25" t="n">
        <v>968</v>
      </c>
      <c r="J7" s="419" t="n">
        <f aca="false">+Supplies!I7</f>
        <v>968</v>
      </c>
      <c r="K7" s="419" t="n">
        <f aca="false">+J7-I7</f>
        <v>0</v>
      </c>
      <c r="L7" s="419" t="n">
        <f aca="false">+L6+I7</f>
        <v>1936</v>
      </c>
      <c r="M7" s="419" t="n">
        <f aca="false">+M6+J7</f>
        <v>1936</v>
      </c>
      <c r="N7" s="419" t="n">
        <f aca="false">+N6+K7</f>
        <v>0</v>
      </c>
      <c r="P7" s="25" t="n">
        <v>4193</v>
      </c>
      <c r="Q7" s="419" t="n">
        <f aca="false">+Supplies!J7</f>
        <v>4193</v>
      </c>
      <c r="R7" s="419" t="n">
        <f aca="false">+Q7-P7</f>
        <v>0</v>
      </c>
      <c r="S7" s="419" t="n">
        <f aca="false">+S6+P7</f>
        <v>8386</v>
      </c>
      <c r="T7" s="419" t="n">
        <f aca="false">+T6+Q7</f>
        <v>8386</v>
      </c>
      <c r="V7" s="419" t="n">
        <v>4000</v>
      </c>
      <c r="W7" s="419" t="n">
        <f aca="false">+Supplies!K7</f>
        <v>4000</v>
      </c>
      <c r="X7" s="419" t="n">
        <f aca="false">+W7-V7</f>
        <v>0</v>
      </c>
      <c r="Y7" s="419" t="n">
        <f aca="false">+Y6+V7</f>
        <v>8000</v>
      </c>
      <c r="Z7" s="419" t="n">
        <f aca="false">+Z6+W7</f>
        <v>8000</v>
      </c>
      <c r="AB7" s="25" t="n">
        <v>10000</v>
      </c>
      <c r="AC7" s="419" t="n">
        <f aca="false">+Supplies!L7</f>
        <v>10000</v>
      </c>
      <c r="AD7" s="419" t="n">
        <f aca="false">+AC7-AB7</f>
        <v>0</v>
      </c>
      <c r="AE7" s="419" t="n">
        <f aca="false">+AE6+AB7</f>
        <v>20000</v>
      </c>
      <c r="AF7" s="419" t="n">
        <f aca="false">+AF6+AC7</f>
        <v>20000</v>
      </c>
      <c r="AH7" s="419" t="n">
        <v>0</v>
      </c>
      <c r="AI7" s="419" t="n">
        <f aca="false">+Supplies!N7</f>
        <v>0</v>
      </c>
      <c r="AJ7" s="419" t="n">
        <f aca="false">+AI7-AH7</f>
        <v>0</v>
      </c>
      <c r="AK7" s="419" t="n">
        <f aca="false">+AK6+AH7</f>
        <v>0</v>
      </c>
      <c r="AL7" s="419" t="n">
        <f aca="false">+AL6+AI7</f>
        <v>0</v>
      </c>
      <c r="AN7" s="419" t="n">
        <v>5000</v>
      </c>
      <c r="AO7" s="419" t="n">
        <f aca="false">+BaseloadMarkets!S7</f>
        <v>5000</v>
      </c>
      <c r="AP7" s="419" t="n">
        <f aca="false">+AO7-AN7</f>
        <v>0</v>
      </c>
      <c r="AQ7" s="419" t="n">
        <f aca="false">+AQ6+AN7</f>
        <v>10000</v>
      </c>
      <c r="AR7" s="419" t="n">
        <f aca="false">+AR6+AO7</f>
        <v>10000</v>
      </c>
    </row>
    <row r="8" customFormat="false" ht="12.75" hidden="false" customHeight="false" outlineLevel="0" collapsed="false">
      <c r="A8" s="449" t="n">
        <f aca="false">BaseloadMarkets!A8</f>
        <v>36710</v>
      </c>
      <c r="B8" s="25" t="n">
        <v>5000</v>
      </c>
      <c r="C8" s="419" t="n">
        <f aca="false">+Supplies!H8</f>
        <v>5000</v>
      </c>
      <c r="D8" s="419" t="n">
        <f aca="false">+C8-B8</f>
        <v>0</v>
      </c>
      <c r="E8" s="419" t="n">
        <f aca="false">+E7+B8</f>
        <v>15000</v>
      </c>
      <c r="F8" s="419" t="n">
        <f aca="false">+F7+C8</f>
        <v>15000</v>
      </c>
      <c r="G8" s="419" t="n">
        <f aca="false">+G7+D8</f>
        <v>0</v>
      </c>
      <c r="I8" s="25" t="n">
        <v>968</v>
      </c>
      <c r="J8" s="419" t="n">
        <f aca="false">+Supplies!I8</f>
        <v>965</v>
      </c>
      <c r="K8" s="419" t="n">
        <f aca="false">+J8-I8</f>
        <v>-3</v>
      </c>
      <c r="L8" s="419" t="n">
        <f aca="false">+L7+I8</f>
        <v>2904</v>
      </c>
      <c r="M8" s="419" t="n">
        <f aca="false">+M7+J8</f>
        <v>2901</v>
      </c>
      <c r="N8" s="419" t="n">
        <f aca="false">+N7+K8</f>
        <v>-3</v>
      </c>
      <c r="P8" s="25" t="n">
        <v>4193</v>
      </c>
      <c r="Q8" s="419" t="n">
        <f aca="false">+Supplies!J8</f>
        <v>4182</v>
      </c>
      <c r="R8" s="419" t="n">
        <f aca="false">+Q8-P8</f>
        <v>-11</v>
      </c>
      <c r="S8" s="419" t="n">
        <f aca="false">+S7+P8</f>
        <v>12579</v>
      </c>
      <c r="T8" s="419" t="n">
        <f aca="false">+T7+Q8</f>
        <v>12568</v>
      </c>
      <c r="V8" s="419" t="n">
        <v>4000</v>
      </c>
      <c r="W8" s="419" t="n">
        <f aca="false">+Supplies!K8</f>
        <v>4000</v>
      </c>
      <c r="X8" s="419" t="n">
        <f aca="false">+W8-V8</f>
        <v>0</v>
      </c>
      <c r="Y8" s="419" t="n">
        <f aca="false">+Y7+V8</f>
        <v>12000</v>
      </c>
      <c r="Z8" s="419" t="n">
        <f aca="false">+Z7+W8</f>
        <v>12000</v>
      </c>
      <c r="AB8" s="25" t="n">
        <v>10000</v>
      </c>
      <c r="AC8" s="419" t="n">
        <f aca="false">+Supplies!L8</f>
        <v>10000</v>
      </c>
      <c r="AD8" s="419" t="n">
        <f aca="false">+AC8-AB8</f>
        <v>0</v>
      </c>
      <c r="AE8" s="419" t="n">
        <f aca="false">+AE7+AB8</f>
        <v>30000</v>
      </c>
      <c r="AF8" s="419" t="n">
        <f aca="false">+AF7+AC8</f>
        <v>30000</v>
      </c>
      <c r="AH8" s="419" t="n">
        <v>2500</v>
      </c>
      <c r="AI8" s="419" t="n">
        <f aca="false">+Supplies!N8</f>
        <v>2491</v>
      </c>
      <c r="AJ8" s="419" t="n">
        <f aca="false">+AI8-AH8</f>
        <v>-9</v>
      </c>
      <c r="AK8" s="419" t="n">
        <f aca="false">+AK7+AH8</f>
        <v>2500</v>
      </c>
      <c r="AL8" s="419" t="n">
        <f aca="false">+AL7+AI8</f>
        <v>2491</v>
      </c>
      <c r="AN8" s="419" t="n">
        <v>5000</v>
      </c>
      <c r="AO8" s="419" t="n">
        <f aca="false">+BaseloadMarkets!S8</f>
        <v>5000</v>
      </c>
      <c r="AP8" s="419" t="n">
        <f aca="false">+AO8-AN8</f>
        <v>0</v>
      </c>
      <c r="AQ8" s="419" t="n">
        <f aca="false">+AQ7+AN8</f>
        <v>15000</v>
      </c>
      <c r="AR8" s="419" t="n">
        <f aca="false">+AR7+AO8</f>
        <v>15000</v>
      </c>
    </row>
    <row r="9" customFormat="false" ht="12.75" hidden="false" customHeight="false" outlineLevel="0" collapsed="false">
      <c r="A9" s="449" t="n">
        <f aca="false">BaseloadMarkets!A9</f>
        <v>36711</v>
      </c>
      <c r="B9" s="25" t="n">
        <v>5000</v>
      </c>
      <c r="C9" s="419" t="n">
        <f aca="false">+Supplies!H9</f>
        <v>5000</v>
      </c>
      <c r="D9" s="419" t="n">
        <f aca="false">+C9-B9</f>
        <v>0</v>
      </c>
      <c r="E9" s="419" t="n">
        <f aca="false">+E8+B9</f>
        <v>20000</v>
      </c>
      <c r="F9" s="419" t="n">
        <f aca="false">+F8+C9</f>
        <v>20000</v>
      </c>
      <c r="G9" s="419" t="n">
        <f aca="false">+G8+D9</f>
        <v>0</v>
      </c>
      <c r="I9" s="25" t="n">
        <v>968</v>
      </c>
      <c r="J9" s="419" t="n">
        <f aca="false">+Supplies!I9</f>
        <v>968</v>
      </c>
      <c r="K9" s="419" t="n">
        <f aca="false">+J9-I9</f>
        <v>0</v>
      </c>
      <c r="L9" s="419" t="n">
        <f aca="false">+L8+I9</f>
        <v>3872</v>
      </c>
      <c r="M9" s="419" t="n">
        <f aca="false">+M8+J9</f>
        <v>3869</v>
      </c>
      <c r="N9" s="419" t="n">
        <f aca="false">+N8+K9</f>
        <v>-3</v>
      </c>
      <c r="P9" s="25" t="n">
        <v>4193</v>
      </c>
      <c r="Q9" s="419" t="n">
        <f aca="false">+Supplies!J9</f>
        <v>4193</v>
      </c>
      <c r="R9" s="419" t="n">
        <f aca="false">+Q9-P9</f>
        <v>0</v>
      </c>
      <c r="S9" s="419" t="n">
        <f aca="false">+S8+P9</f>
        <v>16772</v>
      </c>
      <c r="T9" s="419" t="n">
        <f aca="false">+T8+Q9</f>
        <v>16761</v>
      </c>
      <c r="V9" s="419" t="n">
        <v>4000</v>
      </c>
      <c r="W9" s="419" t="n">
        <f aca="false">+Supplies!K9</f>
        <v>4000</v>
      </c>
      <c r="X9" s="419" t="n">
        <f aca="false">+W9-V9</f>
        <v>0</v>
      </c>
      <c r="Y9" s="419" t="n">
        <f aca="false">+Y8+V9</f>
        <v>16000</v>
      </c>
      <c r="Z9" s="419" t="n">
        <f aca="false">+Z8+W9</f>
        <v>16000</v>
      </c>
      <c r="AB9" s="25" t="n">
        <v>10000</v>
      </c>
      <c r="AC9" s="419" t="n">
        <f aca="false">+Supplies!L9</f>
        <v>10000</v>
      </c>
      <c r="AD9" s="419" t="n">
        <f aca="false">+AC9-AB9</f>
        <v>0</v>
      </c>
      <c r="AE9" s="419" t="n">
        <f aca="false">+AE8+AB9</f>
        <v>40000</v>
      </c>
      <c r="AF9" s="419" t="n">
        <f aca="false">+AF8+AC9</f>
        <v>40000</v>
      </c>
      <c r="AH9" s="419" t="n">
        <v>0</v>
      </c>
      <c r="AI9" s="419" t="n">
        <f aca="false">+Supplies!N9</f>
        <v>0</v>
      </c>
      <c r="AJ9" s="419" t="n">
        <f aca="false">+AI9-AH9</f>
        <v>0</v>
      </c>
      <c r="AK9" s="419" t="n">
        <f aca="false">+AK8+AH9</f>
        <v>2500</v>
      </c>
      <c r="AL9" s="419" t="n">
        <f aca="false">+AL8+AI9</f>
        <v>2491</v>
      </c>
      <c r="AN9" s="419" t="n">
        <v>5000</v>
      </c>
      <c r="AO9" s="419" t="n">
        <f aca="false">+BaseloadMarkets!S9</f>
        <v>5000</v>
      </c>
      <c r="AP9" s="419" t="n">
        <f aca="false">+AO9-AN9</f>
        <v>0</v>
      </c>
      <c r="AQ9" s="419" t="n">
        <f aca="false">+AQ8+AN9</f>
        <v>20000</v>
      </c>
      <c r="AR9" s="419" t="n">
        <f aca="false">+AR8+AO9</f>
        <v>20000</v>
      </c>
    </row>
    <row r="10" customFormat="false" ht="12.75" hidden="false" customHeight="false" outlineLevel="0" collapsed="false">
      <c r="A10" s="449" t="n">
        <f aca="false">BaseloadMarkets!A10</f>
        <v>36712</v>
      </c>
      <c r="B10" s="25" t="n">
        <v>5000</v>
      </c>
      <c r="C10" s="419" t="n">
        <f aca="false">+Supplies!H10</f>
        <v>5000</v>
      </c>
      <c r="D10" s="419" t="n">
        <f aca="false">+C10-B10</f>
        <v>0</v>
      </c>
      <c r="E10" s="419" t="n">
        <f aca="false">+E9+B10</f>
        <v>25000</v>
      </c>
      <c r="F10" s="419" t="n">
        <f aca="false">+F9+C10</f>
        <v>25000</v>
      </c>
      <c r="G10" s="419" t="n">
        <f aca="false">+G9+D10</f>
        <v>0</v>
      </c>
      <c r="I10" s="25" t="n">
        <v>968</v>
      </c>
      <c r="J10" s="419" t="n">
        <f aca="false">+Supplies!I10</f>
        <v>968</v>
      </c>
      <c r="K10" s="419" t="n">
        <f aca="false">+J10-I10</f>
        <v>0</v>
      </c>
      <c r="L10" s="419" t="n">
        <f aca="false">+L9+I10</f>
        <v>4840</v>
      </c>
      <c r="M10" s="419" t="n">
        <f aca="false">+M9+J10</f>
        <v>4837</v>
      </c>
      <c r="N10" s="419" t="n">
        <f aca="false">+N9+K10</f>
        <v>-3</v>
      </c>
      <c r="P10" s="25" t="n">
        <v>4193</v>
      </c>
      <c r="Q10" s="419" t="n">
        <f aca="false">+Supplies!J10</f>
        <v>4193</v>
      </c>
      <c r="R10" s="419" t="n">
        <f aca="false">+Q10-P10</f>
        <v>0</v>
      </c>
      <c r="S10" s="419" t="n">
        <f aca="false">+S9+P10</f>
        <v>20965</v>
      </c>
      <c r="T10" s="419" t="n">
        <f aca="false">+T9+Q10</f>
        <v>20954</v>
      </c>
      <c r="V10" s="419" t="n">
        <v>4000</v>
      </c>
      <c r="W10" s="419" t="n">
        <f aca="false">+Supplies!K10</f>
        <v>4000</v>
      </c>
      <c r="X10" s="419" t="n">
        <f aca="false">+W10-V10</f>
        <v>0</v>
      </c>
      <c r="Y10" s="419" t="n">
        <f aca="false">+Y9+V10</f>
        <v>20000</v>
      </c>
      <c r="Z10" s="419" t="n">
        <f aca="false">+Z9+W10</f>
        <v>20000</v>
      </c>
      <c r="AB10" s="25" t="n">
        <v>10000</v>
      </c>
      <c r="AC10" s="419" t="n">
        <f aca="false">+Supplies!L10</f>
        <v>10000</v>
      </c>
      <c r="AD10" s="419" t="n">
        <f aca="false">+AC10-AB10</f>
        <v>0</v>
      </c>
      <c r="AE10" s="419" t="n">
        <f aca="false">+AE9+AB10</f>
        <v>50000</v>
      </c>
      <c r="AF10" s="419" t="n">
        <f aca="false">+AF9+AC10</f>
        <v>50000</v>
      </c>
      <c r="AH10" s="419" t="n">
        <v>2500</v>
      </c>
      <c r="AI10" s="419" t="n">
        <f aca="false">+Supplies!N10</f>
        <v>2500</v>
      </c>
      <c r="AJ10" s="419" t="n">
        <f aca="false">+AI10-AH10</f>
        <v>0</v>
      </c>
      <c r="AK10" s="419" t="n">
        <f aca="false">+AK9+AH10</f>
        <v>5000</v>
      </c>
      <c r="AL10" s="419" t="n">
        <f aca="false">+AL9+AI10</f>
        <v>4991</v>
      </c>
      <c r="AN10" s="419" t="n">
        <v>5000</v>
      </c>
      <c r="AO10" s="419" t="n">
        <f aca="false">+BaseloadMarkets!S10</f>
        <v>5000</v>
      </c>
      <c r="AP10" s="419" t="n">
        <f aca="false">+AO10-AN10</f>
        <v>0</v>
      </c>
      <c r="AQ10" s="419" t="n">
        <f aca="false">+AQ9+AN10</f>
        <v>25000</v>
      </c>
      <c r="AR10" s="419" t="n">
        <f aca="false">+AR9+AO10</f>
        <v>25000</v>
      </c>
    </row>
    <row r="11" customFormat="false" ht="12.75" hidden="false" customHeight="false" outlineLevel="0" collapsed="false">
      <c r="A11" s="449" t="n">
        <f aca="false">BaseloadMarkets!A11</f>
        <v>36713</v>
      </c>
      <c r="B11" s="25" t="n">
        <v>5000</v>
      </c>
      <c r="C11" s="419" t="n">
        <f aca="false">+Supplies!H11</f>
        <v>5000</v>
      </c>
      <c r="D11" s="419" t="n">
        <f aca="false">+C11-B11</f>
        <v>0</v>
      </c>
      <c r="E11" s="419" t="n">
        <f aca="false">+E10+B11</f>
        <v>30000</v>
      </c>
      <c r="F11" s="419" t="n">
        <f aca="false">+F10+C11</f>
        <v>30000</v>
      </c>
      <c r="G11" s="419" t="n">
        <f aca="false">+G10+D11</f>
        <v>0</v>
      </c>
      <c r="I11" s="25" t="n">
        <v>968</v>
      </c>
      <c r="J11" s="419" t="n">
        <f aca="false">+Supplies!I11</f>
        <v>887</v>
      </c>
      <c r="K11" s="419" t="n">
        <f aca="false">+J11-I11</f>
        <v>-81</v>
      </c>
      <c r="L11" s="419" t="n">
        <f aca="false">+L10+I11</f>
        <v>5808</v>
      </c>
      <c r="M11" s="419" t="n">
        <f aca="false">+M10+J11</f>
        <v>5724</v>
      </c>
      <c r="N11" s="419" t="n">
        <f aca="false">+N10+K11</f>
        <v>-84</v>
      </c>
      <c r="P11" s="25" t="n">
        <v>4193</v>
      </c>
      <c r="Q11" s="419" t="n">
        <f aca="false">+Supplies!J11</f>
        <v>3926</v>
      </c>
      <c r="R11" s="419" t="n">
        <f aca="false">+Q11-P11</f>
        <v>-267</v>
      </c>
      <c r="S11" s="419" t="n">
        <f aca="false">+S10+P11</f>
        <v>25158</v>
      </c>
      <c r="T11" s="419" t="n">
        <f aca="false">+T10+Q11</f>
        <v>24880</v>
      </c>
      <c r="V11" s="419" t="n">
        <v>4000</v>
      </c>
      <c r="W11" s="419" t="n">
        <f aca="false">+Supplies!K11</f>
        <v>4000</v>
      </c>
      <c r="X11" s="419" t="n">
        <f aca="false">+W11-V11</f>
        <v>0</v>
      </c>
      <c r="Y11" s="419" t="n">
        <f aca="false">+Y10+V11</f>
        <v>24000</v>
      </c>
      <c r="Z11" s="419" t="n">
        <f aca="false">+Z10+W11</f>
        <v>24000</v>
      </c>
      <c r="AB11" s="25" t="n">
        <v>10000</v>
      </c>
      <c r="AC11" s="419" t="n">
        <f aca="false">+Supplies!L11</f>
        <v>10000</v>
      </c>
      <c r="AD11" s="419" t="n">
        <f aca="false">+AC11-AB11</f>
        <v>0</v>
      </c>
      <c r="AE11" s="419" t="n">
        <f aca="false">+AE10+AB11</f>
        <v>60000</v>
      </c>
      <c r="AF11" s="419" t="n">
        <f aca="false">+AF10+AC11</f>
        <v>60000</v>
      </c>
      <c r="AH11" s="419" t="n">
        <v>2500</v>
      </c>
      <c r="AI11" s="419" t="n">
        <f aca="false">+Supplies!N11</f>
        <v>2290</v>
      </c>
      <c r="AJ11" s="419" t="n">
        <f aca="false">+AI11-AH11</f>
        <v>-210</v>
      </c>
      <c r="AK11" s="419" t="n">
        <f aca="false">+AK10+AH11</f>
        <v>7500</v>
      </c>
      <c r="AL11" s="419" t="n">
        <f aca="false">+AL10+AI11</f>
        <v>7281</v>
      </c>
      <c r="AN11" s="419" t="n">
        <v>5000</v>
      </c>
      <c r="AO11" s="419" t="n">
        <f aca="false">+BaseloadMarkets!S11</f>
        <v>5000</v>
      </c>
      <c r="AP11" s="419" t="n">
        <f aca="false">+AO11-AN11</f>
        <v>0</v>
      </c>
      <c r="AQ11" s="419" t="n">
        <f aca="false">+AQ10+AN11</f>
        <v>30000</v>
      </c>
      <c r="AR11" s="419" t="n">
        <f aca="false">+AR10+AO11</f>
        <v>30000</v>
      </c>
    </row>
    <row r="12" customFormat="false" ht="12.75" hidden="false" customHeight="false" outlineLevel="0" collapsed="false">
      <c r="A12" s="449" t="n">
        <f aca="false">BaseloadMarkets!A12</f>
        <v>36714</v>
      </c>
      <c r="B12" s="25" t="n">
        <v>5000</v>
      </c>
      <c r="C12" s="419" t="n">
        <f aca="false">+Supplies!H12</f>
        <v>5000</v>
      </c>
      <c r="D12" s="419" t="n">
        <f aca="false">+C12-B12</f>
        <v>0</v>
      </c>
      <c r="E12" s="419" t="n">
        <f aca="false">+E11+B12</f>
        <v>35000</v>
      </c>
      <c r="F12" s="419" t="n">
        <f aca="false">+F11+C12</f>
        <v>35000</v>
      </c>
      <c r="G12" s="419" t="n">
        <f aca="false">+G11+D12</f>
        <v>0</v>
      </c>
      <c r="I12" s="25" t="n">
        <v>968</v>
      </c>
      <c r="J12" s="419" t="n">
        <f aca="false">+Supplies!I12</f>
        <v>968</v>
      </c>
      <c r="K12" s="419" t="n">
        <f aca="false">+J12-I12</f>
        <v>0</v>
      </c>
      <c r="L12" s="419" t="n">
        <f aca="false">+L11+I12</f>
        <v>6776</v>
      </c>
      <c r="M12" s="419" t="n">
        <f aca="false">+M11+J12</f>
        <v>6692</v>
      </c>
      <c r="N12" s="419" t="n">
        <f aca="false">+N11+K12</f>
        <v>-84</v>
      </c>
      <c r="P12" s="25" t="n">
        <v>4193</v>
      </c>
      <c r="Q12" s="419" t="n">
        <f aca="false">+Supplies!J12</f>
        <v>4189</v>
      </c>
      <c r="R12" s="419" t="n">
        <f aca="false">+Q12-P12</f>
        <v>-4</v>
      </c>
      <c r="S12" s="419" t="n">
        <f aca="false">+S11+P12</f>
        <v>29351</v>
      </c>
      <c r="T12" s="419" t="n">
        <f aca="false">+T11+Q12</f>
        <v>29069</v>
      </c>
      <c r="V12" s="419" t="n">
        <v>4000</v>
      </c>
      <c r="W12" s="419" t="n">
        <f aca="false">+Supplies!K12</f>
        <v>4000</v>
      </c>
      <c r="X12" s="419" t="n">
        <f aca="false">+W12-V12</f>
        <v>0</v>
      </c>
      <c r="Y12" s="419" t="n">
        <f aca="false">+Y11+V12</f>
        <v>28000</v>
      </c>
      <c r="Z12" s="419" t="n">
        <f aca="false">+Z11+W12</f>
        <v>28000</v>
      </c>
      <c r="AB12" s="25" t="n">
        <v>10000</v>
      </c>
      <c r="AC12" s="419" t="n">
        <f aca="false">+Supplies!L12</f>
        <v>10000</v>
      </c>
      <c r="AD12" s="419" t="n">
        <f aca="false">+AC12-AB12</f>
        <v>0</v>
      </c>
      <c r="AE12" s="419" t="n">
        <f aca="false">+AE11+AB12</f>
        <v>70000</v>
      </c>
      <c r="AF12" s="419" t="n">
        <f aca="false">+AF11+AC12</f>
        <v>70000</v>
      </c>
      <c r="AH12" s="419" t="n">
        <v>2500</v>
      </c>
      <c r="AI12" s="419" t="n">
        <f aca="false">+Supplies!N12</f>
        <v>2497</v>
      </c>
      <c r="AJ12" s="419" t="n">
        <f aca="false">+AI12-AH12</f>
        <v>-3</v>
      </c>
      <c r="AK12" s="419" t="n">
        <f aca="false">+AK11+AH12</f>
        <v>10000</v>
      </c>
      <c r="AL12" s="419" t="n">
        <f aca="false">+AL11+AI12</f>
        <v>9778</v>
      </c>
      <c r="AN12" s="419" t="n">
        <v>5000</v>
      </c>
      <c r="AO12" s="419" t="n">
        <f aca="false">+BaseloadMarkets!S12</f>
        <v>5000</v>
      </c>
      <c r="AP12" s="419" t="n">
        <f aca="false">+AO12-AN12</f>
        <v>0</v>
      </c>
      <c r="AQ12" s="419" t="n">
        <f aca="false">+AQ11+AN12</f>
        <v>35000</v>
      </c>
      <c r="AR12" s="419" t="n">
        <f aca="false">+AR11+AO12</f>
        <v>35000</v>
      </c>
    </row>
    <row r="13" customFormat="false" ht="12.75" hidden="false" customHeight="false" outlineLevel="0" collapsed="false">
      <c r="A13" s="449" t="n">
        <f aca="false">BaseloadMarkets!A13</f>
        <v>36715</v>
      </c>
      <c r="B13" s="25" t="n">
        <v>5000</v>
      </c>
      <c r="C13" s="419" t="n">
        <f aca="false">+Supplies!H13</f>
        <v>5000</v>
      </c>
      <c r="D13" s="419" t="n">
        <f aca="false">+C13-B13</f>
        <v>0</v>
      </c>
      <c r="E13" s="419" t="n">
        <f aca="false">+E12+B13</f>
        <v>40000</v>
      </c>
      <c r="F13" s="419" t="n">
        <f aca="false">+F12+C13</f>
        <v>40000</v>
      </c>
      <c r="G13" s="419" t="n">
        <f aca="false">+G12+D13</f>
        <v>0</v>
      </c>
      <c r="I13" s="25" t="n">
        <v>968</v>
      </c>
      <c r="J13" s="419" t="n">
        <f aca="false">+Supplies!I13</f>
        <v>876</v>
      </c>
      <c r="K13" s="419" t="n">
        <f aca="false">+J13-I13</f>
        <v>-92</v>
      </c>
      <c r="L13" s="419" t="n">
        <f aca="false">+L12+I13</f>
        <v>7744</v>
      </c>
      <c r="M13" s="419" t="n">
        <f aca="false">+M12+J13</f>
        <v>7568</v>
      </c>
      <c r="N13" s="419" t="n">
        <f aca="false">+N12+K13</f>
        <v>-176</v>
      </c>
      <c r="P13" s="25" t="n">
        <v>4193</v>
      </c>
      <c r="Q13" s="419" t="n">
        <f aca="false">+Supplies!J13</f>
        <v>3890</v>
      </c>
      <c r="R13" s="419" t="n">
        <f aca="false">+Q13-P13</f>
        <v>-303</v>
      </c>
      <c r="S13" s="419" t="n">
        <f aca="false">+S12+P13</f>
        <v>33544</v>
      </c>
      <c r="T13" s="419" t="n">
        <f aca="false">+T12+Q13</f>
        <v>32959</v>
      </c>
      <c r="V13" s="419" t="n">
        <v>4000</v>
      </c>
      <c r="W13" s="419" t="n">
        <f aca="false">+Supplies!K13</f>
        <v>4000</v>
      </c>
      <c r="X13" s="419" t="n">
        <f aca="false">+W13-V13</f>
        <v>0</v>
      </c>
      <c r="Y13" s="419" t="n">
        <f aca="false">+Y12+V13</f>
        <v>32000</v>
      </c>
      <c r="Z13" s="419" t="n">
        <f aca="false">+Z12+W13</f>
        <v>32000</v>
      </c>
      <c r="AB13" s="25" t="n">
        <v>10000</v>
      </c>
      <c r="AC13" s="419" t="n">
        <f aca="false">+Supplies!L13</f>
        <v>10000</v>
      </c>
      <c r="AD13" s="419" t="n">
        <f aca="false">+AC13-AB13</f>
        <v>0</v>
      </c>
      <c r="AE13" s="419" t="n">
        <f aca="false">+AE12+AB13</f>
        <v>80000</v>
      </c>
      <c r="AF13" s="419" t="n">
        <f aca="false">+AF12+AC13</f>
        <v>80000</v>
      </c>
      <c r="AH13" s="419" t="n">
        <v>0</v>
      </c>
      <c r="AI13" s="419" t="n">
        <f aca="false">+Supplies!N13</f>
        <v>0</v>
      </c>
      <c r="AJ13" s="419" t="n">
        <f aca="false">+AI13-AH13</f>
        <v>0</v>
      </c>
      <c r="AK13" s="419" t="n">
        <f aca="false">+AK12+AH13</f>
        <v>10000</v>
      </c>
      <c r="AL13" s="419" t="n">
        <f aca="false">+AL12+AI13</f>
        <v>9778</v>
      </c>
      <c r="AN13" s="419" t="n">
        <v>5000</v>
      </c>
      <c r="AO13" s="419" t="n">
        <f aca="false">+BaseloadMarkets!S13</f>
        <v>5000</v>
      </c>
      <c r="AP13" s="419" t="n">
        <f aca="false">+AO13-AN13</f>
        <v>0</v>
      </c>
      <c r="AQ13" s="419" t="n">
        <f aca="false">+AQ12+AN13</f>
        <v>40000</v>
      </c>
      <c r="AR13" s="419" t="n">
        <f aca="false">+AR12+AO13</f>
        <v>40000</v>
      </c>
    </row>
    <row r="14" customFormat="false" ht="12.75" hidden="false" customHeight="false" outlineLevel="0" collapsed="false">
      <c r="A14" s="449" t="n">
        <f aca="false">BaseloadMarkets!A14</f>
        <v>36716</v>
      </c>
      <c r="B14" s="25" t="n">
        <v>5000</v>
      </c>
      <c r="C14" s="419" t="n">
        <f aca="false">+Supplies!H14</f>
        <v>5000</v>
      </c>
      <c r="D14" s="419" t="n">
        <f aca="false">+C14-B14</f>
        <v>0</v>
      </c>
      <c r="E14" s="419" t="n">
        <f aca="false">+E13+B14</f>
        <v>45000</v>
      </c>
      <c r="F14" s="419" t="n">
        <f aca="false">+F13+C14</f>
        <v>45000</v>
      </c>
      <c r="G14" s="419" t="n">
        <f aca="false">+G13+D14</f>
        <v>0</v>
      </c>
      <c r="I14" s="25" t="n">
        <v>968</v>
      </c>
      <c r="J14" s="419" t="n">
        <f aca="false">+Supplies!I14</f>
        <v>968</v>
      </c>
      <c r="K14" s="419" t="n">
        <f aca="false">+J14-I14</f>
        <v>0</v>
      </c>
      <c r="L14" s="419" t="n">
        <f aca="false">+L13+I14</f>
        <v>8712</v>
      </c>
      <c r="M14" s="419" t="n">
        <f aca="false">+M13+J14</f>
        <v>8536</v>
      </c>
      <c r="N14" s="419" t="n">
        <f aca="false">+N13+K14</f>
        <v>-176</v>
      </c>
      <c r="P14" s="25" t="n">
        <v>4193</v>
      </c>
      <c r="Q14" s="419" t="n">
        <f aca="false">+Supplies!J14</f>
        <v>4193</v>
      </c>
      <c r="R14" s="419" t="n">
        <f aca="false">+Q14-P14</f>
        <v>0</v>
      </c>
      <c r="S14" s="419" t="n">
        <f aca="false">+S13+P14</f>
        <v>37737</v>
      </c>
      <c r="T14" s="419" t="n">
        <f aca="false">+T13+Q14</f>
        <v>37152</v>
      </c>
      <c r="V14" s="419" t="n">
        <v>4000</v>
      </c>
      <c r="W14" s="419" t="n">
        <f aca="false">+Supplies!K14</f>
        <v>4000</v>
      </c>
      <c r="X14" s="419" t="n">
        <f aca="false">+W14-V14</f>
        <v>0</v>
      </c>
      <c r="Y14" s="419" t="n">
        <f aca="false">+Y13+V14</f>
        <v>36000</v>
      </c>
      <c r="Z14" s="419" t="n">
        <f aca="false">+Z13+W14</f>
        <v>36000</v>
      </c>
      <c r="AB14" s="25" t="n">
        <v>10000</v>
      </c>
      <c r="AC14" s="419" t="n">
        <f aca="false">+Supplies!L14</f>
        <v>10000</v>
      </c>
      <c r="AD14" s="419" t="n">
        <f aca="false">+AC14-AB14</f>
        <v>0</v>
      </c>
      <c r="AE14" s="419" t="n">
        <f aca="false">+AE13+AB14</f>
        <v>90000</v>
      </c>
      <c r="AF14" s="419" t="n">
        <f aca="false">+AF13+AC14</f>
        <v>90000</v>
      </c>
      <c r="AH14" s="419" t="n">
        <v>0</v>
      </c>
      <c r="AI14" s="419" t="n">
        <f aca="false">+Supplies!N14</f>
        <v>0</v>
      </c>
      <c r="AJ14" s="419" t="n">
        <f aca="false">+AI14-AH14</f>
        <v>0</v>
      </c>
      <c r="AK14" s="419" t="n">
        <f aca="false">+AK13+AH14</f>
        <v>10000</v>
      </c>
      <c r="AL14" s="419" t="n">
        <f aca="false">+AL13+AI14</f>
        <v>9778</v>
      </c>
      <c r="AN14" s="419" t="n">
        <v>5000</v>
      </c>
      <c r="AO14" s="419" t="n">
        <f aca="false">+BaseloadMarkets!S14</f>
        <v>5000</v>
      </c>
      <c r="AP14" s="419" t="n">
        <f aca="false">+AO14-AN14</f>
        <v>0</v>
      </c>
      <c r="AQ14" s="419" t="n">
        <f aca="false">+AQ13+AN14</f>
        <v>45000</v>
      </c>
      <c r="AR14" s="419" t="n">
        <f aca="false">+AR13+AO14</f>
        <v>45000</v>
      </c>
    </row>
    <row r="15" customFormat="false" ht="12.75" hidden="false" customHeight="false" outlineLevel="0" collapsed="false">
      <c r="A15" s="449" t="n">
        <f aca="false">BaseloadMarkets!A15</f>
        <v>36717</v>
      </c>
      <c r="B15" s="25" t="n">
        <v>5000</v>
      </c>
      <c r="C15" s="419" t="n">
        <f aca="false">+Supplies!H15</f>
        <v>5000</v>
      </c>
      <c r="D15" s="419" t="n">
        <f aca="false">+C15-B15</f>
        <v>0</v>
      </c>
      <c r="E15" s="419" t="n">
        <f aca="false">+E14+B15</f>
        <v>50000</v>
      </c>
      <c r="F15" s="419" t="n">
        <f aca="false">+F14+C15</f>
        <v>50000</v>
      </c>
      <c r="G15" s="419" t="n">
        <f aca="false">+G14+D15</f>
        <v>0</v>
      </c>
      <c r="I15" s="25" t="n">
        <v>968</v>
      </c>
      <c r="J15" s="419" t="n">
        <f aca="false">+Supplies!I15</f>
        <v>968</v>
      </c>
      <c r="K15" s="419" t="n">
        <f aca="false">+J15-I15</f>
        <v>0</v>
      </c>
      <c r="L15" s="419" t="n">
        <f aca="false">+L14+I15</f>
        <v>9680</v>
      </c>
      <c r="M15" s="419" t="n">
        <f aca="false">+M14+J15</f>
        <v>9504</v>
      </c>
      <c r="N15" s="419" t="n">
        <f aca="false">+N14+K15</f>
        <v>-176</v>
      </c>
      <c r="P15" s="25" t="n">
        <v>4193</v>
      </c>
      <c r="Q15" s="419" t="n">
        <f aca="false">+Supplies!J15</f>
        <v>4193</v>
      </c>
      <c r="R15" s="419" t="n">
        <f aca="false">+Q15-P15</f>
        <v>0</v>
      </c>
      <c r="S15" s="419" t="n">
        <f aca="false">+S14+P15</f>
        <v>41930</v>
      </c>
      <c r="T15" s="419" t="n">
        <f aca="false">+T14+Q15</f>
        <v>41345</v>
      </c>
      <c r="V15" s="419" t="n">
        <v>4000</v>
      </c>
      <c r="W15" s="419" t="n">
        <f aca="false">+Supplies!K15</f>
        <v>4000</v>
      </c>
      <c r="X15" s="419" t="n">
        <f aca="false">+W15-V15</f>
        <v>0</v>
      </c>
      <c r="Y15" s="419" t="n">
        <f aca="false">+Y14+V15</f>
        <v>40000</v>
      </c>
      <c r="Z15" s="419" t="n">
        <f aca="false">+Z14+W15</f>
        <v>40000</v>
      </c>
      <c r="AB15" s="25" t="n">
        <v>10000</v>
      </c>
      <c r="AC15" s="419" t="n">
        <f aca="false">+Supplies!L15</f>
        <v>10000</v>
      </c>
      <c r="AD15" s="419" t="n">
        <f aca="false">+AC15-AB15</f>
        <v>0</v>
      </c>
      <c r="AE15" s="419" t="n">
        <f aca="false">+AE14+AB15</f>
        <v>100000</v>
      </c>
      <c r="AF15" s="419" t="n">
        <f aca="false">+AF14+AC15</f>
        <v>100000</v>
      </c>
      <c r="AH15" s="419" t="n">
        <v>2500</v>
      </c>
      <c r="AI15" s="419" t="n">
        <f aca="false">+Supplies!N15</f>
        <v>2500</v>
      </c>
      <c r="AJ15" s="419" t="n">
        <f aca="false">+AI15-AH15</f>
        <v>0</v>
      </c>
      <c r="AK15" s="419" t="n">
        <f aca="false">+AK14+AH15</f>
        <v>12500</v>
      </c>
      <c r="AL15" s="419" t="n">
        <f aca="false">+AL14+AI15</f>
        <v>12278</v>
      </c>
      <c r="AN15" s="419" t="n">
        <v>5000</v>
      </c>
      <c r="AO15" s="419" t="n">
        <f aca="false">+BaseloadMarkets!S15</f>
        <v>5000</v>
      </c>
      <c r="AP15" s="419" t="n">
        <f aca="false">+AO15-AN15</f>
        <v>0</v>
      </c>
      <c r="AQ15" s="419" t="n">
        <f aca="false">+AQ14+AN15</f>
        <v>50000</v>
      </c>
      <c r="AR15" s="419" t="n">
        <f aca="false">+AR14+AO15</f>
        <v>50000</v>
      </c>
    </row>
    <row r="16" customFormat="false" ht="12.75" hidden="false" customHeight="false" outlineLevel="0" collapsed="false">
      <c r="A16" s="449" t="n">
        <f aca="false">BaseloadMarkets!A16</f>
        <v>36718</v>
      </c>
      <c r="B16" s="25" t="n">
        <v>5000</v>
      </c>
      <c r="C16" s="419" t="n">
        <f aca="false">+Supplies!H16</f>
        <v>5000</v>
      </c>
      <c r="D16" s="419" t="n">
        <f aca="false">+C16-B16</f>
        <v>0</v>
      </c>
      <c r="E16" s="419" t="n">
        <f aca="false">+E15+B16</f>
        <v>55000</v>
      </c>
      <c r="F16" s="419" t="n">
        <f aca="false">+F15+C16</f>
        <v>55000</v>
      </c>
      <c r="G16" s="419" t="n">
        <f aca="false">+G15+D16</f>
        <v>0</v>
      </c>
      <c r="I16" s="25" t="n">
        <v>968</v>
      </c>
      <c r="J16" s="419" t="n">
        <f aca="false">+Supplies!I16</f>
        <v>968</v>
      </c>
      <c r="K16" s="419" t="n">
        <f aca="false">+J16-I16</f>
        <v>0</v>
      </c>
      <c r="L16" s="419" t="n">
        <f aca="false">+L15+I16</f>
        <v>10648</v>
      </c>
      <c r="M16" s="419" t="n">
        <f aca="false">+M15+J16</f>
        <v>10472</v>
      </c>
      <c r="N16" s="419" t="n">
        <f aca="false">+N15+K16</f>
        <v>-176</v>
      </c>
      <c r="P16" s="25" t="n">
        <v>4193</v>
      </c>
      <c r="Q16" s="419" t="n">
        <f aca="false">+Supplies!J16</f>
        <v>4193</v>
      </c>
      <c r="R16" s="419" t="n">
        <f aca="false">+Q16-P16</f>
        <v>0</v>
      </c>
      <c r="S16" s="419" t="n">
        <f aca="false">+S15+P16</f>
        <v>46123</v>
      </c>
      <c r="T16" s="419" t="n">
        <f aca="false">+T15+Q16</f>
        <v>45538</v>
      </c>
      <c r="V16" s="419" t="n">
        <v>4000</v>
      </c>
      <c r="W16" s="419" t="n">
        <f aca="false">+Supplies!K16</f>
        <v>4000</v>
      </c>
      <c r="X16" s="419" t="n">
        <f aca="false">+W16-V16</f>
        <v>0</v>
      </c>
      <c r="Y16" s="419" t="n">
        <f aca="false">+Y15+V16</f>
        <v>44000</v>
      </c>
      <c r="Z16" s="419" t="n">
        <f aca="false">+Z15+W16</f>
        <v>44000</v>
      </c>
      <c r="AB16" s="25" t="n">
        <v>10000</v>
      </c>
      <c r="AC16" s="419" t="n">
        <f aca="false">+Supplies!L16</f>
        <v>10000</v>
      </c>
      <c r="AD16" s="419" t="n">
        <f aca="false">+AC16-AB16</f>
        <v>0</v>
      </c>
      <c r="AE16" s="419" t="n">
        <f aca="false">+AE15+AB16</f>
        <v>110000</v>
      </c>
      <c r="AF16" s="419" t="n">
        <f aca="false">+AF15+AC16</f>
        <v>110000</v>
      </c>
      <c r="AH16" s="419" t="n">
        <v>2500</v>
      </c>
      <c r="AI16" s="419" t="n">
        <f aca="false">+Supplies!N16</f>
        <v>2500</v>
      </c>
      <c r="AJ16" s="419" t="n">
        <f aca="false">+AI16-AH16</f>
        <v>0</v>
      </c>
      <c r="AK16" s="419" t="n">
        <f aca="false">+AK15+AH16</f>
        <v>15000</v>
      </c>
      <c r="AL16" s="419" t="n">
        <f aca="false">+AL15+AI16</f>
        <v>14778</v>
      </c>
      <c r="AN16" s="419" t="n">
        <v>5000</v>
      </c>
      <c r="AO16" s="419" t="n">
        <f aca="false">+BaseloadMarkets!S16</f>
        <v>5000</v>
      </c>
      <c r="AP16" s="419" t="n">
        <f aca="false">+AO16-AN16</f>
        <v>0</v>
      </c>
      <c r="AQ16" s="419" t="n">
        <f aca="false">+AQ15+AN16</f>
        <v>55000</v>
      </c>
      <c r="AR16" s="419" t="n">
        <f aca="false">+AR15+AO16</f>
        <v>55000</v>
      </c>
    </row>
    <row r="17" customFormat="false" ht="12.75" hidden="false" customHeight="false" outlineLevel="0" collapsed="false">
      <c r="A17" s="449" t="n">
        <f aca="false">BaseloadMarkets!A17</f>
        <v>36719</v>
      </c>
      <c r="B17" s="25" t="n">
        <v>5000</v>
      </c>
      <c r="C17" s="419" t="n">
        <f aca="false">+Supplies!H17</f>
        <v>5000</v>
      </c>
      <c r="D17" s="419" t="n">
        <f aca="false">+C17-B17</f>
        <v>0</v>
      </c>
      <c r="E17" s="419" t="n">
        <f aca="false">+E16+B17</f>
        <v>60000</v>
      </c>
      <c r="F17" s="419" t="n">
        <f aca="false">+F16+C17</f>
        <v>60000</v>
      </c>
      <c r="G17" s="419" t="n">
        <f aca="false">+G16+D17</f>
        <v>0</v>
      </c>
      <c r="I17" s="25" t="n">
        <v>968</v>
      </c>
      <c r="J17" s="419" t="n">
        <f aca="false">+Supplies!I17</f>
        <v>968</v>
      </c>
      <c r="K17" s="419" t="n">
        <f aca="false">+J17-I17</f>
        <v>0</v>
      </c>
      <c r="L17" s="419" t="n">
        <f aca="false">+L16+I17</f>
        <v>11616</v>
      </c>
      <c r="M17" s="419" t="n">
        <f aca="false">+M16+J17</f>
        <v>11440</v>
      </c>
      <c r="N17" s="419" t="n">
        <f aca="false">+N16+K17</f>
        <v>-176</v>
      </c>
      <c r="P17" s="25" t="n">
        <v>4193</v>
      </c>
      <c r="Q17" s="419" t="n">
        <f aca="false">+Supplies!J17</f>
        <v>4193</v>
      </c>
      <c r="R17" s="419" t="n">
        <f aca="false">+Q17-P17</f>
        <v>0</v>
      </c>
      <c r="S17" s="419" t="n">
        <f aca="false">+S16+P17</f>
        <v>50316</v>
      </c>
      <c r="T17" s="419" t="n">
        <f aca="false">+T16+Q17</f>
        <v>49731</v>
      </c>
      <c r="V17" s="419" t="n">
        <v>4000</v>
      </c>
      <c r="W17" s="419" t="n">
        <f aca="false">+Supplies!K17</f>
        <v>4000</v>
      </c>
      <c r="X17" s="419" t="n">
        <f aca="false">+W17-V17</f>
        <v>0</v>
      </c>
      <c r="Y17" s="419" t="n">
        <f aca="false">+Y16+V17</f>
        <v>48000</v>
      </c>
      <c r="Z17" s="419" t="n">
        <f aca="false">+Z16+W17</f>
        <v>48000</v>
      </c>
      <c r="AB17" s="25" t="n">
        <v>10000</v>
      </c>
      <c r="AC17" s="419" t="n">
        <f aca="false">+Supplies!L17</f>
        <v>10000</v>
      </c>
      <c r="AD17" s="419" t="n">
        <f aca="false">+AC17-AB17</f>
        <v>0</v>
      </c>
      <c r="AE17" s="419" t="n">
        <f aca="false">+AE16+AB17</f>
        <v>120000</v>
      </c>
      <c r="AF17" s="419" t="n">
        <f aca="false">+AF16+AC17</f>
        <v>120000</v>
      </c>
      <c r="AH17" s="419" t="n">
        <v>2500</v>
      </c>
      <c r="AI17" s="419" t="n">
        <f aca="false">+Supplies!N17</f>
        <v>2500</v>
      </c>
      <c r="AJ17" s="419" t="n">
        <f aca="false">+AI17-AH17</f>
        <v>0</v>
      </c>
      <c r="AK17" s="419" t="n">
        <f aca="false">+AK16+AH17</f>
        <v>17500</v>
      </c>
      <c r="AL17" s="419" t="n">
        <f aca="false">+AL16+AI17</f>
        <v>17278</v>
      </c>
      <c r="AN17" s="419" t="n">
        <v>5000</v>
      </c>
      <c r="AO17" s="419" t="n">
        <f aca="false">+BaseloadMarkets!S17</f>
        <v>5000</v>
      </c>
      <c r="AP17" s="419" t="n">
        <f aca="false">+AO17-AN17</f>
        <v>0</v>
      </c>
      <c r="AQ17" s="419" t="n">
        <f aca="false">+AQ16+AN17</f>
        <v>60000</v>
      </c>
      <c r="AR17" s="419" t="n">
        <f aca="false">+AR16+AO17</f>
        <v>60000</v>
      </c>
    </row>
    <row r="18" customFormat="false" ht="12.75" hidden="false" customHeight="false" outlineLevel="0" collapsed="false">
      <c r="A18" s="449" t="n">
        <f aca="false">BaseloadMarkets!A18</f>
        <v>36720</v>
      </c>
      <c r="B18" s="25" t="n">
        <v>5000</v>
      </c>
      <c r="C18" s="419" t="n">
        <f aca="false">+Supplies!H18</f>
        <v>5000</v>
      </c>
      <c r="D18" s="419" t="n">
        <f aca="false">+C18-B18</f>
        <v>0</v>
      </c>
      <c r="E18" s="419" t="n">
        <f aca="false">+E17+B18</f>
        <v>65000</v>
      </c>
      <c r="F18" s="419" t="n">
        <f aca="false">+F17+C18</f>
        <v>65000</v>
      </c>
      <c r="G18" s="419" t="n">
        <f aca="false">+G17+D18</f>
        <v>0</v>
      </c>
      <c r="I18" s="25" t="n">
        <v>968</v>
      </c>
      <c r="J18" s="419" t="n">
        <f aca="false">+Supplies!I18</f>
        <v>968</v>
      </c>
      <c r="K18" s="419" t="n">
        <f aca="false">+J18-I18</f>
        <v>0</v>
      </c>
      <c r="L18" s="419" t="n">
        <f aca="false">+L17+I18</f>
        <v>12584</v>
      </c>
      <c r="M18" s="419" t="n">
        <f aca="false">+M17+J18</f>
        <v>12408</v>
      </c>
      <c r="N18" s="419" t="n">
        <f aca="false">+N17+K18</f>
        <v>-176</v>
      </c>
      <c r="P18" s="25" t="n">
        <v>4193</v>
      </c>
      <c r="Q18" s="419" t="n">
        <f aca="false">+Supplies!J18</f>
        <v>4193</v>
      </c>
      <c r="R18" s="419" t="n">
        <f aca="false">+Q18-P18</f>
        <v>0</v>
      </c>
      <c r="S18" s="419" t="n">
        <f aca="false">+S17+P18</f>
        <v>54509</v>
      </c>
      <c r="T18" s="419" t="n">
        <f aca="false">+T17+Q18</f>
        <v>53924</v>
      </c>
      <c r="V18" s="419" t="n">
        <v>4000</v>
      </c>
      <c r="W18" s="419" t="n">
        <f aca="false">+Supplies!K18</f>
        <v>4000</v>
      </c>
      <c r="X18" s="419" t="n">
        <f aca="false">+W18-V18</f>
        <v>0</v>
      </c>
      <c r="Y18" s="419" t="n">
        <f aca="false">+Y17+V18</f>
        <v>52000</v>
      </c>
      <c r="Z18" s="419" t="n">
        <f aca="false">+Z17+W18</f>
        <v>52000</v>
      </c>
      <c r="AB18" s="25" t="n">
        <v>10000</v>
      </c>
      <c r="AC18" s="419" t="n">
        <f aca="false">+Supplies!L18</f>
        <v>10000</v>
      </c>
      <c r="AD18" s="419" t="n">
        <f aca="false">+AC18-AB18</f>
        <v>0</v>
      </c>
      <c r="AE18" s="419" t="n">
        <f aca="false">+AE17+AB18</f>
        <v>130000</v>
      </c>
      <c r="AF18" s="419" t="n">
        <f aca="false">+AF17+AC18</f>
        <v>130000</v>
      </c>
      <c r="AH18" s="419" t="n">
        <v>2500</v>
      </c>
      <c r="AI18" s="419" t="n">
        <f aca="false">+Supplies!N18</f>
        <v>2500</v>
      </c>
      <c r="AJ18" s="419" t="n">
        <f aca="false">+AI18-AH18</f>
        <v>0</v>
      </c>
      <c r="AK18" s="419" t="n">
        <f aca="false">+AK17+AH18</f>
        <v>20000</v>
      </c>
      <c r="AL18" s="419" t="n">
        <f aca="false">+AL17+AI18</f>
        <v>19778</v>
      </c>
      <c r="AN18" s="419" t="n">
        <v>5000</v>
      </c>
      <c r="AO18" s="419" t="n">
        <f aca="false">+BaseloadMarkets!S18</f>
        <v>5000</v>
      </c>
      <c r="AP18" s="419" t="n">
        <f aca="false">+AO18-AN18</f>
        <v>0</v>
      </c>
      <c r="AQ18" s="419" t="n">
        <f aca="false">+AQ17+AN18</f>
        <v>65000</v>
      </c>
      <c r="AR18" s="419" t="n">
        <f aca="false">+AR17+AO18</f>
        <v>65000</v>
      </c>
    </row>
    <row r="19" customFormat="false" ht="12.75" hidden="false" customHeight="false" outlineLevel="0" collapsed="false">
      <c r="A19" s="449" t="n">
        <f aca="false">BaseloadMarkets!A19</f>
        <v>36721</v>
      </c>
      <c r="B19" s="25" t="n">
        <v>5000</v>
      </c>
      <c r="C19" s="419" t="n">
        <f aca="false">+Supplies!H19</f>
        <v>5000</v>
      </c>
      <c r="D19" s="419" t="n">
        <f aca="false">+C19-B19</f>
        <v>0</v>
      </c>
      <c r="E19" s="419" t="n">
        <f aca="false">+E18+B19</f>
        <v>70000</v>
      </c>
      <c r="F19" s="419" t="n">
        <f aca="false">+F18+C19</f>
        <v>70000</v>
      </c>
      <c r="G19" s="419" t="n">
        <f aca="false">+G18+D19</f>
        <v>0</v>
      </c>
      <c r="I19" s="25" t="n">
        <v>968</v>
      </c>
      <c r="J19" s="419" t="n">
        <f aca="false">+Supplies!I19</f>
        <v>968</v>
      </c>
      <c r="K19" s="419" t="n">
        <f aca="false">+J19-I19</f>
        <v>0</v>
      </c>
      <c r="L19" s="419" t="n">
        <f aca="false">+L18+I19</f>
        <v>13552</v>
      </c>
      <c r="M19" s="419" t="n">
        <f aca="false">+M18+J19</f>
        <v>13376</v>
      </c>
      <c r="N19" s="419" t="n">
        <f aca="false">+N18+K19</f>
        <v>-176</v>
      </c>
      <c r="P19" s="25" t="n">
        <v>4193</v>
      </c>
      <c r="Q19" s="419" t="n">
        <f aca="false">+Supplies!J19</f>
        <v>4193</v>
      </c>
      <c r="R19" s="419" t="n">
        <f aca="false">+Q19-P19</f>
        <v>0</v>
      </c>
      <c r="S19" s="419" t="n">
        <f aca="false">+S18+P19</f>
        <v>58702</v>
      </c>
      <c r="T19" s="419" t="n">
        <f aca="false">+T18+Q19</f>
        <v>58117</v>
      </c>
      <c r="V19" s="419" t="n">
        <v>4000</v>
      </c>
      <c r="W19" s="419" t="n">
        <f aca="false">+Supplies!K19</f>
        <v>4000</v>
      </c>
      <c r="X19" s="419" t="n">
        <f aca="false">+W19-V19</f>
        <v>0</v>
      </c>
      <c r="Y19" s="419" t="n">
        <f aca="false">+Y18+V19</f>
        <v>56000</v>
      </c>
      <c r="Z19" s="419" t="n">
        <f aca="false">+Z18+W19</f>
        <v>56000</v>
      </c>
      <c r="AB19" s="25" t="n">
        <v>10000</v>
      </c>
      <c r="AC19" s="419" t="n">
        <f aca="false">+Supplies!L19</f>
        <v>10000</v>
      </c>
      <c r="AD19" s="419" t="n">
        <f aca="false">+AC19-AB19</f>
        <v>0</v>
      </c>
      <c r="AE19" s="419" t="n">
        <f aca="false">+AE18+AB19</f>
        <v>140000</v>
      </c>
      <c r="AF19" s="419" t="n">
        <f aca="false">+AF18+AC19</f>
        <v>140000</v>
      </c>
      <c r="AH19" s="419" t="n">
        <v>2500</v>
      </c>
      <c r="AI19" s="419" t="n">
        <f aca="false">+Supplies!N19</f>
        <v>2500</v>
      </c>
      <c r="AJ19" s="419" t="n">
        <f aca="false">+AI19-AH19</f>
        <v>0</v>
      </c>
      <c r="AK19" s="419" t="n">
        <f aca="false">+AK18+AH19</f>
        <v>22500</v>
      </c>
      <c r="AL19" s="419" t="n">
        <f aca="false">+AL18+AI19</f>
        <v>22278</v>
      </c>
      <c r="AN19" s="419" t="n">
        <v>5000</v>
      </c>
      <c r="AO19" s="419" t="n">
        <f aca="false">+BaseloadMarkets!S19</f>
        <v>5000</v>
      </c>
      <c r="AP19" s="419" t="n">
        <f aca="false">+AO19-AN19</f>
        <v>0</v>
      </c>
      <c r="AQ19" s="419" t="n">
        <f aca="false">+AQ18+AN19</f>
        <v>70000</v>
      </c>
      <c r="AR19" s="419" t="n">
        <f aca="false">+AR18+AO19</f>
        <v>70000</v>
      </c>
    </row>
    <row r="20" customFormat="false" ht="12.75" hidden="false" customHeight="false" outlineLevel="0" collapsed="false">
      <c r="A20" s="449" t="n">
        <f aca="false">BaseloadMarkets!A20</f>
        <v>36722</v>
      </c>
      <c r="B20" s="25" t="n">
        <v>5000</v>
      </c>
      <c r="C20" s="419" t="n">
        <f aca="false">+Supplies!H20</f>
        <v>5000</v>
      </c>
      <c r="D20" s="419" t="n">
        <f aca="false">+C20-B20</f>
        <v>0</v>
      </c>
      <c r="E20" s="419" t="n">
        <f aca="false">+E19+B20</f>
        <v>75000</v>
      </c>
      <c r="F20" s="419" t="n">
        <f aca="false">+F19+C20</f>
        <v>75000</v>
      </c>
      <c r="G20" s="419" t="n">
        <f aca="false">+G19+D20</f>
        <v>0</v>
      </c>
      <c r="I20" s="25" t="n">
        <v>968</v>
      </c>
      <c r="J20" s="419" t="n">
        <f aca="false">+Supplies!I20</f>
        <v>968</v>
      </c>
      <c r="K20" s="419" t="n">
        <f aca="false">+J20-I20</f>
        <v>0</v>
      </c>
      <c r="L20" s="419" t="n">
        <f aca="false">+L19+I20</f>
        <v>14520</v>
      </c>
      <c r="M20" s="419" t="n">
        <f aca="false">+M19+J20</f>
        <v>14344</v>
      </c>
      <c r="N20" s="419" t="n">
        <f aca="false">+N19+K20</f>
        <v>-176</v>
      </c>
      <c r="P20" s="25" t="n">
        <v>4193</v>
      </c>
      <c r="Q20" s="419" t="n">
        <f aca="false">+Supplies!J20</f>
        <v>4193</v>
      </c>
      <c r="R20" s="419" t="n">
        <f aca="false">+Q20-P20</f>
        <v>0</v>
      </c>
      <c r="S20" s="419" t="n">
        <f aca="false">+S19+P20</f>
        <v>62895</v>
      </c>
      <c r="T20" s="419" t="n">
        <f aca="false">+T19+Q20</f>
        <v>62310</v>
      </c>
      <c r="V20" s="419" t="n">
        <v>4000</v>
      </c>
      <c r="W20" s="419" t="n">
        <f aca="false">+Supplies!K20</f>
        <v>4000</v>
      </c>
      <c r="X20" s="419" t="n">
        <f aca="false">+W20-V20</f>
        <v>0</v>
      </c>
      <c r="Y20" s="419" t="n">
        <f aca="false">+Y19+V20</f>
        <v>60000</v>
      </c>
      <c r="Z20" s="419" t="n">
        <f aca="false">+Z19+W20</f>
        <v>60000</v>
      </c>
      <c r="AB20" s="25" t="n">
        <v>10000</v>
      </c>
      <c r="AC20" s="419" t="n">
        <f aca="false">+Supplies!L20</f>
        <v>10000</v>
      </c>
      <c r="AD20" s="419" t="n">
        <f aca="false">+AC20-AB20</f>
        <v>0</v>
      </c>
      <c r="AE20" s="419" t="n">
        <f aca="false">+AE19+AB20</f>
        <v>150000</v>
      </c>
      <c r="AF20" s="419" t="n">
        <f aca="false">+AF19+AC20</f>
        <v>150000</v>
      </c>
      <c r="AH20" s="419" t="n">
        <v>0</v>
      </c>
      <c r="AI20" s="419" t="n">
        <f aca="false">+Supplies!N20</f>
        <v>0</v>
      </c>
      <c r="AJ20" s="419" t="n">
        <f aca="false">+AI20-AH20</f>
        <v>0</v>
      </c>
      <c r="AK20" s="419" t="n">
        <f aca="false">+AK19+AH20</f>
        <v>22500</v>
      </c>
      <c r="AL20" s="419" t="n">
        <f aca="false">+AL19+AI20</f>
        <v>22278</v>
      </c>
      <c r="AN20" s="419" t="n">
        <v>5000</v>
      </c>
      <c r="AO20" s="419" t="n">
        <f aca="false">+BaseloadMarkets!S20</f>
        <v>5000</v>
      </c>
      <c r="AP20" s="419" t="n">
        <f aca="false">+AO20-AN20</f>
        <v>0</v>
      </c>
      <c r="AQ20" s="419" t="n">
        <f aca="false">+AQ19+AN20</f>
        <v>75000</v>
      </c>
      <c r="AR20" s="419" t="n">
        <f aca="false">+AR19+AO20</f>
        <v>75000</v>
      </c>
    </row>
    <row r="21" customFormat="false" ht="12.75" hidden="false" customHeight="false" outlineLevel="0" collapsed="false">
      <c r="A21" s="449" t="n">
        <f aca="false">BaseloadMarkets!A21</f>
        <v>36723</v>
      </c>
      <c r="B21" s="25" t="n">
        <v>5000</v>
      </c>
      <c r="C21" s="419" t="n">
        <f aca="false">+Supplies!H21</f>
        <v>5000</v>
      </c>
      <c r="D21" s="419" t="n">
        <f aca="false">+C21-B21</f>
        <v>0</v>
      </c>
      <c r="E21" s="419" t="n">
        <f aca="false">+E20+B21</f>
        <v>80000</v>
      </c>
      <c r="F21" s="419" t="n">
        <f aca="false">+F20+C21</f>
        <v>80000</v>
      </c>
      <c r="G21" s="419" t="n">
        <f aca="false">+G20+D21</f>
        <v>0</v>
      </c>
      <c r="I21" s="25" t="n">
        <v>968</v>
      </c>
      <c r="J21" s="419" t="n">
        <f aca="false">+Supplies!I21</f>
        <v>968</v>
      </c>
      <c r="K21" s="419" t="n">
        <f aca="false">+J21-I21</f>
        <v>0</v>
      </c>
      <c r="L21" s="419" t="n">
        <f aca="false">+L20+I21</f>
        <v>15488</v>
      </c>
      <c r="M21" s="419" t="n">
        <f aca="false">+M20+J21</f>
        <v>15312</v>
      </c>
      <c r="N21" s="419" t="n">
        <f aca="false">+N20+K21</f>
        <v>-176</v>
      </c>
      <c r="P21" s="25" t="n">
        <v>4193</v>
      </c>
      <c r="Q21" s="419" t="n">
        <f aca="false">+Supplies!J21</f>
        <v>4193</v>
      </c>
      <c r="R21" s="419" t="n">
        <f aca="false">+Q21-P21</f>
        <v>0</v>
      </c>
      <c r="S21" s="419" t="n">
        <f aca="false">+S20+P21</f>
        <v>67088</v>
      </c>
      <c r="T21" s="419" t="n">
        <f aca="false">+T20+Q21</f>
        <v>66503</v>
      </c>
      <c r="V21" s="419" t="n">
        <v>4000</v>
      </c>
      <c r="W21" s="419" t="n">
        <f aca="false">+Supplies!K21</f>
        <v>4000</v>
      </c>
      <c r="X21" s="419" t="n">
        <f aca="false">+W21-V21</f>
        <v>0</v>
      </c>
      <c r="Y21" s="419" t="n">
        <f aca="false">+Y20+V21</f>
        <v>64000</v>
      </c>
      <c r="Z21" s="419" t="n">
        <f aca="false">+Z20+W21</f>
        <v>64000</v>
      </c>
      <c r="AB21" s="25" t="n">
        <v>10000</v>
      </c>
      <c r="AC21" s="419" t="n">
        <f aca="false">+Supplies!L21</f>
        <v>10000</v>
      </c>
      <c r="AD21" s="419" t="n">
        <f aca="false">+AC21-AB21</f>
        <v>0</v>
      </c>
      <c r="AE21" s="419" t="n">
        <f aca="false">+AE20+AB21</f>
        <v>160000</v>
      </c>
      <c r="AF21" s="419" t="n">
        <f aca="false">+AF20+AC21</f>
        <v>160000</v>
      </c>
      <c r="AH21" s="419" t="n">
        <v>0</v>
      </c>
      <c r="AI21" s="419" t="n">
        <f aca="false">+Supplies!N21</f>
        <v>0</v>
      </c>
      <c r="AJ21" s="419" t="n">
        <f aca="false">+AI21-AH21</f>
        <v>0</v>
      </c>
      <c r="AK21" s="419" t="n">
        <f aca="false">+AK20+AH21</f>
        <v>22500</v>
      </c>
      <c r="AL21" s="419" t="n">
        <f aca="false">+AL20+AI21</f>
        <v>22278</v>
      </c>
      <c r="AN21" s="419" t="n">
        <v>5000</v>
      </c>
      <c r="AO21" s="419" t="n">
        <f aca="false">+BaseloadMarkets!S21</f>
        <v>5000</v>
      </c>
      <c r="AP21" s="419" t="n">
        <f aca="false">+AO21-AN21</f>
        <v>0</v>
      </c>
      <c r="AQ21" s="419" t="n">
        <f aca="false">+AQ20+AN21</f>
        <v>80000</v>
      </c>
      <c r="AR21" s="419" t="n">
        <f aca="false">+AR20+AO21</f>
        <v>80000</v>
      </c>
    </row>
    <row r="22" customFormat="false" ht="12.75" hidden="false" customHeight="false" outlineLevel="0" collapsed="false">
      <c r="A22" s="449" t="n">
        <f aca="false">BaseloadMarkets!A22</f>
        <v>36724</v>
      </c>
      <c r="B22" s="25" t="n">
        <v>5000</v>
      </c>
      <c r="C22" s="419" t="n">
        <f aca="false">+Supplies!H22</f>
        <v>5000</v>
      </c>
      <c r="D22" s="419" t="n">
        <f aca="false">+C22-B22</f>
        <v>0</v>
      </c>
      <c r="E22" s="419" t="n">
        <f aca="false">+E21+B22</f>
        <v>85000</v>
      </c>
      <c r="F22" s="419" t="n">
        <f aca="false">+F21+C22</f>
        <v>85000</v>
      </c>
      <c r="G22" s="419" t="n">
        <f aca="false">+G21+D22</f>
        <v>0</v>
      </c>
      <c r="I22" s="25" t="n">
        <v>968</v>
      </c>
      <c r="J22" s="419" t="n">
        <f aca="false">+Supplies!I22</f>
        <v>968</v>
      </c>
      <c r="K22" s="419" t="n">
        <f aca="false">+J22-I22</f>
        <v>0</v>
      </c>
      <c r="L22" s="419" t="n">
        <f aca="false">+L21+I22</f>
        <v>16456</v>
      </c>
      <c r="M22" s="419" t="n">
        <f aca="false">+M21+J22</f>
        <v>16280</v>
      </c>
      <c r="N22" s="419" t="n">
        <f aca="false">+N21+K22</f>
        <v>-176</v>
      </c>
      <c r="P22" s="25" t="n">
        <v>4193</v>
      </c>
      <c r="Q22" s="419" t="n">
        <f aca="false">+Supplies!J22</f>
        <v>4193</v>
      </c>
      <c r="R22" s="419" t="n">
        <f aca="false">+Q22-P22</f>
        <v>0</v>
      </c>
      <c r="S22" s="419" t="n">
        <f aca="false">+S21+P22</f>
        <v>71281</v>
      </c>
      <c r="T22" s="419" t="n">
        <f aca="false">+T21+Q22</f>
        <v>70696</v>
      </c>
      <c r="V22" s="419" t="n">
        <v>4000</v>
      </c>
      <c r="W22" s="419" t="n">
        <f aca="false">+Supplies!K22</f>
        <v>4000</v>
      </c>
      <c r="X22" s="419" t="n">
        <f aca="false">+W22-V22</f>
        <v>0</v>
      </c>
      <c r="Y22" s="419" t="n">
        <f aca="false">+Y21+V22</f>
        <v>68000</v>
      </c>
      <c r="Z22" s="419" t="n">
        <f aca="false">+Z21+W22</f>
        <v>68000</v>
      </c>
      <c r="AB22" s="25" t="n">
        <v>10000</v>
      </c>
      <c r="AC22" s="419" t="n">
        <f aca="false">+Supplies!L22</f>
        <v>10000</v>
      </c>
      <c r="AD22" s="419" t="n">
        <f aca="false">+AC22-AB22</f>
        <v>0</v>
      </c>
      <c r="AE22" s="419" t="n">
        <f aca="false">+AE21+AB22</f>
        <v>170000</v>
      </c>
      <c r="AF22" s="419" t="n">
        <f aca="false">+AF21+AC22</f>
        <v>170000</v>
      </c>
      <c r="AH22" s="419" t="n">
        <v>2500</v>
      </c>
      <c r="AI22" s="419" t="n">
        <f aca="false">+Supplies!N22</f>
        <v>0</v>
      </c>
      <c r="AJ22" s="419" t="n">
        <f aca="false">+AI22-AH22</f>
        <v>-2500</v>
      </c>
      <c r="AK22" s="419" t="n">
        <f aca="false">+AK21+AH22</f>
        <v>25000</v>
      </c>
      <c r="AL22" s="419" t="n">
        <f aca="false">+AL21+AI22</f>
        <v>22278</v>
      </c>
      <c r="AN22" s="419" t="n">
        <v>5000</v>
      </c>
      <c r="AO22" s="419" t="n">
        <f aca="false">+BaseloadMarkets!S22</f>
        <v>5000</v>
      </c>
      <c r="AP22" s="419" t="n">
        <f aca="false">+AO22-AN22</f>
        <v>0</v>
      </c>
      <c r="AQ22" s="419" t="n">
        <f aca="false">+AQ21+AN22</f>
        <v>85000</v>
      </c>
      <c r="AR22" s="419" t="n">
        <f aca="false">+AR21+AO22</f>
        <v>85000</v>
      </c>
    </row>
    <row r="23" customFormat="false" ht="12.75" hidden="false" customHeight="false" outlineLevel="0" collapsed="false">
      <c r="A23" s="449" t="n">
        <f aca="false">BaseloadMarkets!A23</f>
        <v>36725</v>
      </c>
      <c r="B23" s="25" t="n">
        <v>5000</v>
      </c>
      <c r="C23" s="419" t="n">
        <f aca="false">+Supplies!H23</f>
        <v>5000</v>
      </c>
      <c r="D23" s="419" t="n">
        <f aca="false">+C23-B23</f>
        <v>0</v>
      </c>
      <c r="E23" s="419" t="n">
        <f aca="false">+E22+B23</f>
        <v>90000</v>
      </c>
      <c r="F23" s="419" t="n">
        <f aca="false">+F22+C23</f>
        <v>90000</v>
      </c>
      <c r="G23" s="419" t="n">
        <f aca="false">+G22+D23</f>
        <v>0</v>
      </c>
      <c r="I23" s="25" t="n">
        <v>968</v>
      </c>
      <c r="J23" s="419" t="n">
        <f aca="false">+Supplies!I23</f>
        <v>968</v>
      </c>
      <c r="K23" s="419" t="n">
        <f aca="false">+J23-I23</f>
        <v>0</v>
      </c>
      <c r="L23" s="419" t="n">
        <f aca="false">+L22+I23</f>
        <v>17424</v>
      </c>
      <c r="M23" s="419" t="n">
        <f aca="false">+M22+J23</f>
        <v>17248</v>
      </c>
      <c r="N23" s="419" t="n">
        <f aca="false">+N22+K23</f>
        <v>-176</v>
      </c>
      <c r="P23" s="25" t="n">
        <v>4193</v>
      </c>
      <c r="Q23" s="419" t="n">
        <f aca="false">+Supplies!J23</f>
        <v>4193</v>
      </c>
      <c r="R23" s="419" t="n">
        <f aca="false">+Q23-P23</f>
        <v>0</v>
      </c>
      <c r="S23" s="419" t="n">
        <f aca="false">+S22+P23</f>
        <v>75474</v>
      </c>
      <c r="T23" s="419" t="n">
        <f aca="false">+T22+Q23</f>
        <v>74889</v>
      </c>
      <c r="V23" s="419" t="n">
        <v>4000</v>
      </c>
      <c r="W23" s="419" t="n">
        <f aca="false">+Supplies!K23</f>
        <v>4000</v>
      </c>
      <c r="X23" s="419" t="n">
        <f aca="false">+W23-V23</f>
        <v>0</v>
      </c>
      <c r="Y23" s="419" t="n">
        <f aca="false">+Y22+V23</f>
        <v>72000</v>
      </c>
      <c r="Z23" s="419" t="n">
        <f aca="false">+Z22+W23</f>
        <v>72000</v>
      </c>
      <c r="AB23" s="25" t="n">
        <v>10000</v>
      </c>
      <c r="AC23" s="419" t="n">
        <f aca="false">+Supplies!L23</f>
        <v>10000</v>
      </c>
      <c r="AD23" s="419" t="n">
        <f aca="false">+AC23-AB23</f>
        <v>0</v>
      </c>
      <c r="AE23" s="419" t="n">
        <f aca="false">+AE22+AB23</f>
        <v>180000</v>
      </c>
      <c r="AF23" s="419" t="n">
        <f aca="false">+AF22+AC23</f>
        <v>180000</v>
      </c>
      <c r="AH23" s="419" t="n">
        <v>2500</v>
      </c>
      <c r="AI23" s="419" t="n">
        <f aca="false">+Supplies!N23</f>
        <v>2500</v>
      </c>
      <c r="AJ23" s="419" t="n">
        <f aca="false">+AI23-AH23</f>
        <v>0</v>
      </c>
      <c r="AK23" s="419" t="n">
        <f aca="false">+AK22+AH23</f>
        <v>27500</v>
      </c>
      <c r="AL23" s="419" t="n">
        <f aca="false">+AL22+AI23</f>
        <v>24778</v>
      </c>
      <c r="AN23" s="419" t="n">
        <v>5000</v>
      </c>
      <c r="AO23" s="419" t="n">
        <f aca="false">+BaseloadMarkets!S23</f>
        <v>5000</v>
      </c>
      <c r="AP23" s="419" t="n">
        <f aca="false">+AO23-AN23</f>
        <v>0</v>
      </c>
      <c r="AQ23" s="419" t="n">
        <f aca="false">+AQ22+AN23</f>
        <v>90000</v>
      </c>
      <c r="AR23" s="419" t="n">
        <f aca="false">+AR22+AO23</f>
        <v>90000</v>
      </c>
    </row>
    <row r="24" customFormat="false" ht="12.75" hidden="false" customHeight="false" outlineLevel="0" collapsed="false">
      <c r="A24" s="449" t="n">
        <f aca="false">BaseloadMarkets!A24</f>
        <v>36726</v>
      </c>
      <c r="B24" s="25" t="n">
        <v>5000</v>
      </c>
      <c r="C24" s="419" t="n">
        <f aca="false">+Supplies!H24</f>
        <v>5000</v>
      </c>
      <c r="D24" s="419" t="n">
        <f aca="false">+C24-B24</f>
        <v>0</v>
      </c>
      <c r="E24" s="419" t="n">
        <f aca="false">+E23+B24</f>
        <v>95000</v>
      </c>
      <c r="F24" s="419" t="n">
        <f aca="false">+F23+C24</f>
        <v>95000</v>
      </c>
      <c r="G24" s="419" t="n">
        <f aca="false">+G23+D24</f>
        <v>0</v>
      </c>
      <c r="I24" s="25" t="n">
        <v>968</v>
      </c>
      <c r="J24" s="419" t="n">
        <f aca="false">+Supplies!I24</f>
        <v>968</v>
      </c>
      <c r="K24" s="419" t="n">
        <f aca="false">+J24-I24</f>
        <v>0</v>
      </c>
      <c r="L24" s="419" t="n">
        <f aca="false">+L23+I24</f>
        <v>18392</v>
      </c>
      <c r="M24" s="419" t="n">
        <f aca="false">+M23+J24</f>
        <v>18216</v>
      </c>
      <c r="N24" s="419" t="n">
        <f aca="false">+N23+K24</f>
        <v>-176</v>
      </c>
      <c r="P24" s="25" t="n">
        <v>4193</v>
      </c>
      <c r="Q24" s="419" t="n">
        <f aca="false">+Supplies!J24</f>
        <v>4193</v>
      </c>
      <c r="R24" s="419" t="n">
        <f aca="false">+Q24-P24</f>
        <v>0</v>
      </c>
      <c r="S24" s="419" t="n">
        <f aca="false">+S23+P24</f>
        <v>79667</v>
      </c>
      <c r="T24" s="419" t="n">
        <f aca="false">+T23+Q24</f>
        <v>79082</v>
      </c>
      <c r="V24" s="419" t="n">
        <v>4000</v>
      </c>
      <c r="W24" s="419" t="n">
        <f aca="false">+Supplies!K24</f>
        <v>4000</v>
      </c>
      <c r="X24" s="419" t="n">
        <f aca="false">+W24-V24</f>
        <v>0</v>
      </c>
      <c r="Y24" s="419" t="n">
        <f aca="false">+Y23+V24</f>
        <v>76000</v>
      </c>
      <c r="Z24" s="419" t="n">
        <f aca="false">+Z23+W24</f>
        <v>76000</v>
      </c>
      <c r="AB24" s="25" t="n">
        <v>10000</v>
      </c>
      <c r="AC24" s="419" t="n">
        <f aca="false">+Supplies!L24</f>
        <v>10000</v>
      </c>
      <c r="AD24" s="419" t="n">
        <f aca="false">+AC24-AB24</f>
        <v>0</v>
      </c>
      <c r="AE24" s="419" t="n">
        <f aca="false">+AE23+AB24</f>
        <v>190000</v>
      </c>
      <c r="AF24" s="419" t="n">
        <f aca="false">+AF23+AC24</f>
        <v>190000</v>
      </c>
      <c r="AH24" s="419" t="n">
        <v>2500</v>
      </c>
      <c r="AI24" s="419" t="n">
        <f aca="false">+Supplies!N24</f>
        <v>2500</v>
      </c>
      <c r="AJ24" s="419" t="n">
        <f aca="false">+AI24-AH24</f>
        <v>0</v>
      </c>
      <c r="AK24" s="419" t="n">
        <f aca="false">+AK23+AH24</f>
        <v>30000</v>
      </c>
      <c r="AL24" s="419" t="n">
        <f aca="false">+AL23+AI24</f>
        <v>27278</v>
      </c>
      <c r="AN24" s="419" t="n">
        <v>5000</v>
      </c>
      <c r="AO24" s="419" t="n">
        <f aca="false">+BaseloadMarkets!S24</f>
        <v>5000</v>
      </c>
      <c r="AP24" s="419" t="n">
        <f aca="false">+AO24-AN24</f>
        <v>0</v>
      </c>
      <c r="AQ24" s="419" t="n">
        <f aca="false">+AQ23+AN24</f>
        <v>95000</v>
      </c>
      <c r="AR24" s="419" t="n">
        <f aca="false">+AR23+AO24</f>
        <v>95000</v>
      </c>
    </row>
    <row r="25" customFormat="false" ht="12.75" hidden="false" customHeight="false" outlineLevel="0" collapsed="false">
      <c r="A25" s="449" t="n">
        <f aca="false">BaseloadMarkets!A25</f>
        <v>36727</v>
      </c>
      <c r="B25" s="25" t="n">
        <v>5000</v>
      </c>
      <c r="C25" s="419" t="n">
        <f aca="false">+Supplies!H25</f>
        <v>5000</v>
      </c>
      <c r="D25" s="419" t="n">
        <f aca="false">+C25-B25</f>
        <v>0</v>
      </c>
      <c r="E25" s="419" t="n">
        <f aca="false">+E24+B25</f>
        <v>100000</v>
      </c>
      <c r="F25" s="419" t="n">
        <f aca="false">+F24+C25</f>
        <v>100000</v>
      </c>
      <c r="G25" s="419" t="n">
        <f aca="false">+G24+D25</f>
        <v>0</v>
      </c>
      <c r="I25" s="25" t="n">
        <v>968</v>
      </c>
      <c r="J25" s="419" t="n">
        <f aca="false">+Supplies!I25</f>
        <v>968</v>
      </c>
      <c r="K25" s="419" t="n">
        <f aca="false">+J25-I25</f>
        <v>0</v>
      </c>
      <c r="L25" s="419" t="n">
        <f aca="false">+L24+I25</f>
        <v>19360</v>
      </c>
      <c r="M25" s="419" t="n">
        <f aca="false">+M24+J25</f>
        <v>19184</v>
      </c>
      <c r="N25" s="419" t="n">
        <f aca="false">+N24+K25</f>
        <v>-176</v>
      </c>
      <c r="P25" s="25" t="n">
        <v>4193</v>
      </c>
      <c r="Q25" s="419" t="n">
        <f aca="false">+Supplies!J25</f>
        <v>4193</v>
      </c>
      <c r="R25" s="419" t="n">
        <f aca="false">+Q25-P25</f>
        <v>0</v>
      </c>
      <c r="S25" s="419" t="n">
        <f aca="false">+S24+P25</f>
        <v>83860</v>
      </c>
      <c r="T25" s="419" t="n">
        <f aca="false">+T24+Q25</f>
        <v>83275</v>
      </c>
      <c r="V25" s="419" t="n">
        <v>4000</v>
      </c>
      <c r="W25" s="419" t="n">
        <f aca="false">+Supplies!K25</f>
        <v>4000</v>
      </c>
      <c r="X25" s="419" t="n">
        <f aca="false">+W25-V25</f>
        <v>0</v>
      </c>
      <c r="Y25" s="419" t="n">
        <f aca="false">+Y24+V25</f>
        <v>80000</v>
      </c>
      <c r="Z25" s="419" t="n">
        <f aca="false">+Z24+W25</f>
        <v>80000</v>
      </c>
      <c r="AB25" s="25" t="n">
        <v>10000</v>
      </c>
      <c r="AC25" s="419" t="n">
        <f aca="false">+Supplies!L25</f>
        <v>10000</v>
      </c>
      <c r="AD25" s="419" t="n">
        <f aca="false">+AC25-AB25</f>
        <v>0</v>
      </c>
      <c r="AE25" s="419" t="n">
        <f aca="false">+AE24+AB25</f>
        <v>200000</v>
      </c>
      <c r="AF25" s="419" t="n">
        <f aca="false">+AF24+AC25</f>
        <v>200000</v>
      </c>
      <c r="AH25" s="419" t="n">
        <v>2500</v>
      </c>
      <c r="AI25" s="419" t="n">
        <f aca="false">+Supplies!N25</f>
        <v>2500</v>
      </c>
      <c r="AJ25" s="419" t="n">
        <f aca="false">+AI25-AH25</f>
        <v>0</v>
      </c>
      <c r="AK25" s="419" t="n">
        <f aca="false">+AK24+AH25</f>
        <v>32500</v>
      </c>
      <c r="AL25" s="419" t="n">
        <f aca="false">+AL24+AI25</f>
        <v>29778</v>
      </c>
      <c r="AN25" s="419" t="n">
        <v>5000</v>
      </c>
      <c r="AO25" s="419" t="n">
        <f aca="false">+BaseloadMarkets!S25</f>
        <v>5000</v>
      </c>
      <c r="AP25" s="419" t="n">
        <f aca="false">+AO25-AN25</f>
        <v>0</v>
      </c>
      <c r="AQ25" s="419" t="n">
        <f aca="false">+AQ24+AN25</f>
        <v>100000</v>
      </c>
      <c r="AR25" s="419" t="n">
        <f aca="false">+AR24+AO25</f>
        <v>100000</v>
      </c>
    </row>
    <row r="26" customFormat="false" ht="12.75" hidden="false" customHeight="false" outlineLevel="0" collapsed="false">
      <c r="A26" s="449" t="n">
        <f aca="false">BaseloadMarkets!A26</f>
        <v>36728</v>
      </c>
      <c r="B26" s="25" t="n">
        <v>5000</v>
      </c>
      <c r="C26" s="419" t="n">
        <f aca="false">+Supplies!H26</f>
        <v>5000</v>
      </c>
      <c r="D26" s="419" t="n">
        <f aca="false">+C26-B26</f>
        <v>0</v>
      </c>
      <c r="E26" s="419" t="n">
        <f aca="false">+E25+B26</f>
        <v>105000</v>
      </c>
      <c r="F26" s="419" t="n">
        <f aca="false">+F25+C26</f>
        <v>105000</v>
      </c>
      <c r="G26" s="419" t="n">
        <f aca="false">+G25+D26</f>
        <v>0</v>
      </c>
      <c r="I26" s="25" t="n">
        <v>968</v>
      </c>
      <c r="J26" s="419" t="n">
        <f aca="false">+Supplies!I26</f>
        <v>968</v>
      </c>
      <c r="K26" s="419" t="n">
        <f aca="false">+J26-I26</f>
        <v>0</v>
      </c>
      <c r="L26" s="419" t="n">
        <f aca="false">+L25+I26</f>
        <v>20328</v>
      </c>
      <c r="M26" s="419" t="n">
        <f aca="false">+M25+J26</f>
        <v>20152</v>
      </c>
      <c r="N26" s="419" t="n">
        <f aca="false">+N25+K26</f>
        <v>-176</v>
      </c>
      <c r="P26" s="25" t="n">
        <v>4193</v>
      </c>
      <c r="Q26" s="419" t="n">
        <f aca="false">+Supplies!J26</f>
        <v>4193</v>
      </c>
      <c r="R26" s="419" t="n">
        <f aca="false">+Q26-P26</f>
        <v>0</v>
      </c>
      <c r="S26" s="419" t="n">
        <f aca="false">+S25+P26</f>
        <v>88053</v>
      </c>
      <c r="T26" s="419" t="n">
        <f aca="false">+T25+Q26</f>
        <v>87468</v>
      </c>
      <c r="V26" s="419" t="n">
        <v>4000</v>
      </c>
      <c r="W26" s="419" t="n">
        <f aca="false">+Supplies!K26</f>
        <v>4000</v>
      </c>
      <c r="X26" s="419" t="n">
        <f aca="false">+W26-V26</f>
        <v>0</v>
      </c>
      <c r="Y26" s="419" t="n">
        <f aca="false">+Y25+V26</f>
        <v>84000</v>
      </c>
      <c r="Z26" s="419" t="n">
        <f aca="false">+Z25+W26</f>
        <v>84000</v>
      </c>
      <c r="AB26" s="25" t="n">
        <v>10000</v>
      </c>
      <c r="AC26" s="419" t="n">
        <f aca="false">+Supplies!L26</f>
        <v>10000</v>
      </c>
      <c r="AD26" s="419" t="n">
        <f aca="false">+AC26-AB26</f>
        <v>0</v>
      </c>
      <c r="AE26" s="419" t="n">
        <f aca="false">+AE25+AB26</f>
        <v>210000</v>
      </c>
      <c r="AF26" s="419" t="n">
        <f aca="false">+AF25+AC26</f>
        <v>210000</v>
      </c>
      <c r="AH26" s="419" t="n">
        <v>2500</v>
      </c>
      <c r="AI26" s="419" t="n">
        <f aca="false">+Supplies!N26</f>
        <v>2500</v>
      </c>
      <c r="AJ26" s="419" t="n">
        <f aca="false">+AI26-AH26</f>
        <v>0</v>
      </c>
      <c r="AK26" s="419" t="n">
        <f aca="false">+AK25+AH26</f>
        <v>35000</v>
      </c>
      <c r="AL26" s="419" t="n">
        <f aca="false">+AL25+AI26</f>
        <v>32278</v>
      </c>
      <c r="AN26" s="419" t="n">
        <v>5000</v>
      </c>
      <c r="AO26" s="419" t="n">
        <f aca="false">+BaseloadMarkets!S26</f>
        <v>5000</v>
      </c>
      <c r="AP26" s="419" t="n">
        <f aca="false">+AO26-AN26</f>
        <v>0</v>
      </c>
      <c r="AQ26" s="419" t="n">
        <f aca="false">+AQ25+AN26</f>
        <v>105000</v>
      </c>
      <c r="AR26" s="419" t="n">
        <f aca="false">+AR25+AO26</f>
        <v>105000</v>
      </c>
    </row>
    <row r="27" customFormat="false" ht="12.75" hidden="false" customHeight="false" outlineLevel="0" collapsed="false">
      <c r="A27" s="449" t="n">
        <f aca="false">BaseloadMarkets!A27</f>
        <v>36729</v>
      </c>
      <c r="B27" s="25" t="n">
        <v>5000</v>
      </c>
      <c r="C27" s="419" t="n">
        <f aca="false">+Supplies!H27</f>
        <v>5000</v>
      </c>
      <c r="D27" s="419" t="n">
        <f aca="false">+C27-B27</f>
        <v>0</v>
      </c>
      <c r="E27" s="419" t="n">
        <f aca="false">+E26+B27</f>
        <v>110000</v>
      </c>
      <c r="F27" s="419" t="n">
        <f aca="false">+F26+C27</f>
        <v>110000</v>
      </c>
      <c r="G27" s="419" t="n">
        <f aca="false">+G26+D27</f>
        <v>0</v>
      </c>
      <c r="I27" s="25" t="n">
        <v>968</v>
      </c>
      <c r="J27" s="419" t="n">
        <f aca="false">+Supplies!I27</f>
        <v>968</v>
      </c>
      <c r="K27" s="419" t="n">
        <f aca="false">+J27-I27</f>
        <v>0</v>
      </c>
      <c r="L27" s="419" t="n">
        <f aca="false">+L26+I27</f>
        <v>21296</v>
      </c>
      <c r="M27" s="419" t="n">
        <f aca="false">+M26+J27</f>
        <v>21120</v>
      </c>
      <c r="N27" s="419" t="n">
        <f aca="false">+N26+K27</f>
        <v>-176</v>
      </c>
      <c r="P27" s="25" t="n">
        <v>4193</v>
      </c>
      <c r="Q27" s="419" t="n">
        <f aca="false">+Supplies!J27</f>
        <v>4193</v>
      </c>
      <c r="R27" s="419" t="n">
        <f aca="false">+Q27-P27</f>
        <v>0</v>
      </c>
      <c r="S27" s="419" t="n">
        <f aca="false">+S26+P27</f>
        <v>92246</v>
      </c>
      <c r="T27" s="419" t="n">
        <f aca="false">+T26+Q27</f>
        <v>91661</v>
      </c>
      <c r="V27" s="419" t="n">
        <v>4000</v>
      </c>
      <c r="W27" s="419" t="n">
        <f aca="false">+Supplies!K27</f>
        <v>4000</v>
      </c>
      <c r="X27" s="419" t="n">
        <f aca="false">+W27-V27</f>
        <v>0</v>
      </c>
      <c r="Y27" s="419" t="n">
        <f aca="false">+Y26+V27</f>
        <v>88000</v>
      </c>
      <c r="Z27" s="419" t="n">
        <f aca="false">+Z26+W27</f>
        <v>88000</v>
      </c>
      <c r="AB27" s="25" t="n">
        <v>10000</v>
      </c>
      <c r="AC27" s="419" t="n">
        <f aca="false">+Supplies!L27</f>
        <v>10000</v>
      </c>
      <c r="AD27" s="419" t="n">
        <f aca="false">+AC27-AB27</f>
        <v>0</v>
      </c>
      <c r="AE27" s="419" t="n">
        <f aca="false">+AE26+AB27</f>
        <v>220000</v>
      </c>
      <c r="AF27" s="419" t="n">
        <f aca="false">+AF26+AC27</f>
        <v>220000</v>
      </c>
      <c r="AH27" s="419" t="n">
        <v>0</v>
      </c>
      <c r="AI27" s="419" t="n">
        <f aca="false">+Supplies!N27</f>
        <v>0</v>
      </c>
      <c r="AJ27" s="419" t="n">
        <f aca="false">+AI27-AH27</f>
        <v>0</v>
      </c>
      <c r="AK27" s="419" t="n">
        <f aca="false">+AK26+AH27</f>
        <v>35000</v>
      </c>
      <c r="AL27" s="419" t="n">
        <f aca="false">+AL26+AI27</f>
        <v>32278</v>
      </c>
      <c r="AN27" s="419" t="n">
        <v>5000</v>
      </c>
      <c r="AO27" s="419" t="n">
        <f aca="false">+BaseloadMarkets!S27</f>
        <v>5000</v>
      </c>
      <c r="AP27" s="419" t="n">
        <f aca="false">+AO27-AN27</f>
        <v>0</v>
      </c>
      <c r="AQ27" s="419" t="n">
        <f aca="false">+AQ26+AN27</f>
        <v>110000</v>
      </c>
      <c r="AR27" s="419" t="n">
        <f aca="false">+AR26+AO27</f>
        <v>110000</v>
      </c>
    </row>
    <row r="28" customFormat="false" ht="12.75" hidden="false" customHeight="false" outlineLevel="0" collapsed="false">
      <c r="A28" s="449" t="n">
        <f aca="false">BaseloadMarkets!A28</f>
        <v>36730</v>
      </c>
      <c r="B28" s="25" t="n">
        <v>5000</v>
      </c>
      <c r="C28" s="419" t="n">
        <f aca="false">+Supplies!H28</f>
        <v>5000</v>
      </c>
      <c r="D28" s="419" t="n">
        <f aca="false">+C28-B28</f>
        <v>0</v>
      </c>
      <c r="E28" s="419" t="n">
        <f aca="false">+E27+B28</f>
        <v>115000</v>
      </c>
      <c r="F28" s="419" t="n">
        <f aca="false">+F27+C28</f>
        <v>115000</v>
      </c>
      <c r="G28" s="419" t="n">
        <f aca="false">+G27+D28</f>
        <v>0</v>
      </c>
      <c r="I28" s="25" t="n">
        <v>968</v>
      </c>
      <c r="J28" s="419" t="n">
        <f aca="false">+Supplies!I28</f>
        <v>968</v>
      </c>
      <c r="K28" s="419" t="n">
        <f aca="false">+J28-I28</f>
        <v>0</v>
      </c>
      <c r="L28" s="419" t="n">
        <f aca="false">+L27+I28</f>
        <v>22264</v>
      </c>
      <c r="M28" s="419" t="n">
        <f aca="false">+M27+J28</f>
        <v>22088</v>
      </c>
      <c r="N28" s="419" t="n">
        <f aca="false">+N27+K28</f>
        <v>-176</v>
      </c>
      <c r="P28" s="25" t="n">
        <v>4193</v>
      </c>
      <c r="Q28" s="419" t="n">
        <f aca="false">+Supplies!J28</f>
        <v>4193</v>
      </c>
      <c r="R28" s="419" t="n">
        <f aca="false">+Q28-P28</f>
        <v>0</v>
      </c>
      <c r="S28" s="419" t="n">
        <f aca="false">+S27+P28</f>
        <v>96439</v>
      </c>
      <c r="T28" s="419" t="n">
        <f aca="false">+T27+Q28</f>
        <v>95854</v>
      </c>
      <c r="V28" s="419" t="n">
        <v>4000</v>
      </c>
      <c r="W28" s="419" t="n">
        <f aca="false">+Supplies!K28</f>
        <v>4000</v>
      </c>
      <c r="X28" s="419" t="n">
        <f aca="false">+W28-V28</f>
        <v>0</v>
      </c>
      <c r="Y28" s="419" t="n">
        <f aca="false">+Y27+V28</f>
        <v>92000</v>
      </c>
      <c r="Z28" s="419" t="n">
        <f aca="false">+Z27+W28</f>
        <v>92000</v>
      </c>
      <c r="AB28" s="25" t="n">
        <v>10000</v>
      </c>
      <c r="AC28" s="419" t="n">
        <f aca="false">+Supplies!L28</f>
        <v>10000</v>
      </c>
      <c r="AD28" s="419" t="n">
        <f aca="false">+AC28-AB28</f>
        <v>0</v>
      </c>
      <c r="AE28" s="419" t="n">
        <f aca="false">+AE27+AB28</f>
        <v>230000</v>
      </c>
      <c r="AF28" s="419" t="n">
        <f aca="false">+AF27+AC28</f>
        <v>230000</v>
      </c>
      <c r="AH28" s="419" t="n">
        <v>0</v>
      </c>
      <c r="AI28" s="419" t="n">
        <f aca="false">+Supplies!N28</f>
        <v>0</v>
      </c>
      <c r="AJ28" s="419" t="n">
        <f aca="false">+AI28-AH28</f>
        <v>0</v>
      </c>
      <c r="AK28" s="419" t="n">
        <f aca="false">+AK27+AH28</f>
        <v>35000</v>
      </c>
      <c r="AL28" s="419" t="n">
        <f aca="false">+AL27+AI28</f>
        <v>32278</v>
      </c>
      <c r="AN28" s="419" t="n">
        <v>5000</v>
      </c>
      <c r="AO28" s="419" t="n">
        <f aca="false">+BaseloadMarkets!S28</f>
        <v>5000</v>
      </c>
      <c r="AP28" s="419" t="n">
        <f aca="false">+AO28-AN28</f>
        <v>0</v>
      </c>
      <c r="AQ28" s="419" t="n">
        <f aca="false">+AQ27+AN28</f>
        <v>115000</v>
      </c>
      <c r="AR28" s="419" t="n">
        <f aca="false">+AR27+AO28</f>
        <v>115000</v>
      </c>
    </row>
    <row r="29" customFormat="false" ht="12.75" hidden="false" customHeight="false" outlineLevel="0" collapsed="false">
      <c r="A29" s="449" t="n">
        <f aca="false">BaseloadMarkets!A29</f>
        <v>36731</v>
      </c>
      <c r="B29" s="25" t="n">
        <v>5000</v>
      </c>
      <c r="C29" s="419" t="n">
        <f aca="false">+Supplies!H29</f>
        <v>5000</v>
      </c>
      <c r="D29" s="419" t="n">
        <f aca="false">+C29-B29</f>
        <v>0</v>
      </c>
      <c r="E29" s="419" t="n">
        <f aca="false">+E28+B29</f>
        <v>120000</v>
      </c>
      <c r="F29" s="419" t="n">
        <f aca="false">+F28+C29</f>
        <v>120000</v>
      </c>
      <c r="G29" s="419" t="n">
        <f aca="false">+G28+D29</f>
        <v>0</v>
      </c>
      <c r="I29" s="25" t="n">
        <v>968</v>
      </c>
      <c r="J29" s="419" t="n">
        <f aca="false">+Supplies!I29</f>
        <v>923</v>
      </c>
      <c r="K29" s="419" t="n">
        <f aca="false">+J29-I29</f>
        <v>-45</v>
      </c>
      <c r="L29" s="419" t="n">
        <f aca="false">+L28+I29</f>
        <v>23232</v>
      </c>
      <c r="M29" s="419" t="n">
        <f aca="false">+M28+J29</f>
        <v>23011</v>
      </c>
      <c r="N29" s="419" t="n">
        <f aca="false">+N28+K29</f>
        <v>-221</v>
      </c>
      <c r="P29" s="25" t="n">
        <v>4193</v>
      </c>
      <c r="Q29" s="419" t="n">
        <f aca="false">+Supplies!J29</f>
        <v>4193</v>
      </c>
      <c r="R29" s="419" t="n">
        <f aca="false">+Q29-P29</f>
        <v>0</v>
      </c>
      <c r="S29" s="419" t="n">
        <f aca="false">+S28+P29</f>
        <v>100632</v>
      </c>
      <c r="T29" s="419" t="n">
        <f aca="false">+T28+Q29</f>
        <v>100047</v>
      </c>
      <c r="V29" s="419" t="n">
        <v>4000</v>
      </c>
      <c r="W29" s="419" t="n">
        <f aca="false">+Supplies!K29</f>
        <v>4000</v>
      </c>
      <c r="X29" s="419" t="n">
        <f aca="false">+W29-V29</f>
        <v>0</v>
      </c>
      <c r="Y29" s="419" t="n">
        <f aca="false">+Y28+V29</f>
        <v>96000</v>
      </c>
      <c r="Z29" s="419" t="n">
        <f aca="false">+Z28+W29</f>
        <v>96000</v>
      </c>
      <c r="AB29" s="25" t="n">
        <v>10000</v>
      </c>
      <c r="AC29" s="419" t="n">
        <f aca="false">+Supplies!L29</f>
        <v>10000</v>
      </c>
      <c r="AD29" s="419" t="n">
        <f aca="false">+AC29-AB29</f>
        <v>0</v>
      </c>
      <c r="AE29" s="419" t="n">
        <f aca="false">+AE28+AB29</f>
        <v>240000</v>
      </c>
      <c r="AF29" s="419" t="n">
        <f aca="false">+AF28+AC29</f>
        <v>240000</v>
      </c>
      <c r="AH29" s="419" t="n">
        <v>2500</v>
      </c>
      <c r="AI29" s="419" t="n">
        <f aca="false">+Supplies!N29</f>
        <v>2500</v>
      </c>
      <c r="AJ29" s="419" t="n">
        <f aca="false">+AI29-AH29</f>
        <v>0</v>
      </c>
      <c r="AK29" s="419" t="n">
        <f aca="false">+AK28+AH29</f>
        <v>37500</v>
      </c>
      <c r="AL29" s="419" t="n">
        <f aca="false">+AL28+AI29</f>
        <v>34778</v>
      </c>
      <c r="AN29" s="419" t="n">
        <v>5000</v>
      </c>
      <c r="AO29" s="419" t="n">
        <f aca="false">+BaseloadMarkets!S29</f>
        <v>5000</v>
      </c>
      <c r="AP29" s="419" t="n">
        <f aca="false">+AO29-AN29</f>
        <v>0</v>
      </c>
      <c r="AQ29" s="419" t="n">
        <f aca="false">+AQ28+AN29</f>
        <v>120000</v>
      </c>
      <c r="AR29" s="419" t="n">
        <f aca="false">+AR28+AO29</f>
        <v>120000</v>
      </c>
    </row>
    <row r="30" customFormat="false" ht="12.75" hidden="false" customHeight="false" outlineLevel="0" collapsed="false">
      <c r="A30" s="449" t="n">
        <f aca="false">BaseloadMarkets!A30</f>
        <v>36732</v>
      </c>
      <c r="B30" s="25" t="n">
        <v>5000</v>
      </c>
      <c r="C30" s="419" t="n">
        <f aca="false">+Supplies!H30</f>
        <v>5000</v>
      </c>
      <c r="D30" s="419" t="n">
        <f aca="false">+C30-B30</f>
        <v>0</v>
      </c>
      <c r="E30" s="419" t="n">
        <f aca="false">+E29+B30</f>
        <v>125000</v>
      </c>
      <c r="F30" s="419" t="n">
        <f aca="false">+F29+C30</f>
        <v>125000</v>
      </c>
      <c r="G30" s="419" t="n">
        <f aca="false">+G29+D30</f>
        <v>0</v>
      </c>
      <c r="I30" s="25" t="n">
        <v>968</v>
      </c>
      <c r="J30" s="419" t="n">
        <f aca="false">+Supplies!I30</f>
        <v>968</v>
      </c>
      <c r="K30" s="419" t="n">
        <f aca="false">+J30-I30</f>
        <v>0</v>
      </c>
      <c r="L30" s="419" t="n">
        <f aca="false">+L29+I30</f>
        <v>24200</v>
      </c>
      <c r="M30" s="419" t="n">
        <f aca="false">+M29+J30</f>
        <v>23979</v>
      </c>
      <c r="N30" s="419" t="n">
        <f aca="false">+N29+K30</f>
        <v>-221</v>
      </c>
      <c r="P30" s="25" t="n">
        <v>4193</v>
      </c>
      <c r="Q30" s="419" t="n">
        <f aca="false">+Supplies!J30</f>
        <v>4193</v>
      </c>
      <c r="R30" s="419" t="n">
        <f aca="false">+Q30-P30</f>
        <v>0</v>
      </c>
      <c r="S30" s="419" t="n">
        <f aca="false">+S29+P30</f>
        <v>104825</v>
      </c>
      <c r="T30" s="419" t="n">
        <f aca="false">+T29+Q30</f>
        <v>104240</v>
      </c>
      <c r="V30" s="419" t="n">
        <v>4000</v>
      </c>
      <c r="W30" s="419" t="n">
        <f aca="false">+Supplies!K30</f>
        <v>4000</v>
      </c>
      <c r="X30" s="419" t="n">
        <f aca="false">+W30-V30</f>
        <v>0</v>
      </c>
      <c r="Y30" s="419" t="n">
        <f aca="false">+Y29+V30</f>
        <v>100000</v>
      </c>
      <c r="Z30" s="419" t="n">
        <f aca="false">+Z29+W30</f>
        <v>100000</v>
      </c>
      <c r="AB30" s="25" t="n">
        <v>10000</v>
      </c>
      <c r="AC30" s="419" t="n">
        <f aca="false">+Supplies!L30</f>
        <v>10000</v>
      </c>
      <c r="AD30" s="419" t="n">
        <f aca="false">+AC30-AB30</f>
        <v>0</v>
      </c>
      <c r="AE30" s="419" t="n">
        <f aca="false">+AE29+AB30</f>
        <v>250000</v>
      </c>
      <c r="AF30" s="419" t="n">
        <f aca="false">+AF29+AC30</f>
        <v>250000</v>
      </c>
      <c r="AH30" s="419" t="n">
        <v>2500</v>
      </c>
      <c r="AI30" s="419" t="n">
        <f aca="false">+Supplies!N30</f>
        <v>2500</v>
      </c>
      <c r="AJ30" s="419" t="n">
        <f aca="false">+AI30-AH30</f>
        <v>0</v>
      </c>
      <c r="AK30" s="419" t="n">
        <f aca="false">+AK29+AH30</f>
        <v>40000</v>
      </c>
      <c r="AL30" s="419" t="n">
        <f aca="false">+AL29+AI30</f>
        <v>37278</v>
      </c>
      <c r="AN30" s="419" t="n">
        <v>5000</v>
      </c>
      <c r="AO30" s="419" t="n">
        <f aca="false">+BaseloadMarkets!S30</f>
        <v>5000</v>
      </c>
      <c r="AP30" s="419" t="n">
        <f aca="false">+AO30-AN30</f>
        <v>0</v>
      </c>
      <c r="AQ30" s="419" t="n">
        <f aca="false">+AQ29+AN30</f>
        <v>125000</v>
      </c>
      <c r="AR30" s="419" t="n">
        <f aca="false">+AR29+AO30</f>
        <v>125000</v>
      </c>
    </row>
    <row r="31" customFormat="false" ht="12.75" hidden="false" customHeight="false" outlineLevel="0" collapsed="false">
      <c r="A31" s="449" t="n">
        <f aca="false">BaseloadMarkets!A31</f>
        <v>36733</v>
      </c>
      <c r="B31" s="25" t="n">
        <v>5000</v>
      </c>
      <c r="C31" s="419" t="n">
        <f aca="false">+Supplies!H31</f>
        <v>5000</v>
      </c>
      <c r="D31" s="419" t="n">
        <f aca="false">+C31-B31</f>
        <v>0</v>
      </c>
      <c r="E31" s="419" t="n">
        <f aca="false">+E30+B31</f>
        <v>130000</v>
      </c>
      <c r="F31" s="419" t="n">
        <f aca="false">+F30+C31</f>
        <v>130000</v>
      </c>
      <c r="G31" s="419" t="n">
        <f aca="false">+G30+D31</f>
        <v>0</v>
      </c>
      <c r="I31" s="25" t="n">
        <v>968</v>
      </c>
      <c r="J31" s="419" t="n">
        <f aca="false">+Supplies!I31</f>
        <v>968</v>
      </c>
      <c r="K31" s="419" t="n">
        <f aca="false">+J31-I31</f>
        <v>0</v>
      </c>
      <c r="L31" s="419" t="n">
        <f aca="false">+L30+I31</f>
        <v>25168</v>
      </c>
      <c r="M31" s="419" t="n">
        <f aca="false">+M30+J31</f>
        <v>24947</v>
      </c>
      <c r="N31" s="419" t="n">
        <f aca="false">+N30+K31</f>
        <v>-221</v>
      </c>
      <c r="P31" s="25" t="n">
        <v>4193</v>
      </c>
      <c r="Q31" s="419" t="n">
        <f aca="false">+Supplies!J31</f>
        <v>4193</v>
      </c>
      <c r="R31" s="419" t="n">
        <f aca="false">+Q31-P31</f>
        <v>0</v>
      </c>
      <c r="S31" s="419" t="n">
        <f aca="false">+S30+P31</f>
        <v>109018</v>
      </c>
      <c r="T31" s="419" t="n">
        <f aca="false">+T30+Q31</f>
        <v>108433</v>
      </c>
      <c r="V31" s="419" t="n">
        <v>4000</v>
      </c>
      <c r="W31" s="419" t="n">
        <f aca="false">+Supplies!K31</f>
        <v>4000</v>
      </c>
      <c r="X31" s="419" t="n">
        <f aca="false">+W31-V31</f>
        <v>0</v>
      </c>
      <c r="Y31" s="419" t="n">
        <f aca="false">+Y30+V31</f>
        <v>104000</v>
      </c>
      <c r="Z31" s="419" t="n">
        <f aca="false">+Z30+W31</f>
        <v>104000</v>
      </c>
      <c r="AB31" s="25" t="n">
        <v>10000</v>
      </c>
      <c r="AC31" s="419" t="n">
        <f aca="false">+Supplies!L31</f>
        <v>10000</v>
      </c>
      <c r="AD31" s="419" t="n">
        <f aca="false">+AC31-AB31</f>
        <v>0</v>
      </c>
      <c r="AE31" s="419" t="n">
        <f aca="false">+AE30+AB31</f>
        <v>260000</v>
      </c>
      <c r="AF31" s="419" t="n">
        <f aca="false">+AF30+AC31</f>
        <v>260000</v>
      </c>
      <c r="AH31" s="419" t="n">
        <v>2500</v>
      </c>
      <c r="AI31" s="419" t="n">
        <f aca="false">+Supplies!N31</f>
        <v>2500</v>
      </c>
      <c r="AJ31" s="419" t="n">
        <f aca="false">+AI31-AH31</f>
        <v>0</v>
      </c>
      <c r="AK31" s="419" t="n">
        <f aca="false">+AK30+AH31</f>
        <v>42500</v>
      </c>
      <c r="AL31" s="419" t="n">
        <f aca="false">+AL30+AI31</f>
        <v>39778</v>
      </c>
      <c r="AN31" s="419" t="n">
        <v>5000</v>
      </c>
      <c r="AO31" s="419" t="n">
        <f aca="false">+BaseloadMarkets!S31</f>
        <v>5000</v>
      </c>
      <c r="AP31" s="419" t="n">
        <f aca="false">+AO31-AN31</f>
        <v>0</v>
      </c>
      <c r="AQ31" s="419" t="n">
        <f aca="false">+AQ30+AN31</f>
        <v>130000</v>
      </c>
      <c r="AR31" s="419" t="n">
        <f aca="false">+AR30+AO31</f>
        <v>130000</v>
      </c>
    </row>
    <row r="32" customFormat="false" ht="12.75" hidden="false" customHeight="false" outlineLevel="0" collapsed="false">
      <c r="A32" s="449" t="n">
        <f aca="false">BaseloadMarkets!A32</f>
        <v>36734</v>
      </c>
      <c r="B32" s="25" t="n">
        <v>5000</v>
      </c>
      <c r="C32" s="419" t="n">
        <f aca="false">+Supplies!H32</f>
        <v>5000</v>
      </c>
      <c r="D32" s="419" t="n">
        <f aca="false">+C32-B32</f>
        <v>0</v>
      </c>
      <c r="E32" s="419" t="n">
        <f aca="false">+E31+B32</f>
        <v>135000</v>
      </c>
      <c r="F32" s="419" t="n">
        <f aca="false">+F31+C32</f>
        <v>135000</v>
      </c>
      <c r="G32" s="419" t="n">
        <f aca="false">+G31+D32</f>
        <v>0</v>
      </c>
      <c r="I32" s="25" t="n">
        <v>968</v>
      </c>
      <c r="J32" s="419" t="n">
        <f aca="false">+Supplies!I32</f>
        <v>950</v>
      </c>
      <c r="K32" s="419" t="n">
        <f aca="false">+J32-I32</f>
        <v>-18</v>
      </c>
      <c r="L32" s="419" t="n">
        <f aca="false">+L31+I32</f>
        <v>26136</v>
      </c>
      <c r="M32" s="419" t="n">
        <f aca="false">+M31+J32</f>
        <v>25897</v>
      </c>
      <c r="N32" s="419" t="n">
        <f aca="false">+N31+K32</f>
        <v>-239</v>
      </c>
      <c r="P32" s="25" t="n">
        <v>4193</v>
      </c>
      <c r="Q32" s="419" t="n">
        <f aca="false">+Supplies!J32</f>
        <v>4193</v>
      </c>
      <c r="R32" s="419" t="n">
        <f aca="false">+Q32-P32</f>
        <v>0</v>
      </c>
      <c r="S32" s="419" t="n">
        <f aca="false">+S31+P32</f>
        <v>113211</v>
      </c>
      <c r="T32" s="419" t="n">
        <f aca="false">+T31+Q32</f>
        <v>112626</v>
      </c>
      <c r="V32" s="419" t="n">
        <v>4000</v>
      </c>
      <c r="W32" s="419" t="n">
        <f aca="false">+Supplies!K32</f>
        <v>4000</v>
      </c>
      <c r="X32" s="419" t="n">
        <f aca="false">+W32-V32</f>
        <v>0</v>
      </c>
      <c r="Y32" s="419" t="n">
        <f aca="false">+Y31+V32</f>
        <v>108000</v>
      </c>
      <c r="Z32" s="419" t="n">
        <f aca="false">+Z31+W32</f>
        <v>108000</v>
      </c>
      <c r="AB32" s="25" t="n">
        <v>10000</v>
      </c>
      <c r="AC32" s="419" t="n">
        <f aca="false">+Supplies!L32</f>
        <v>10000</v>
      </c>
      <c r="AD32" s="419" t="n">
        <f aca="false">+AC32-AB32</f>
        <v>0</v>
      </c>
      <c r="AE32" s="419" t="n">
        <f aca="false">+AE31+AB32</f>
        <v>270000</v>
      </c>
      <c r="AF32" s="419" t="n">
        <f aca="false">+AF31+AC32</f>
        <v>270000</v>
      </c>
      <c r="AH32" s="419" t="n">
        <v>2500</v>
      </c>
      <c r="AI32" s="419" t="n">
        <f aca="false">+Supplies!N32</f>
        <v>2500</v>
      </c>
      <c r="AJ32" s="419" t="n">
        <f aca="false">+AI32-AH32</f>
        <v>0</v>
      </c>
      <c r="AK32" s="419" t="n">
        <f aca="false">+AK31+AH32</f>
        <v>45000</v>
      </c>
      <c r="AL32" s="419" t="n">
        <f aca="false">+AL31+AI32</f>
        <v>42278</v>
      </c>
      <c r="AN32" s="419" t="n">
        <v>5000</v>
      </c>
      <c r="AO32" s="419" t="n">
        <f aca="false">+BaseloadMarkets!S32</f>
        <v>5000</v>
      </c>
      <c r="AP32" s="419" t="n">
        <f aca="false">+AO32-AN32</f>
        <v>0</v>
      </c>
      <c r="AQ32" s="419" t="n">
        <f aca="false">+AQ31+AN32</f>
        <v>135000</v>
      </c>
      <c r="AR32" s="419" t="n">
        <f aca="false">+AR31+AO32</f>
        <v>135000</v>
      </c>
    </row>
    <row r="33" customFormat="false" ht="12.75" hidden="false" customHeight="false" outlineLevel="0" collapsed="false">
      <c r="A33" s="449" t="n">
        <f aca="false">BaseloadMarkets!A33</f>
        <v>36735</v>
      </c>
      <c r="B33" s="25" t="n">
        <v>5000</v>
      </c>
      <c r="C33" s="419" t="n">
        <f aca="false">+Supplies!H33</f>
        <v>5000</v>
      </c>
      <c r="D33" s="419" t="n">
        <f aca="false">+C33-B33</f>
        <v>0</v>
      </c>
      <c r="E33" s="419" t="n">
        <f aca="false">+E32+B33</f>
        <v>140000</v>
      </c>
      <c r="F33" s="419" t="n">
        <f aca="false">+F32+C33</f>
        <v>140000</v>
      </c>
      <c r="G33" s="419" t="n">
        <f aca="false">+G32+D33</f>
        <v>0</v>
      </c>
      <c r="I33" s="25" t="n">
        <v>968</v>
      </c>
      <c r="J33" s="419" t="n">
        <f aca="false">+Supplies!I33</f>
        <v>968</v>
      </c>
      <c r="K33" s="419" t="n">
        <f aca="false">+J33-I33</f>
        <v>0</v>
      </c>
      <c r="L33" s="419" t="n">
        <f aca="false">+L32+I33</f>
        <v>27104</v>
      </c>
      <c r="M33" s="419" t="n">
        <f aca="false">+M32+J33</f>
        <v>26865</v>
      </c>
      <c r="N33" s="419" t="n">
        <f aca="false">+N32+K33</f>
        <v>-239</v>
      </c>
      <c r="P33" s="25" t="n">
        <v>4193</v>
      </c>
      <c r="Q33" s="419" t="n">
        <f aca="false">+Supplies!J33</f>
        <v>4193</v>
      </c>
      <c r="R33" s="419" t="n">
        <f aca="false">+Q33-P33</f>
        <v>0</v>
      </c>
      <c r="S33" s="419" t="n">
        <f aca="false">+S32+P33</f>
        <v>117404</v>
      </c>
      <c r="T33" s="419" t="n">
        <f aca="false">+T32+Q33</f>
        <v>116819</v>
      </c>
      <c r="V33" s="419" t="n">
        <v>4000</v>
      </c>
      <c r="W33" s="419" t="n">
        <f aca="false">+Supplies!K33</f>
        <v>4000</v>
      </c>
      <c r="X33" s="419" t="n">
        <f aca="false">+W33-V33</f>
        <v>0</v>
      </c>
      <c r="Y33" s="419" t="n">
        <f aca="false">+Y32+V33</f>
        <v>112000</v>
      </c>
      <c r="Z33" s="419" t="n">
        <f aca="false">+Z32+W33</f>
        <v>112000</v>
      </c>
      <c r="AB33" s="25" t="n">
        <v>10000</v>
      </c>
      <c r="AC33" s="419" t="n">
        <f aca="false">+Supplies!L33</f>
        <v>10000</v>
      </c>
      <c r="AD33" s="419" t="n">
        <f aca="false">+AC33-AB33</f>
        <v>0</v>
      </c>
      <c r="AE33" s="419" t="n">
        <f aca="false">+AE32+AB33</f>
        <v>280000</v>
      </c>
      <c r="AF33" s="419" t="n">
        <f aca="false">+AF32+AC33</f>
        <v>280000</v>
      </c>
      <c r="AH33" s="419" t="n">
        <v>2500</v>
      </c>
      <c r="AI33" s="419" t="n">
        <f aca="false">+Supplies!N33</f>
        <v>2500</v>
      </c>
      <c r="AJ33" s="419" t="n">
        <f aca="false">+AI33-AH33</f>
        <v>0</v>
      </c>
      <c r="AK33" s="419" t="n">
        <f aca="false">+AK32+AH33</f>
        <v>47500</v>
      </c>
      <c r="AL33" s="419" t="n">
        <f aca="false">+AL32+AI33</f>
        <v>44778</v>
      </c>
      <c r="AN33" s="419" t="n">
        <v>5000</v>
      </c>
      <c r="AO33" s="419" t="n">
        <f aca="false">+BaseloadMarkets!S33</f>
        <v>5000</v>
      </c>
      <c r="AP33" s="419" t="n">
        <f aca="false">+AO33-AN33</f>
        <v>0</v>
      </c>
      <c r="AQ33" s="419" t="n">
        <f aca="false">+AQ32+AN33</f>
        <v>140000</v>
      </c>
      <c r="AR33" s="419" t="n">
        <f aca="false">+AR32+AO33</f>
        <v>140000</v>
      </c>
    </row>
    <row r="34" customFormat="false" ht="12.75" hidden="false" customHeight="false" outlineLevel="0" collapsed="false">
      <c r="A34" s="449" t="n">
        <f aca="false">BaseloadMarkets!A34</f>
        <v>36736</v>
      </c>
      <c r="B34" s="25" t="n">
        <v>5000</v>
      </c>
      <c r="C34" s="419" t="n">
        <f aca="false">+Supplies!H34</f>
        <v>5000</v>
      </c>
      <c r="D34" s="419" t="n">
        <f aca="false">+C34-B34</f>
        <v>0</v>
      </c>
      <c r="E34" s="419" t="n">
        <f aca="false">+E33+B34</f>
        <v>145000</v>
      </c>
      <c r="F34" s="419" t="n">
        <f aca="false">+F33+C34</f>
        <v>145000</v>
      </c>
      <c r="G34" s="419" t="n">
        <f aca="false">+G33+D34</f>
        <v>0</v>
      </c>
      <c r="I34" s="25" t="n">
        <v>968</v>
      </c>
      <c r="J34" s="419" t="n">
        <f aca="false">+Supplies!I34</f>
        <v>968</v>
      </c>
      <c r="K34" s="419" t="n">
        <f aca="false">+J34-I34</f>
        <v>0</v>
      </c>
      <c r="L34" s="419" t="n">
        <f aca="false">+L33+I34</f>
        <v>28072</v>
      </c>
      <c r="M34" s="419" t="n">
        <f aca="false">+M33+J34</f>
        <v>27833</v>
      </c>
      <c r="N34" s="419" t="n">
        <f aca="false">+N33+K34</f>
        <v>-239</v>
      </c>
      <c r="P34" s="25" t="n">
        <v>4193</v>
      </c>
      <c r="Q34" s="419" t="n">
        <f aca="false">+Supplies!J34</f>
        <v>4193</v>
      </c>
      <c r="R34" s="419" t="n">
        <f aca="false">+Q34-P34</f>
        <v>0</v>
      </c>
      <c r="S34" s="419" t="n">
        <f aca="false">+S33+P34</f>
        <v>121597</v>
      </c>
      <c r="T34" s="419" t="n">
        <f aca="false">+T33+Q34</f>
        <v>121012</v>
      </c>
      <c r="V34" s="419" t="n">
        <v>4000</v>
      </c>
      <c r="W34" s="419" t="n">
        <f aca="false">+Supplies!K34</f>
        <v>4000</v>
      </c>
      <c r="X34" s="419" t="n">
        <f aca="false">+W34-V34</f>
        <v>0</v>
      </c>
      <c r="Y34" s="419" t="n">
        <f aca="false">+Y33+V34</f>
        <v>116000</v>
      </c>
      <c r="Z34" s="419" t="n">
        <f aca="false">+Z33+W34</f>
        <v>116000</v>
      </c>
      <c r="AB34" s="25" t="n">
        <v>10000</v>
      </c>
      <c r="AC34" s="419" t="n">
        <f aca="false">+Supplies!L34</f>
        <v>10000</v>
      </c>
      <c r="AD34" s="419" t="n">
        <f aca="false">+AC34-AB34</f>
        <v>0</v>
      </c>
      <c r="AE34" s="419" t="n">
        <f aca="false">+AE33+AB34</f>
        <v>290000</v>
      </c>
      <c r="AF34" s="419" t="n">
        <f aca="false">+AF33+AC34</f>
        <v>290000</v>
      </c>
      <c r="AH34" s="419" t="n">
        <v>0</v>
      </c>
      <c r="AI34" s="419" t="n">
        <f aca="false">+Supplies!N34</f>
        <v>0</v>
      </c>
      <c r="AJ34" s="419" t="n">
        <f aca="false">+AI34-AH34</f>
        <v>0</v>
      </c>
      <c r="AK34" s="419" t="n">
        <f aca="false">+AK33+AH34</f>
        <v>47500</v>
      </c>
      <c r="AL34" s="419" t="n">
        <f aca="false">+AL33+AI34</f>
        <v>44778</v>
      </c>
      <c r="AN34" s="419" t="n">
        <v>5000</v>
      </c>
      <c r="AO34" s="419" t="n">
        <f aca="false">+BaseloadMarkets!S34</f>
        <v>5000</v>
      </c>
      <c r="AP34" s="419" t="n">
        <f aca="false">+AO34-AN34</f>
        <v>0</v>
      </c>
      <c r="AQ34" s="419" t="n">
        <f aca="false">+AQ33+AN34</f>
        <v>145000</v>
      </c>
      <c r="AR34" s="419" t="n">
        <f aca="false">+AR33+AO34</f>
        <v>145000</v>
      </c>
    </row>
    <row r="35" customFormat="false" ht="12.75" hidden="false" customHeight="false" outlineLevel="0" collapsed="false">
      <c r="A35" s="449" t="n">
        <f aca="false">BaseloadMarkets!A35</f>
        <v>36737</v>
      </c>
      <c r="B35" s="25" t="n">
        <v>5000</v>
      </c>
      <c r="C35" s="419" t="n">
        <f aca="false">+Supplies!H35</f>
        <v>5000</v>
      </c>
      <c r="D35" s="419" t="n">
        <f aca="false">+C35-B35</f>
        <v>0</v>
      </c>
      <c r="E35" s="419" t="n">
        <f aca="false">+E34+B35</f>
        <v>150000</v>
      </c>
      <c r="F35" s="419" t="n">
        <f aca="false">+F34+C35</f>
        <v>150000</v>
      </c>
      <c r="G35" s="419" t="n">
        <f aca="false">+G34+D35</f>
        <v>0</v>
      </c>
      <c r="I35" s="25" t="n">
        <v>968</v>
      </c>
      <c r="J35" s="419" t="n">
        <f aca="false">+Supplies!I35</f>
        <v>968</v>
      </c>
      <c r="K35" s="419" t="n">
        <f aca="false">+J35-I35</f>
        <v>0</v>
      </c>
      <c r="L35" s="419" t="n">
        <f aca="false">+L34+I35</f>
        <v>29040</v>
      </c>
      <c r="M35" s="419" t="n">
        <f aca="false">+M34+J35</f>
        <v>28801</v>
      </c>
      <c r="N35" s="419" t="n">
        <f aca="false">+N34+K35</f>
        <v>-239</v>
      </c>
      <c r="P35" s="25" t="n">
        <v>4193</v>
      </c>
      <c r="Q35" s="419" t="n">
        <f aca="false">+Supplies!J35</f>
        <v>4193</v>
      </c>
      <c r="R35" s="419" t="n">
        <f aca="false">+Q35-P35</f>
        <v>0</v>
      </c>
      <c r="S35" s="419" t="n">
        <f aca="false">+S34+P35</f>
        <v>125790</v>
      </c>
      <c r="T35" s="419" t="n">
        <f aca="false">+T34+Q35</f>
        <v>125205</v>
      </c>
      <c r="V35" s="419" t="n">
        <v>4000</v>
      </c>
      <c r="W35" s="419" t="n">
        <f aca="false">+Supplies!K35</f>
        <v>4000</v>
      </c>
      <c r="X35" s="419" t="n">
        <f aca="false">+W35-V35</f>
        <v>0</v>
      </c>
      <c r="Y35" s="419" t="n">
        <f aca="false">+Y34+V35</f>
        <v>120000</v>
      </c>
      <c r="Z35" s="419" t="n">
        <f aca="false">+Z34+W35</f>
        <v>120000</v>
      </c>
      <c r="AB35" s="25" t="n">
        <v>10000</v>
      </c>
      <c r="AC35" s="419" t="n">
        <f aca="false">+Supplies!L35</f>
        <v>10000</v>
      </c>
      <c r="AD35" s="419" t="n">
        <f aca="false">+AC35-AB35</f>
        <v>0</v>
      </c>
      <c r="AE35" s="419" t="n">
        <f aca="false">+AE34+AB35</f>
        <v>300000</v>
      </c>
      <c r="AF35" s="419" t="n">
        <f aca="false">+AF34+AC35</f>
        <v>300000</v>
      </c>
      <c r="AH35" s="419" t="n">
        <v>0</v>
      </c>
      <c r="AI35" s="419" t="n">
        <f aca="false">+Supplies!N35</f>
        <v>0</v>
      </c>
      <c r="AJ35" s="419" t="n">
        <f aca="false">+AI35-AH35</f>
        <v>0</v>
      </c>
      <c r="AK35" s="419" t="n">
        <f aca="false">+AK34+AH35</f>
        <v>47500</v>
      </c>
      <c r="AL35" s="419" t="n">
        <f aca="false">+AL34+AI35</f>
        <v>44778</v>
      </c>
      <c r="AN35" s="419" t="n">
        <v>5000</v>
      </c>
      <c r="AO35" s="419" t="n">
        <f aca="false">+BaseloadMarkets!S35</f>
        <v>5000</v>
      </c>
      <c r="AP35" s="419" t="n">
        <f aca="false">+AO35-AN35</f>
        <v>0</v>
      </c>
      <c r="AQ35" s="419" t="n">
        <f aca="false">+AQ34+AN35</f>
        <v>150000</v>
      </c>
      <c r="AR35" s="419" t="n">
        <f aca="false">+AR34+AO35</f>
        <v>150000</v>
      </c>
    </row>
    <row r="36" customFormat="false" ht="13.5" hidden="false" customHeight="false" outlineLevel="0" collapsed="false">
      <c r="A36" s="449" t="n">
        <f aca="false">BaseloadMarkets!A36</f>
        <v>36738</v>
      </c>
      <c r="B36" s="25" t="n">
        <v>5000</v>
      </c>
      <c r="C36" s="419" t="n">
        <f aca="false">+Supplies!H36</f>
        <v>5000</v>
      </c>
      <c r="D36" s="419" t="n">
        <f aca="false">+C36-B36</f>
        <v>0</v>
      </c>
      <c r="E36" s="419" t="n">
        <f aca="false">+E35+B36</f>
        <v>155000</v>
      </c>
      <c r="F36" s="419" t="n">
        <f aca="false">+F35+C36</f>
        <v>155000</v>
      </c>
      <c r="G36" s="419" t="n">
        <f aca="false">+G35+D36</f>
        <v>0</v>
      </c>
      <c r="I36" s="25" t="n">
        <v>968</v>
      </c>
      <c r="J36" s="419" t="n">
        <f aca="false">+Supplies!I36</f>
        <v>968</v>
      </c>
      <c r="K36" s="419" t="n">
        <f aca="false">+J36-I36</f>
        <v>0</v>
      </c>
      <c r="L36" s="419" t="n">
        <f aca="false">+L35+I36</f>
        <v>30008</v>
      </c>
      <c r="M36" s="419" t="n">
        <f aca="false">+M35+J36</f>
        <v>29769</v>
      </c>
      <c r="N36" s="419" t="n">
        <f aca="false">+N35+K36</f>
        <v>-239</v>
      </c>
      <c r="P36" s="25" t="n">
        <v>4193</v>
      </c>
      <c r="Q36" s="419" t="n">
        <f aca="false">+Supplies!J36</f>
        <v>4193</v>
      </c>
      <c r="R36" s="419" t="n">
        <f aca="false">+Q36-P36</f>
        <v>0</v>
      </c>
      <c r="S36" s="419" t="n">
        <f aca="false">+S35+P36</f>
        <v>129983</v>
      </c>
      <c r="T36" s="419" t="n">
        <f aca="false">+T35+Q36</f>
        <v>129398</v>
      </c>
      <c r="V36" s="419" t="n">
        <v>4000</v>
      </c>
      <c r="W36" s="419" t="n">
        <f aca="false">+Supplies!K36</f>
        <v>4000</v>
      </c>
      <c r="X36" s="419" t="n">
        <f aca="false">+W36-V36</f>
        <v>0</v>
      </c>
      <c r="Y36" s="419" t="n">
        <f aca="false">+Y35+V36</f>
        <v>124000</v>
      </c>
      <c r="Z36" s="419" t="n">
        <f aca="false">+Z35+W36</f>
        <v>124000</v>
      </c>
      <c r="AB36" s="25" t="n">
        <v>10000</v>
      </c>
      <c r="AC36" s="419" t="n">
        <f aca="false">+Supplies!L36</f>
        <v>10000</v>
      </c>
      <c r="AD36" s="419" t="n">
        <f aca="false">+AC36-AB36</f>
        <v>0</v>
      </c>
      <c r="AE36" s="419" t="n">
        <f aca="false">+AE35+AB36</f>
        <v>310000</v>
      </c>
      <c r="AF36" s="419" t="n">
        <f aca="false">+AF35+AC36</f>
        <v>310000</v>
      </c>
      <c r="AH36" s="419" t="n">
        <v>2500</v>
      </c>
      <c r="AI36" s="419" t="n">
        <f aca="false">+Supplies!N36</f>
        <v>5000</v>
      </c>
      <c r="AJ36" s="419" t="n">
        <f aca="false">+AI36-AH36</f>
        <v>2500</v>
      </c>
      <c r="AK36" s="419" t="n">
        <f aca="false">+AK35+AH36</f>
        <v>50000</v>
      </c>
      <c r="AL36" s="419" t="n">
        <f aca="false">+AL35+AI36</f>
        <v>49778</v>
      </c>
      <c r="AN36" s="419" t="n">
        <v>5000</v>
      </c>
      <c r="AO36" s="419" t="n">
        <f aca="false">+BaseloadMarkets!S36</f>
        <v>5000</v>
      </c>
      <c r="AP36" s="419" t="n">
        <f aca="false">+AO36-AN36</f>
        <v>0</v>
      </c>
      <c r="AQ36" s="419" t="n">
        <f aca="false">+AQ35+AN36</f>
        <v>155000</v>
      </c>
      <c r="AR36" s="419" t="n">
        <f aca="false">+AR35+AO36</f>
        <v>155000</v>
      </c>
    </row>
    <row r="37" customFormat="false" ht="13.5" hidden="false" customHeight="false" outlineLevel="0" collapsed="false">
      <c r="A37" s="449" t="str">
        <f aca="false">BaseloadMarkets!A37</f>
        <v>Totals</v>
      </c>
      <c r="B37" s="450" t="n">
        <f aca="false">SUM(B6:B36)</f>
        <v>155000</v>
      </c>
      <c r="C37" s="450" t="n">
        <f aca="false">SUM(C6:C36)</f>
        <v>155000</v>
      </c>
      <c r="D37" s="450" t="n">
        <f aca="false">SUM(D6:D36)</f>
        <v>0</v>
      </c>
      <c r="E37" s="451"/>
      <c r="F37" s="419"/>
      <c r="G37" s="451"/>
      <c r="I37" s="450" t="n">
        <f aca="false">SUM(I6:I36)</f>
        <v>30008</v>
      </c>
      <c r="J37" s="450" t="n">
        <f aca="false">SUM(J6:J36)</f>
        <v>29769</v>
      </c>
      <c r="K37" s="450" t="n">
        <f aca="false">SUM(K6:K36)</f>
        <v>-239</v>
      </c>
      <c r="L37" s="451"/>
      <c r="M37" s="419"/>
      <c r="N37" s="451"/>
      <c r="P37" s="450" t="n">
        <f aca="false">SUM(P6:P36)</f>
        <v>129983</v>
      </c>
      <c r="Q37" s="450" t="n">
        <f aca="false">SUM(Q6:Q36)</f>
        <v>129398</v>
      </c>
      <c r="R37" s="450" t="n">
        <f aca="false">SUM(R6:R36)</f>
        <v>-585</v>
      </c>
      <c r="V37" s="450" t="n">
        <f aca="false">SUM(V6:V36)</f>
        <v>124000</v>
      </c>
      <c r="W37" s="450" t="n">
        <f aca="false">SUM(W6:W36)</f>
        <v>124000</v>
      </c>
      <c r="X37" s="450" t="n">
        <f aca="false">SUM(X6:X36)</f>
        <v>0</v>
      </c>
      <c r="AB37" s="450" t="n">
        <f aca="false">SUM(AB6:AB36)</f>
        <v>310000</v>
      </c>
      <c r="AC37" s="450" t="n">
        <f aca="false">SUM(AC6:AC36)</f>
        <v>310000</v>
      </c>
      <c r="AD37" s="450" t="n">
        <f aca="false">SUM(AD6:AD36)</f>
        <v>0</v>
      </c>
      <c r="AH37" s="450" t="n">
        <f aca="false">SUM(AH6:AH36)</f>
        <v>50000</v>
      </c>
      <c r="AI37" s="450" t="n">
        <f aca="false">SUM(AI6:AI36)</f>
        <v>49778</v>
      </c>
      <c r="AJ37" s="450" t="n">
        <f aca="false">SUM(AJ6:AJ36)</f>
        <v>-222</v>
      </c>
      <c r="AN37" s="450" t="n">
        <f aca="false">SUM(AN6:AN36)</f>
        <v>155000</v>
      </c>
      <c r="AO37" s="450" t="n">
        <f aca="false">SUM(AO6:AO36)</f>
        <v>155000</v>
      </c>
      <c r="AP37" s="450" t="n">
        <f aca="false">SUM(AP6:AP36)</f>
        <v>0</v>
      </c>
    </row>
    <row r="38" customFormat="false" ht="12.75" hidden="false" customHeight="false" outlineLevel="0" collapsed="false">
      <c r="B38" s="34"/>
      <c r="I38" s="34"/>
      <c r="P38" s="34"/>
    </row>
    <row r="39" customFormat="false" ht="12.75" hidden="false" customHeight="false" outlineLevel="0" collapsed="false">
      <c r="B39" s="40"/>
      <c r="H39" s="33"/>
      <c r="I39" s="40"/>
      <c r="O39" s="33"/>
      <c r="P39" s="40"/>
      <c r="U39" s="33"/>
      <c r="AA39" s="33"/>
    </row>
    <row r="40" customFormat="false" ht="12.75" hidden="false" customHeight="false" outlineLevel="0" collapsed="false">
      <c r="A40" s="427" t="n">
        <v>1</v>
      </c>
      <c r="B40" s="452" t="n">
        <f aca="false">+A40+1</f>
        <v>2</v>
      </c>
      <c r="C40" s="452" t="n">
        <f aca="false">+B40+1</f>
        <v>3</v>
      </c>
      <c r="D40" s="452" t="n">
        <f aca="false">+C40+1</f>
        <v>4</v>
      </c>
      <c r="E40" s="452" t="n">
        <f aca="false">+D40+1</f>
        <v>5</v>
      </c>
      <c r="F40" s="452" t="n">
        <f aca="false">+E40+1</f>
        <v>6</v>
      </c>
      <c r="G40" s="452" t="n">
        <f aca="false">+F40+1</f>
        <v>7</v>
      </c>
      <c r="H40" s="452" t="n">
        <f aca="false">+G40+1</f>
        <v>8</v>
      </c>
      <c r="I40" s="452" t="n">
        <f aca="false">+H40+1</f>
        <v>9</v>
      </c>
      <c r="J40" s="452" t="n">
        <f aca="false">+I40+1</f>
        <v>10</v>
      </c>
      <c r="K40" s="452" t="n">
        <f aca="false">+J40+1</f>
        <v>11</v>
      </c>
      <c r="L40" s="452" t="n">
        <f aca="false">+K40+1</f>
        <v>12</v>
      </c>
      <c r="M40" s="452" t="n">
        <f aca="false">+L40+1</f>
        <v>13</v>
      </c>
      <c r="N40" s="452" t="n">
        <f aca="false">+M40+1</f>
        <v>14</v>
      </c>
      <c r="O40" s="452" t="n">
        <f aca="false">+N40+1</f>
        <v>15</v>
      </c>
      <c r="P40" s="452" t="n">
        <f aca="false">+O40+1</f>
        <v>16</v>
      </c>
      <c r="Q40" s="452" t="n">
        <f aca="false">+P40+1</f>
        <v>17</v>
      </c>
      <c r="R40" s="452" t="n">
        <f aca="false">+Q40+1</f>
        <v>18</v>
      </c>
      <c r="S40" s="452" t="n">
        <f aca="false">+R40+1</f>
        <v>19</v>
      </c>
      <c r="T40" s="452" t="n">
        <f aca="false">+S40+1</f>
        <v>20</v>
      </c>
      <c r="U40" s="452" t="n">
        <f aca="false">+T40+1</f>
        <v>21</v>
      </c>
      <c r="V40" s="452" t="n">
        <f aca="false">+U40+1</f>
        <v>22</v>
      </c>
      <c r="W40" s="452" t="n">
        <f aca="false">+V40+1</f>
        <v>23</v>
      </c>
      <c r="X40" s="452" t="n">
        <f aca="false">+W40+1</f>
        <v>24</v>
      </c>
      <c r="Y40" s="452" t="n">
        <f aca="false">+X40+1</f>
        <v>25</v>
      </c>
      <c r="Z40" s="452" t="n">
        <f aca="false">+Y40+1</f>
        <v>26</v>
      </c>
      <c r="AA40" s="452" t="n">
        <f aca="false">+Z40+1</f>
        <v>27</v>
      </c>
      <c r="AB40" s="452" t="n">
        <f aca="false">+AA40+1</f>
        <v>28</v>
      </c>
      <c r="AC40" s="452" t="n">
        <f aca="false">+AB40+1</f>
        <v>29</v>
      </c>
      <c r="AD40" s="452" t="n">
        <f aca="false">+AC40+1</f>
        <v>30</v>
      </c>
      <c r="AE40" s="452" t="n">
        <f aca="false">+AD40+1</f>
        <v>31</v>
      </c>
      <c r="AF40" s="452" t="n">
        <f aca="false">+AE40+1</f>
        <v>32</v>
      </c>
      <c r="AG40" s="453" t="n">
        <f aca="false">+AF40+1</f>
        <v>33</v>
      </c>
      <c r="AH40" s="452" t="n">
        <f aca="false">+AG40+1</f>
        <v>34</v>
      </c>
      <c r="AI40" s="452" t="n">
        <f aca="false">+AH40+1</f>
        <v>35</v>
      </c>
      <c r="AJ40" s="452" t="n">
        <f aca="false">+AI40+1</f>
        <v>36</v>
      </c>
      <c r="AK40" s="452" t="n">
        <f aca="false">+AJ40+1</f>
        <v>37</v>
      </c>
      <c r="AL40" s="452" t="n">
        <f aca="false">+AK40+1</f>
        <v>38</v>
      </c>
      <c r="AM40" s="453" t="n">
        <f aca="false">+AL40+1</f>
        <v>39</v>
      </c>
      <c r="AN40" s="452" t="n">
        <f aca="false">+AM40+1</f>
        <v>40</v>
      </c>
      <c r="AO40" s="452" t="n">
        <f aca="false">+AN40+1</f>
        <v>41</v>
      </c>
      <c r="AP40" s="452" t="n">
        <f aca="false">+AO40+1</f>
        <v>42</v>
      </c>
      <c r="AQ40" s="452" t="n">
        <f aca="false">+AP40+1</f>
        <v>43</v>
      </c>
      <c r="AR40" s="452" t="n">
        <f aca="false">+AQ40+1</f>
        <v>44</v>
      </c>
      <c r="AS40" s="452" t="n">
        <f aca="false">+AR40+1</f>
        <v>45</v>
      </c>
      <c r="AT40" s="452" t="n">
        <f aca="false">+AS40+1</f>
        <v>46</v>
      </c>
      <c r="AU40" s="452" t="n">
        <f aca="false">+AT40+1</f>
        <v>47</v>
      </c>
      <c r="AV40" s="452" t="n">
        <f aca="false">+AU40+1</f>
        <v>48</v>
      </c>
      <c r="AW40" s="452" t="n">
        <f aca="false">+AV40+1</f>
        <v>49</v>
      </c>
      <c r="AX40" s="452" t="n">
        <f aca="false">+AW40+1</f>
        <v>50</v>
      </c>
      <c r="AY40" s="452" t="n">
        <f aca="false">+AX40+1</f>
        <v>51</v>
      </c>
      <c r="AZ40" s="452" t="n">
        <f aca="false">+AY40+1</f>
        <v>52</v>
      </c>
      <c r="BA40" s="452" t="n">
        <f aca="false">+AZ40+1</f>
        <v>53</v>
      </c>
      <c r="BB40" s="452" t="n">
        <f aca="false">+BA40+1</f>
        <v>54</v>
      </c>
      <c r="BC40" s="452" t="n">
        <f aca="false">+BB40+1</f>
        <v>55</v>
      </c>
      <c r="BD40" s="452" t="n">
        <f aca="false">+BC40+1</f>
        <v>56</v>
      </c>
      <c r="BE40" s="452" t="n">
        <f aca="false">+BD40+1</f>
        <v>57</v>
      </c>
      <c r="BF40" s="452" t="n">
        <f aca="false">+BE40+1</f>
        <v>58</v>
      </c>
      <c r="BG40" s="452" t="n">
        <f aca="false">+BF40+1</f>
        <v>59</v>
      </c>
      <c r="BH40" s="452" t="n">
        <f aca="false">+BG40+1</f>
        <v>60</v>
      </c>
      <c r="BI40" s="452" t="n">
        <f aca="false">+BH40+1</f>
        <v>61</v>
      </c>
      <c r="BJ40" s="452" t="n">
        <f aca="false">+BI40+1</f>
        <v>62</v>
      </c>
      <c r="BK40" s="452" t="n">
        <f aca="false">+BJ40+1</f>
        <v>63</v>
      </c>
      <c r="BL40" s="452" t="n">
        <f aca="false">+BK40+1</f>
        <v>64</v>
      </c>
      <c r="BM40" s="452" t="n">
        <f aca="false">+BL40+1</f>
        <v>65</v>
      </c>
      <c r="BN40" s="452" t="n">
        <f aca="false">+BM40+1</f>
        <v>66</v>
      </c>
      <c r="BO40" s="452" t="n">
        <f aca="false">+BN40+1</f>
        <v>67</v>
      </c>
      <c r="BP40" s="452" t="n">
        <f aca="false">+BO40+1</f>
        <v>68</v>
      </c>
      <c r="BQ40" s="452" t="n">
        <f aca="false">+BP40+1</f>
        <v>69</v>
      </c>
      <c r="BR40" s="452" t="n">
        <f aca="false">+BQ40+1</f>
        <v>70</v>
      </c>
      <c r="BS40" s="452" t="n">
        <f aca="false">+BR40+1</f>
        <v>71</v>
      </c>
      <c r="BT40" s="452" t="n">
        <f aca="false">+BS40+1</f>
        <v>72</v>
      </c>
      <c r="BU40" s="452" t="n">
        <f aca="false">+BT40+1</f>
        <v>73</v>
      </c>
      <c r="BV40" s="452" t="n">
        <f aca="false">+BU40+1</f>
        <v>74</v>
      </c>
      <c r="BW40" s="452" t="n">
        <f aca="false">+BV40+1</f>
        <v>75</v>
      </c>
      <c r="BX40" s="452" t="n">
        <f aca="false">+BW40+1</f>
        <v>76</v>
      </c>
      <c r="BY40" s="452" t="n">
        <f aca="false">+BX40+1</f>
        <v>77</v>
      </c>
      <c r="BZ40" s="452" t="n">
        <f aca="false">+BY40+1</f>
        <v>78</v>
      </c>
      <c r="CA40" s="452" t="n">
        <f aca="false">+BZ40+1</f>
        <v>79</v>
      </c>
      <c r="CB40" s="452" t="n">
        <f aca="false">+CA40+1</f>
        <v>80</v>
      </c>
      <c r="CC40" s="452" t="n">
        <f aca="false">+CB40+1</f>
        <v>81</v>
      </c>
      <c r="CD40" s="452" t="n">
        <f aca="false">+CC40+1</f>
        <v>82</v>
      </c>
      <c r="CE40" s="452" t="n">
        <f aca="false">+CD40+1</f>
        <v>83</v>
      </c>
      <c r="CF40" s="452" t="n">
        <f aca="false">+CE40+1</f>
        <v>84</v>
      </c>
      <c r="CG40" s="452" t="n">
        <f aca="false">+CF40+1</f>
        <v>85</v>
      </c>
      <c r="CH40" s="452" t="n">
        <f aca="false">+CG40+1</f>
        <v>86</v>
      </c>
      <c r="CI40" s="452" t="n">
        <f aca="false">+CH40+1</f>
        <v>87</v>
      </c>
      <c r="CJ40" s="452" t="n">
        <f aca="false">+CI40+1</f>
        <v>88</v>
      </c>
      <c r="CK40" s="452" t="n">
        <f aca="false">+CJ40+1</f>
        <v>89</v>
      </c>
      <c r="CL40" s="452" t="n">
        <f aca="false">+CK40+1</f>
        <v>90</v>
      </c>
      <c r="CM40" s="452" t="n">
        <f aca="false">+CL40+1</f>
        <v>91</v>
      </c>
      <c r="CN40" s="452" t="n">
        <f aca="false">+CM40+1</f>
        <v>92</v>
      </c>
      <c r="CO40" s="452" t="n">
        <f aca="false">+CN40+1</f>
        <v>93</v>
      </c>
      <c r="CP40" s="452" t="n">
        <f aca="false">+CO40+1</f>
        <v>94</v>
      </c>
      <c r="CQ40" s="452" t="n">
        <f aca="false">+CP40+1</f>
        <v>95</v>
      </c>
      <c r="CR40" s="452" t="n">
        <f aca="false">+CQ40+1</f>
        <v>96</v>
      </c>
      <c r="CS40" s="452" t="n">
        <f aca="false">+CR40+1</f>
        <v>97</v>
      </c>
      <c r="CT40" s="452" t="n">
        <f aca="false">+CS40+1</f>
        <v>98</v>
      </c>
      <c r="CU40" s="452" t="n">
        <f aca="false">+CT40+1</f>
        <v>99</v>
      </c>
      <c r="CV40" s="452" t="n">
        <f aca="false">+CU40+1</f>
        <v>100</v>
      </c>
      <c r="CW40" s="452" t="n">
        <f aca="false">+CV40+1</f>
        <v>101</v>
      </c>
      <c r="CX40" s="452" t="n">
        <f aca="false">+CW40+1</f>
        <v>102</v>
      </c>
      <c r="CY40" s="452" t="n">
        <f aca="false">+CX40+1</f>
        <v>103</v>
      </c>
      <c r="CZ40" s="452" t="n">
        <f aca="false">+CY40+1</f>
        <v>104</v>
      </c>
      <c r="DA40" s="452" t="n">
        <f aca="false">+CZ40+1</f>
        <v>105</v>
      </c>
      <c r="DB40" s="452" t="n">
        <f aca="false">+DA40+1</f>
        <v>106</v>
      </c>
      <c r="DC40" s="452" t="n">
        <f aca="false">+DB40+1</f>
        <v>107</v>
      </c>
      <c r="DD40" s="452" t="n">
        <f aca="false">+DC40+1</f>
        <v>108</v>
      </c>
      <c r="DE40" s="452" t="n">
        <f aca="false">+DD40+1</f>
        <v>109</v>
      </c>
      <c r="DF40" s="452" t="n">
        <f aca="false">+DE40+1</f>
        <v>110</v>
      </c>
      <c r="DG40" s="452" t="n">
        <f aca="false">+DF40+1</f>
        <v>111</v>
      </c>
      <c r="DH40" s="452" t="n">
        <f aca="false">+DG40+1</f>
        <v>112</v>
      </c>
      <c r="DI40" s="452" t="n">
        <f aca="false">+DH40+1</f>
        <v>113</v>
      </c>
      <c r="DJ40" s="452" t="n">
        <f aca="false">+DI40+1</f>
        <v>114</v>
      </c>
      <c r="DK40" s="452" t="n">
        <f aca="false">+DJ40+1</f>
        <v>115</v>
      </c>
      <c r="DL40" s="452" t="n">
        <f aca="false">+DK40+1</f>
        <v>116</v>
      </c>
      <c r="DM40" s="452" t="n">
        <f aca="false">+DL40+1</f>
        <v>117</v>
      </c>
      <c r="DN40" s="452" t="n">
        <f aca="false">+DM40+1</f>
        <v>118</v>
      </c>
      <c r="DO40" s="452" t="n">
        <f aca="false">+DN40+1</f>
        <v>119</v>
      </c>
      <c r="DP40" s="452" t="n">
        <f aca="false">+DO40+1</f>
        <v>120</v>
      </c>
      <c r="DQ40" s="452" t="n">
        <f aca="false">+DP40+1</f>
        <v>121</v>
      </c>
      <c r="DR40" s="427"/>
      <c r="DS40" s="427"/>
      <c r="DT40" s="427"/>
      <c r="DU40" s="427"/>
      <c r="DV40" s="427"/>
      <c r="DW40" s="427"/>
      <c r="DX40" s="427"/>
      <c r="DY40" s="427"/>
      <c r="DZ40" s="427"/>
      <c r="EA40" s="427"/>
      <c r="EB40" s="427"/>
      <c r="EC40" s="427"/>
      <c r="ED40" s="427"/>
      <c r="EE40" s="427"/>
      <c r="EF40" s="427"/>
      <c r="EG40" s="427"/>
      <c r="EH40" s="427"/>
      <c r="EI40" s="427"/>
      <c r="EJ40" s="427"/>
      <c r="EK40" s="427"/>
      <c r="EL40" s="427"/>
      <c r="EM40" s="427"/>
      <c r="EN40" s="427"/>
      <c r="EO40" s="427"/>
      <c r="EP40" s="427"/>
      <c r="EQ40" s="427"/>
      <c r="ER40" s="427"/>
      <c r="ES40" s="427"/>
      <c r="ET40" s="427"/>
      <c r="EU40" s="427"/>
      <c r="EV40" s="427"/>
      <c r="EW40" s="427"/>
      <c r="EX40" s="427"/>
      <c r="EY40" s="427"/>
      <c r="EZ40" s="427"/>
      <c r="FA40" s="427"/>
      <c r="FB40" s="427"/>
      <c r="FC40" s="427"/>
      <c r="FD40" s="427"/>
      <c r="FE40" s="427"/>
      <c r="FF40" s="427"/>
      <c r="FG40" s="427"/>
      <c r="FH40" s="427"/>
      <c r="FI40" s="427"/>
      <c r="FJ40" s="427"/>
      <c r="FK40" s="427"/>
      <c r="FL40" s="427"/>
      <c r="FM40" s="427"/>
      <c r="FN40" s="427"/>
      <c r="FO40" s="427"/>
      <c r="FP40" s="427"/>
      <c r="FQ40" s="427"/>
      <c r="FR40" s="427"/>
      <c r="FS40" s="427"/>
      <c r="FT40" s="427"/>
      <c r="FU40" s="427"/>
      <c r="FV40" s="427"/>
      <c r="FW40" s="427"/>
      <c r="FX40" s="427"/>
      <c r="FY40" s="427"/>
      <c r="FZ40" s="427"/>
      <c r="GA40" s="427"/>
      <c r="GB40" s="427"/>
      <c r="GC40" s="427"/>
      <c r="GD40" s="427"/>
      <c r="GE40" s="427"/>
      <c r="GF40" s="427"/>
      <c r="GG40" s="427"/>
      <c r="GH40" s="427"/>
      <c r="GI40" s="427"/>
      <c r="GJ40" s="427"/>
      <c r="GK40" s="427"/>
      <c r="GL40" s="427"/>
      <c r="GM40" s="427"/>
      <c r="GN40" s="427"/>
      <c r="GO40" s="427"/>
      <c r="GP40" s="427"/>
      <c r="GQ40" s="427"/>
      <c r="GR40" s="427"/>
      <c r="GS40" s="427"/>
      <c r="GT40" s="427"/>
      <c r="GU40" s="427"/>
      <c r="GV40" s="427"/>
      <c r="GW40" s="427"/>
      <c r="GX40" s="427"/>
      <c r="GY40" s="427"/>
      <c r="GZ40" s="427"/>
      <c r="HA40" s="427"/>
      <c r="HB40" s="427"/>
      <c r="HC40" s="427"/>
      <c r="HD40" s="427"/>
      <c r="HE40" s="427"/>
      <c r="HF40" s="427"/>
      <c r="HG40" s="427"/>
      <c r="HH40" s="427"/>
      <c r="HI40" s="427"/>
      <c r="HJ40" s="427"/>
      <c r="HK40" s="427"/>
      <c r="HL40" s="427"/>
      <c r="HM40" s="427"/>
      <c r="HN40" s="427"/>
      <c r="HO40" s="427"/>
      <c r="HP40" s="427"/>
      <c r="HQ40" s="427"/>
      <c r="HR40" s="427"/>
      <c r="HS40" s="427"/>
      <c r="HT40" s="427"/>
      <c r="HU40" s="427"/>
      <c r="HV40" s="427"/>
      <c r="HW40" s="427"/>
      <c r="HX40" s="427"/>
      <c r="HY40" s="427"/>
      <c r="HZ40" s="427"/>
      <c r="IA40" s="427"/>
      <c r="IB40" s="427"/>
      <c r="IC40" s="427"/>
      <c r="ID40" s="427"/>
      <c r="IE40" s="427"/>
      <c r="IF40" s="427"/>
      <c r="IG40" s="427"/>
      <c r="IH40" s="427"/>
      <c r="II40" s="427"/>
      <c r="IJ40" s="427"/>
      <c r="IK40" s="427"/>
      <c r="IL40" s="427"/>
      <c r="IM40" s="427"/>
      <c r="IN40" s="427"/>
      <c r="IO40" s="427"/>
      <c r="IP40" s="427"/>
      <c r="IQ40" s="427"/>
      <c r="IR40" s="427"/>
      <c r="IS40" s="427"/>
      <c r="IT40" s="427"/>
      <c r="IU40" s="427"/>
      <c r="IV40" s="427"/>
      <c r="IW40" s="427"/>
    </row>
    <row r="41" customFormat="false" ht="12.75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454"/>
      <c r="AH41" s="34"/>
      <c r="AI41" s="34"/>
      <c r="AJ41" s="34"/>
      <c r="AK41" s="34"/>
      <c r="AL41" s="34"/>
      <c r="AM41" s="45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</row>
    <row r="42" customFormat="false" ht="12.75" hidden="false" customHeight="false" outlineLevel="0" collapsed="false">
      <c r="B42" s="34"/>
      <c r="I42" s="34"/>
      <c r="P42" s="34"/>
    </row>
    <row r="43" customFormat="false" ht="12.75" hidden="false" customHeight="false" outlineLevel="0" collapsed="false">
      <c r="B43" s="34"/>
      <c r="I43" s="34"/>
      <c r="P43" s="34"/>
    </row>
    <row r="44" customFormat="false" ht="12.75" hidden="false" customHeight="false" outlineLevel="0" collapsed="false">
      <c r="B44" s="34"/>
      <c r="I44" s="34"/>
      <c r="P44" s="34"/>
    </row>
    <row r="45" customFormat="false" ht="12.75" hidden="false" customHeight="false" outlineLevel="0" collapsed="false">
      <c r="B45" s="34"/>
      <c r="I45" s="34"/>
      <c r="P45" s="34"/>
    </row>
    <row r="46" customFormat="false" ht="12.75" hidden="false" customHeight="false" outlineLevel="0" collapsed="false">
      <c r="B46" s="34"/>
      <c r="I46" s="34"/>
      <c r="P46" s="34"/>
    </row>
    <row r="47" customFormat="false" ht="12.75" hidden="false" customHeight="false" outlineLevel="0" collapsed="false">
      <c r="B47" s="34"/>
      <c r="I47" s="34"/>
      <c r="P47" s="34"/>
    </row>
    <row r="48" customFormat="false" ht="12.75" hidden="false" customHeight="false" outlineLevel="0" collapsed="false">
      <c r="B48" s="34"/>
      <c r="I48" s="34"/>
      <c r="P48" s="34"/>
    </row>
    <row r="49" customFormat="false" ht="12.75" hidden="false" customHeight="false" outlineLevel="0" collapsed="false">
      <c r="B49" s="34"/>
      <c r="I49" s="34"/>
      <c r="P49" s="34"/>
    </row>
    <row r="50" customFormat="false" ht="12.75" hidden="false" customHeight="false" outlineLevel="0" collapsed="false">
      <c r="B50" s="34"/>
      <c r="I50" s="34"/>
      <c r="P50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T19" activeCellId="0" sqref="AT1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3" width="16.65"/>
    <col collapsed="false" customWidth="true" hidden="false" outlineLevel="0" max="2" min="2" style="33" width="16.49"/>
    <col collapsed="false" customWidth="true" hidden="false" outlineLevel="0" max="3" min="3" style="33" width="11.65"/>
    <col collapsed="false" customWidth="true" hidden="false" outlineLevel="0" max="4" min="4" style="33" width="14.49"/>
    <col collapsed="false" customWidth="true" hidden="false" outlineLevel="0" max="5" min="5" style="33" width="16.49"/>
    <col collapsed="false" customWidth="true" hidden="false" outlineLevel="0" max="6" min="6" style="33" width="17.82"/>
    <col collapsed="false" customWidth="true" hidden="false" outlineLevel="0" max="7" min="7" style="33" width="14.49"/>
    <col collapsed="false" customWidth="false" hidden="false" outlineLevel="0" max="257" min="8" style="33" width="9.32"/>
  </cols>
  <sheetData>
    <row r="1" customFormat="false" ht="15.75" hidden="false" customHeight="false" outlineLevel="0" collapsed="false">
      <c r="A1" s="130" t="s">
        <v>300</v>
      </c>
      <c r="B1" s="422" t="s">
        <v>301</v>
      </c>
      <c r="C1" s="426" t="n">
        <v>107872</v>
      </c>
    </row>
    <row r="2" customFormat="false" ht="12.75" hidden="false" customHeight="false" outlineLevel="0" collapsed="false">
      <c r="A2" s="183" t="n">
        <f aca="false">+BaseloadMarkets!B1</f>
        <v>36708</v>
      </c>
    </row>
    <row r="4" customFormat="false" ht="12.75" hidden="false" customHeight="false" outlineLevel="0" collapsed="false">
      <c r="B4" s="426" t="s">
        <v>302</v>
      </c>
      <c r="C4" s="426" t="s">
        <v>133</v>
      </c>
      <c r="D4" s="426" t="s">
        <v>68</v>
      </c>
      <c r="E4" s="426" t="s">
        <v>193</v>
      </c>
      <c r="F4" s="426" t="s">
        <v>193</v>
      </c>
      <c r="G4" s="426" t="s">
        <v>69</v>
      </c>
    </row>
    <row r="5" customFormat="false" ht="12.75" hidden="false" customHeight="false" outlineLevel="0" collapsed="false">
      <c r="B5" s="426" t="s">
        <v>303</v>
      </c>
      <c r="C5" s="426" t="s">
        <v>303</v>
      </c>
      <c r="D5" s="426" t="s">
        <v>297</v>
      </c>
      <c r="E5" s="426" t="s">
        <v>298</v>
      </c>
      <c r="F5" s="426" t="s">
        <v>133</v>
      </c>
      <c r="G5" s="426" t="s">
        <v>290</v>
      </c>
    </row>
    <row r="6" customFormat="false" ht="12.75" hidden="false" customHeight="false" outlineLevel="0" collapsed="false">
      <c r="A6" s="449" t="n">
        <f aca="false">BaseloadMarkets!A6</f>
        <v>36708</v>
      </c>
      <c r="B6" s="419" t="n">
        <v>20000</v>
      </c>
      <c r="C6" s="419" t="n">
        <f aca="false">+Supplies!D6</f>
        <v>30000</v>
      </c>
      <c r="D6" s="419" t="n">
        <f aca="false">+C6-B6</f>
        <v>10000</v>
      </c>
      <c r="E6" s="419" t="n">
        <f aca="false">+B6</f>
        <v>20000</v>
      </c>
      <c r="F6" s="419" t="n">
        <f aca="false">+C6</f>
        <v>30000</v>
      </c>
      <c r="G6" s="419" t="n">
        <f aca="false">+D6</f>
        <v>10000</v>
      </c>
    </row>
    <row r="7" customFormat="false" ht="12.75" hidden="false" customHeight="false" outlineLevel="0" collapsed="false">
      <c r="A7" s="449" t="n">
        <f aca="false">BaseloadMarkets!A7</f>
        <v>36709</v>
      </c>
      <c r="B7" s="419" t="n">
        <v>20000</v>
      </c>
      <c r="C7" s="419" t="n">
        <f aca="false">+Supplies!D7</f>
        <v>0</v>
      </c>
      <c r="D7" s="419" t="n">
        <f aca="false">+C7-B7</f>
        <v>-20000</v>
      </c>
      <c r="E7" s="419" t="n">
        <f aca="false">+E6+B7</f>
        <v>40000</v>
      </c>
      <c r="F7" s="419" t="n">
        <f aca="false">+F6+C7</f>
        <v>30000</v>
      </c>
      <c r="G7" s="419" t="n">
        <f aca="false">+G6+D7</f>
        <v>-10000</v>
      </c>
    </row>
    <row r="8" customFormat="false" ht="12.75" hidden="false" customHeight="false" outlineLevel="0" collapsed="false">
      <c r="A8" s="449" t="n">
        <f aca="false">BaseloadMarkets!A8</f>
        <v>36710</v>
      </c>
      <c r="B8" s="419" t="n">
        <v>20000</v>
      </c>
      <c r="C8" s="419" t="n">
        <f aca="false">+Supplies!D8</f>
        <v>10000</v>
      </c>
      <c r="D8" s="419" t="n">
        <f aca="false">+C8-B8</f>
        <v>-10000</v>
      </c>
      <c r="E8" s="419" t="n">
        <f aca="false">+E7+B8</f>
        <v>60000</v>
      </c>
      <c r="F8" s="419" t="n">
        <f aca="false">+F7+C8</f>
        <v>40000</v>
      </c>
      <c r="G8" s="419" t="n">
        <f aca="false">+G7+D8</f>
        <v>-20000</v>
      </c>
    </row>
    <row r="9" customFormat="false" ht="12.75" hidden="false" customHeight="false" outlineLevel="0" collapsed="false">
      <c r="A9" s="449" t="n">
        <f aca="false">BaseloadMarkets!A9</f>
        <v>36711</v>
      </c>
      <c r="B9" s="419" t="n">
        <v>20000</v>
      </c>
      <c r="C9" s="419" t="n">
        <f aca="false">+Supplies!D9</f>
        <v>0</v>
      </c>
      <c r="D9" s="419" t="n">
        <f aca="false">+C9-B9</f>
        <v>-20000</v>
      </c>
      <c r="E9" s="419" t="n">
        <f aca="false">+E8+B9</f>
        <v>80000</v>
      </c>
      <c r="F9" s="419" t="n">
        <f aca="false">+F8+C9</f>
        <v>40000</v>
      </c>
      <c r="G9" s="419" t="n">
        <f aca="false">+G8+D9</f>
        <v>-40000</v>
      </c>
    </row>
    <row r="10" customFormat="false" ht="12.75" hidden="false" customHeight="false" outlineLevel="0" collapsed="false">
      <c r="A10" s="449" t="n">
        <f aca="false">BaseloadMarkets!A10</f>
        <v>36712</v>
      </c>
      <c r="B10" s="419" t="n">
        <v>20000</v>
      </c>
      <c r="C10" s="419" t="n">
        <f aca="false">+Supplies!D10</f>
        <v>30000</v>
      </c>
      <c r="D10" s="419" t="n">
        <f aca="false">+C10-B10</f>
        <v>10000</v>
      </c>
      <c r="E10" s="419" t="n">
        <f aca="false">+E9+B10</f>
        <v>100000</v>
      </c>
      <c r="F10" s="419" t="n">
        <f aca="false">+F9+C10</f>
        <v>70000</v>
      </c>
      <c r="G10" s="419" t="n">
        <f aca="false">+G9+D10</f>
        <v>-30000</v>
      </c>
    </row>
    <row r="11" customFormat="false" ht="12.75" hidden="false" customHeight="false" outlineLevel="0" collapsed="false">
      <c r="A11" s="449" t="n">
        <f aca="false">BaseloadMarkets!A11</f>
        <v>36713</v>
      </c>
      <c r="B11" s="419" t="n">
        <v>20000</v>
      </c>
      <c r="C11" s="419" t="n">
        <f aca="false">+Supplies!D11</f>
        <v>30000</v>
      </c>
      <c r="D11" s="419" t="n">
        <f aca="false">+C11-B11</f>
        <v>10000</v>
      </c>
      <c r="E11" s="419" t="n">
        <f aca="false">+E10+B11</f>
        <v>120000</v>
      </c>
      <c r="F11" s="419" t="n">
        <f aca="false">+F10+C11</f>
        <v>100000</v>
      </c>
      <c r="G11" s="419" t="n">
        <f aca="false">+G10+D11</f>
        <v>-20000</v>
      </c>
    </row>
    <row r="12" customFormat="false" ht="12.75" hidden="false" customHeight="false" outlineLevel="0" collapsed="false">
      <c r="A12" s="449" t="n">
        <f aca="false">BaseloadMarkets!A12</f>
        <v>36714</v>
      </c>
      <c r="B12" s="419" t="n">
        <v>20000</v>
      </c>
      <c r="C12" s="419" t="n">
        <f aca="false">+Supplies!D12</f>
        <v>30000</v>
      </c>
      <c r="D12" s="419" t="n">
        <f aca="false">+C12-B12</f>
        <v>10000</v>
      </c>
      <c r="E12" s="419" t="n">
        <f aca="false">+E11+B12</f>
        <v>140000</v>
      </c>
      <c r="F12" s="419" t="n">
        <f aca="false">+F11+C12</f>
        <v>130000</v>
      </c>
      <c r="G12" s="419" t="n">
        <f aca="false">+G11+D12</f>
        <v>-10000</v>
      </c>
    </row>
    <row r="13" customFormat="false" ht="12.75" hidden="false" customHeight="false" outlineLevel="0" collapsed="false">
      <c r="A13" s="449" t="n">
        <f aca="false">BaseloadMarkets!A13</f>
        <v>36715</v>
      </c>
      <c r="B13" s="419" t="n">
        <v>20000</v>
      </c>
      <c r="C13" s="419" t="n">
        <f aca="false">+Supplies!D13</f>
        <v>0</v>
      </c>
      <c r="D13" s="419" t="n">
        <f aca="false">+C13-B13</f>
        <v>-20000</v>
      </c>
      <c r="E13" s="419" t="n">
        <f aca="false">+E12+B13</f>
        <v>160000</v>
      </c>
      <c r="F13" s="419" t="n">
        <f aca="false">+F12+C13</f>
        <v>130000</v>
      </c>
      <c r="G13" s="419" t="n">
        <f aca="false">+G12+D13</f>
        <v>-30000</v>
      </c>
    </row>
    <row r="14" customFormat="false" ht="12.75" hidden="false" customHeight="false" outlineLevel="0" collapsed="false">
      <c r="A14" s="449" t="n">
        <f aca="false">BaseloadMarkets!A14</f>
        <v>36716</v>
      </c>
      <c r="B14" s="419" t="n">
        <v>20000</v>
      </c>
      <c r="C14" s="419" t="n">
        <f aca="false">+Supplies!D14</f>
        <v>0</v>
      </c>
      <c r="D14" s="419" t="n">
        <f aca="false">+C14-B14</f>
        <v>-20000</v>
      </c>
      <c r="E14" s="419" t="n">
        <f aca="false">+E13+B14</f>
        <v>180000</v>
      </c>
      <c r="F14" s="419" t="n">
        <f aca="false">+F13+C14</f>
        <v>130000</v>
      </c>
      <c r="G14" s="419" t="n">
        <f aca="false">+G13+D14</f>
        <v>-50000</v>
      </c>
    </row>
    <row r="15" customFormat="false" ht="12.75" hidden="false" customHeight="false" outlineLevel="0" collapsed="false">
      <c r="A15" s="449" t="n">
        <f aca="false">BaseloadMarkets!A15</f>
        <v>36717</v>
      </c>
      <c r="B15" s="419" t="n">
        <v>20000</v>
      </c>
      <c r="C15" s="419" t="n">
        <f aca="false">+Supplies!D15</f>
        <v>30000</v>
      </c>
      <c r="D15" s="419" t="n">
        <f aca="false">+C15-B15</f>
        <v>10000</v>
      </c>
      <c r="E15" s="419" t="n">
        <f aca="false">+E14+B15</f>
        <v>200000</v>
      </c>
      <c r="F15" s="419" t="n">
        <f aca="false">+F14+C15</f>
        <v>160000</v>
      </c>
      <c r="G15" s="419" t="n">
        <f aca="false">+G14+D15</f>
        <v>-40000</v>
      </c>
    </row>
    <row r="16" customFormat="false" ht="12.75" hidden="false" customHeight="false" outlineLevel="0" collapsed="false">
      <c r="A16" s="449" t="n">
        <f aca="false">BaseloadMarkets!A16</f>
        <v>36718</v>
      </c>
      <c r="B16" s="419" t="n">
        <v>20000</v>
      </c>
      <c r="C16" s="419" t="n">
        <f aca="false">+Supplies!D16</f>
        <v>30000</v>
      </c>
      <c r="D16" s="419" t="n">
        <f aca="false">+C16-B16</f>
        <v>10000</v>
      </c>
      <c r="E16" s="419" t="n">
        <f aca="false">+E15+B16</f>
        <v>220000</v>
      </c>
      <c r="F16" s="419" t="n">
        <f aca="false">+F15+C16</f>
        <v>190000</v>
      </c>
      <c r="G16" s="419" t="n">
        <f aca="false">+G15+D16</f>
        <v>-30000</v>
      </c>
    </row>
    <row r="17" customFormat="false" ht="12.75" hidden="false" customHeight="false" outlineLevel="0" collapsed="false">
      <c r="A17" s="449" t="n">
        <f aca="false">BaseloadMarkets!A17</f>
        <v>36719</v>
      </c>
      <c r="B17" s="419" t="n">
        <v>20000</v>
      </c>
      <c r="C17" s="419" t="n">
        <f aca="false">+Supplies!D17</f>
        <v>30000</v>
      </c>
      <c r="D17" s="419" t="n">
        <f aca="false">+C17-B17</f>
        <v>10000</v>
      </c>
      <c r="E17" s="419" t="n">
        <f aca="false">+E16+B17</f>
        <v>240000</v>
      </c>
      <c r="F17" s="419" t="n">
        <f aca="false">+F16+C17</f>
        <v>220000</v>
      </c>
      <c r="G17" s="419" t="n">
        <f aca="false">+G16+D17</f>
        <v>-20000</v>
      </c>
    </row>
    <row r="18" customFormat="false" ht="12.75" hidden="false" customHeight="false" outlineLevel="0" collapsed="false">
      <c r="A18" s="449" t="n">
        <f aca="false">BaseloadMarkets!A18</f>
        <v>36720</v>
      </c>
      <c r="B18" s="419" t="n">
        <v>20000</v>
      </c>
      <c r="C18" s="419" t="n">
        <f aca="false">+Supplies!D18</f>
        <v>30000</v>
      </c>
      <c r="D18" s="419" t="n">
        <f aca="false">+C18-B18</f>
        <v>10000</v>
      </c>
      <c r="E18" s="419" t="n">
        <f aca="false">+E17+B18</f>
        <v>260000</v>
      </c>
      <c r="F18" s="419" t="n">
        <f aca="false">+F17+C18</f>
        <v>250000</v>
      </c>
      <c r="G18" s="419" t="n">
        <f aca="false">+G17+D18</f>
        <v>-10000</v>
      </c>
    </row>
    <row r="19" customFormat="false" ht="12.75" hidden="false" customHeight="false" outlineLevel="0" collapsed="false">
      <c r="A19" s="449" t="n">
        <f aca="false">BaseloadMarkets!A19</f>
        <v>36721</v>
      </c>
      <c r="B19" s="419" t="n">
        <v>20000</v>
      </c>
      <c r="C19" s="419" t="n">
        <f aca="false">+Supplies!D19</f>
        <v>30000</v>
      </c>
      <c r="D19" s="419" t="n">
        <f aca="false">+C19-B19</f>
        <v>10000</v>
      </c>
      <c r="E19" s="419" t="n">
        <f aca="false">+E18+B19</f>
        <v>280000</v>
      </c>
      <c r="F19" s="419" t="n">
        <f aca="false">+F18+C19</f>
        <v>280000</v>
      </c>
      <c r="G19" s="419" t="n">
        <f aca="false">+G18+D19</f>
        <v>0</v>
      </c>
    </row>
    <row r="20" customFormat="false" ht="12.75" hidden="false" customHeight="false" outlineLevel="0" collapsed="false">
      <c r="A20" s="449" t="n">
        <f aca="false">BaseloadMarkets!A20</f>
        <v>36722</v>
      </c>
      <c r="B20" s="419" t="n">
        <v>20000</v>
      </c>
      <c r="C20" s="419" t="n">
        <f aca="false">+Supplies!D20</f>
        <v>0</v>
      </c>
      <c r="D20" s="419" t="n">
        <f aca="false">+C20-B20</f>
        <v>-20000</v>
      </c>
      <c r="E20" s="419" t="n">
        <f aca="false">+E19+B20</f>
        <v>300000</v>
      </c>
      <c r="F20" s="419" t="n">
        <f aca="false">+F19+C20</f>
        <v>280000</v>
      </c>
      <c r="G20" s="419" t="n">
        <f aca="false">+G19+D20</f>
        <v>-20000</v>
      </c>
    </row>
    <row r="21" customFormat="false" ht="12.75" hidden="false" customHeight="false" outlineLevel="0" collapsed="false">
      <c r="A21" s="449" t="n">
        <f aca="false">BaseloadMarkets!A21</f>
        <v>36723</v>
      </c>
      <c r="B21" s="419" t="n">
        <v>20000</v>
      </c>
      <c r="C21" s="419" t="n">
        <f aca="false">+Supplies!D21</f>
        <v>0</v>
      </c>
      <c r="D21" s="419" t="n">
        <f aca="false">+C21-B21</f>
        <v>-20000</v>
      </c>
      <c r="E21" s="419" t="n">
        <f aca="false">+E20+B21</f>
        <v>320000</v>
      </c>
      <c r="F21" s="419" t="n">
        <f aca="false">+F20+C21</f>
        <v>280000</v>
      </c>
      <c r="G21" s="419" t="n">
        <f aca="false">+G20+D21</f>
        <v>-40000</v>
      </c>
    </row>
    <row r="22" customFormat="false" ht="12.75" hidden="false" customHeight="false" outlineLevel="0" collapsed="false">
      <c r="A22" s="449" t="n">
        <f aca="false">BaseloadMarkets!A22</f>
        <v>36724</v>
      </c>
      <c r="B22" s="419" t="n">
        <v>20000</v>
      </c>
      <c r="C22" s="419" t="n">
        <f aca="false">+Supplies!D22</f>
        <v>30000</v>
      </c>
      <c r="D22" s="419" t="n">
        <f aca="false">+C22-B22</f>
        <v>10000</v>
      </c>
      <c r="E22" s="419" t="n">
        <f aca="false">+E21+B22</f>
        <v>340000</v>
      </c>
      <c r="F22" s="419" t="n">
        <f aca="false">+F21+C22</f>
        <v>310000</v>
      </c>
      <c r="G22" s="419" t="n">
        <f aca="false">+G21+D22</f>
        <v>-30000</v>
      </c>
    </row>
    <row r="23" customFormat="false" ht="12.75" hidden="false" customHeight="false" outlineLevel="0" collapsed="false">
      <c r="A23" s="449" t="n">
        <f aca="false">BaseloadMarkets!A23</f>
        <v>36725</v>
      </c>
      <c r="B23" s="419" t="n">
        <v>20000</v>
      </c>
      <c r="C23" s="419" t="n">
        <f aca="false">+Supplies!D23</f>
        <v>30000</v>
      </c>
      <c r="D23" s="419" t="n">
        <f aca="false">+C23-B23</f>
        <v>10000</v>
      </c>
      <c r="E23" s="419" t="n">
        <f aca="false">+E22+B23</f>
        <v>360000</v>
      </c>
      <c r="F23" s="419" t="n">
        <f aca="false">+F22+C23</f>
        <v>340000</v>
      </c>
      <c r="G23" s="419" t="n">
        <f aca="false">+G22+D23</f>
        <v>-20000</v>
      </c>
    </row>
    <row r="24" customFormat="false" ht="12.75" hidden="false" customHeight="false" outlineLevel="0" collapsed="false">
      <c r="A24" s="449" t="n">
        <f aca="false">BaseloadMarkets!A24</f>
        <v>36726</v>
      </c>
      <c r="B24" s="419" t="n">
        <v>20000</v>
      </c>
      <c r="C24" s="419" t="n">
        <f aca="false">+Supplies!D24</f>
        <v>30000</v>
      </c>
      <c r="D24" s="419" t="n">
        <f aca="false">+C24-B24</f>
        <v>10000</v>
      </c>
      <c r="E24" s="419" t="n">
        <f aca="false">+E23+B24</f>
        <v>380000</v>
      </c>
      <c r="F24" s="419" t="n">
        <f aca="false">+F23+C24</f>
        <v>370000</v>
      </c>
      <c r="G24" s="419" t="n">
        <f aca="false">+G23+D24</f>
        <v>-10000</v>
      </c>
    </row>
    <row r="25" customFormat="false" ht="12.75" hidden="false" customHeight="false" outlineLevel="0" collapsed="false">
      <c r="A25" s="449" t="n">
        <f aca="false">BaseloadMarkets!A25</f>
        <v>36727</v>
      </c>
      <c r="B25" s="419" t="n">
        <v>20000</v>
      </c>
      <c r="C25" s="419" t="n">
        <f aca="false">+Supplies!D25</f>
        <v>30000</v>
      </c>
      <c r="D25" s="419" t="n">
        <f aca="false">+C25-B25</f>
        <v>10000</v>
      </c>
      <c r="E25" s="419" t="n">
        <f aca="false">+E24+B25</f>
        <v>400000</v>
      </c>
      <c r="F25" s="419" t="n">
        <f aca="false">+F24+C25</f>
        <v>400000</v>
      </c>
      <c r="G25" s="419" t="n">
        <f aca="false">+G24+D25</f>
        <v>0</v>
      </c>
    </row>
    <row r="26" customFormat="false" ht="12.75" hidden="false" customHeight="false" outlineLevel="0" collapsed="false">
      <c r="A26" s="449" t="n">
        <f aca="false">BaseloadMarkets!A26</f>
        <v>36728</v>
      </c>
      <c r="B26" s="419" t="n">
        <v>20000</v>
      </c>
      <c r="C26" s="419" t="n">
        <f aca="false">+Supplies!D26</f>
        <v>30000</v>
      </c>
      <c r="D26" s="419" t="n">
        <f aca="false">+C26-B26</f>
        <v>10000</v>
      </c>
      <c r="E26" s="419" t="n">
        <f aca="false">+E25+B26</f>
        <v>420000</v>
      </c>
      <c r="F26" s="419" t="n">
        <f aca="false">+F25+C26</f>
        <v>430000</v>
      </c>
      <c r="G26" s="419" t="n">
        <f aca="false">+G25+D26</f>
        <v>10000</v>
      </c>
    </row>
    <row r="27" customFormat="false" ht="12.75" hidden="false" customHeight="false" outlineLevel="0" collapsed="false">
      <c r="A27" s="449" t="n">
        <f aca="false">BaseloadMarkets!A27</f>
        <v>36729</v>
      </c>
      <c r="B27" s="419" t="n">
        <v>20000</v>
      </c>
      <c r="C27" s="419" t="n">
        <f aca="false">+Supplies!D27</f>
        <v>0</v>
      </c>
      <c r="D27" s="419" t="n">
        <f aca="false">+C27-B27</f>
        <v>-20000</v>
      </c>
      <c r="E27" s="419" t="n">
        <f aca="false">+E26+B27</f>
        <v>440000</v>
      </c>
      <c r="F27" s="419" t="n">
        <f aca="false">+F26+C27</f>
        <v>430000</v>
      </c>
      <c r="G27" s="419" t="n">
        <f aca="false">+G26+D27</f>
        <v>-10000</v>
      </c>
    </row>
    <row r="28" customFormat="false" ht="12.75" hidden="false" customHeight="false" outlineLevel="0" collapsed="false">
      <c r="A28" s="449" t="n">
        <f aca="false">BaseloadMarkets!A28</f>
        <v>36730</v>
      </c>
      <c r="B28" s="419" t="n">
        <v>20000</v>
      </c>
      <c r="C28" s="419" t="n">
        <f aca="false">+Supplies!D28</f>
        <v>0</v>
      </c>
      <c r="D28" s="419" t="n">
        <f aca="false">+C28-B28</f>
        <v>-20000</v>
      </c>
      <c r="E28" s="419" t="n">
        <f aca="false">+E27+B28</f>
        <v>460000</v>
      </c>
      <c r="F28" s="419" t="n">
        <f aca="false">+F27+C28</f>
        <v>430000</v>
      </c>
      <c r="G28" s="419" t="n">
        <f aca="false">+G27+D28</f>
        <v>-30000</v>
      </c>
    </row>
    <row r="29" customFormat="false" ht="12.75" hidden="false" customHeight="false" outlineLevel="0" collapsed="false">
      <c r="A29" s="449" t="n">
        <f aca="false">BaseloadMarkets!A29</f>
        <v>36731</v>
      </c>
      <c r="B29" s="419" t="n">
        <v>20000</v>
      </c>
      <c r="C29" s="419" t="n">
        <f aca="false">+Supplies!D29</f>
        <v>30000</v>
      </c>
      <c r="D29" s="419" t="n">
        <f aca="false">+C29-B29</f>
        <v>10000</v>
      </c>
      <c r="E29" s="419" t="n">
        <f aca="false">+E28+B29</f>
        <v>480000</v>
      </c>
      <c r="F29" s="419" t="n">
        <f aca="false">+F28+C29</f>
        <v>460000</v>
      </c>
      <c r="G29" s="419" t="n">
        <f aca="false">+G28+D29</f>
        <v>-20000</v>
      </c>
    </row>
    <row r="30" customFormat="false" ht="12.75" hidden="false" customHeight="false" outlineLevel="0" collapsed="false">
      <c r="A30" s="449" t="n">
        <f aca="false">BaseloadMarkets!A30</f>
        <v>36732</v>
      </c>
      <c r="B30" s="419" t="n">
        <v>20000</v>
      </c>
      <c r="C30" s="419" t="n">
        <f aca="false">+Supplies!D30</f>
        <v>30000</v>
      </c>
      <c r="D30" s="419" t="n">
        <f aca="false">+C30-B30</f>
        <v>10000</v>
      </c>
      <c r="E30" s="419" t="n">
        <f aca="false">+E29+B30</f>
        <v>500000</v>
      </c>
      <c r="F30" s="419" t="n">
        <f aca="false">+F29+C30</f>
        <v>490000</v>
      </c>
      <c r="G30" s="419" t="n">
        <f aca="false">+G29+D30</f>
        <v>-10000</v>
      </c>
    </row>
    <row r="31" customFormat="false" ht="12.75" hidden="false" customHeight="false" outlineLevel="0" collapsed="false">
      <c r="A31" s="449" t="n">
        <f aca="false">BaseloadMarkets!A31</f>
        <v>36733</v>
      </c>
      <c r="B31" s="419" t="n">
        <v>20000</v>
      </c>
      <c r="C31" s="419" t="n">
        <f aca="false">+Supplies!D31</f>
        <v>30000</v>
      </c>
      <c r="D31" s="419" t="n">
        <f aca="false">+C31-B31</f>
        <v>10000</v>
      </c>
      <c r="E31" s="419" t="n">
        <f aca="false">+E30+B31</f>
        <v>520000</v>
      </c>
      <c r="F31" s="419" t="n">
        <f aca="false">+F30+C31</f>
        <v>520000</v>
      </c>
      <c r="G31" s="419" t="n">
        <f aca="false">+G30+D31</f>
        <v>0</v>
      </c>
    </row>
    <row r="32" customFormat="false" ht="12.75" hidden="false" customHeight="false" outlineLevel="0" collapsed="false">
      <c r="A32" s="449" t="n">
        <f aca="false">BaseloadMarkets!A32</f>
        <v>36734</v>
      </c>
      <c r="B32" s="419" t="n">
        <v>20000</v>
      </c>
      <c r="C32" s="419" t="n">
        <f aca="false">+Supplies!D32</f>
        <v>30000</v>
      </c>
      <c r="D32" s="419" t="n">
        <f aca="false">+C32-B32</f>
        <v>10000</v>
      </c>
      <c r="E32" s="419" t="n">
        <f aca="false">+E31+B32</f>
        <v>540000</v>
      </c>
      <c r="F32" s="419" t="n">
        <f aca="false">+F31+C32</f>
        <v>550000</v>
      </c>
      <c r="G32" s="419" t="n">
        <f aca="false">+G31+D32</f>
        <v>10000</v>
      </c>
    </row>
    <row r="33" customFormat="false" ht="12.75" hidden="false" customHeight="false" outlineLevel="0" collapsed="false">
      <c r="A33" s="449" t="n">
        <f aca="false">BaseloadMarkets!A33</f>
        <v>36735</v>
      </c>
      <c r="B33" s="419" t="n">
        <v>20000</v>
      </c>
      <c r="C33" s="419" t="n">
        <f aca="false">+Supplies!D33</f>
        <v>30000</v>
      </c>
      <c r="D33" s="419" t="n">
        <f aca="false">+C33-B33</f>
        <v>10000</v>
      </c>
      <c r="E33" s="419" t="n">
        <f aca="false">+E32+B33</f>
        <v>560000</v>
      </c>
      <c r="F33" s="419" t="n">
        <f aca="false">+F32+C33</f>
        <v>580000</v>
      </c>
      <c r="G33" s="419" t="n">
        <f aca="false">+G32+D33</f>
        <v>20000</v>
      </c>
    </row>
    <row r="34" customFormat="false" ht="12.75" hidden="false" customHeight="false" outlineLevel="0" collapsed="false">
      <c r="A34" s="449" t="n">
        <f aca="false">BaseloadMarkets!A34</f>
        <v>36736</v>
      </c>
      <c r="B34" s="419" t="n">
        <v>20000</v>
      </c>
      <c r="C34" s="419" t="n">
        <f aca="false">+Supplies!D34</f>
        <v>5000</v>
      </c>
      <c r="D34" s="419" t="n">
        <f aca="false">+C34-B34</f>
        <v>-15000</v>
      </c>
      <c r="E34" s="419" t="n">
        <f aca="false">+E33+B34</f>
        <v>580000</v>
      </c>
      <c r="F34" s="419" t="n">
        <f aca="false">+F33+C34</f>
        <v>585000</v>
      </c>
      <c r="G34" s="419" t="n">
        <f aca="false">+G33+D34</f>
        <v>5000</v>
      </c>
    </row>
    <row r="35" customFormat="false" ht="12.75" hidden="false" customHeight="false" outlineLevel="0" collapsed="false">
      <c r="A35" s="449" t="n">
        <f aca="false">BaseloadMarkets!A35</f>
        <v>36737</v>
      </c>
      <c r="B35" s="419" t="n">
        <v>20000</v>
      </c>
      <c r="C35" s="419" t="n">
        <f aca="false">+Supplies!D35</f>
        <v>5000</v>
      </c>
      <c r="D35" s="419" t="n">
        <f aca="false">+C35-B35</f>
        <v>-15000</v>
      </c>
      <c r="E35" s="419" t="n">
        <f aca="false">+E34+B35</f>
        <v>600000</v>
      </c>
      <c r="F35" s="419" t="n">
        <f aca="false">+F34+C35</f>
        <v>590000</v>
      </c>
      <c r="G35" s="419" t="n">
        <f aca="false">+G34+D35</f>
        <v>-10000</v>
      </c>
    </row>
    <row r="36" customFormat="false" ht="13.5" hidden="false" customHeight="false" outlineLevel="0" collapsed="false">
      <c r="A36" s="449" t="n">
        <f aca="false">BaseloadMarkets!A36</f>
        <v>36738</v>
      </c>
      <c r="B36" s="419" t="n">
        <v>20000</v>
      </c>
      <c r="C36" s="419" t="n">
        <f aca="false">+Supplies!D36</f>
        <v>30000</v>
      </c>
      <c r="D36" s="419" t="n">
        <f aca="false">+C36-B36</f>
        <v>10000</v>
      </c>
      <c r="E36" s="419" t="n">
        <f aca="false">+E35+B36</f>
        <v>620000</v>
      </c>
      <c r="F36" s="419" t="n">
        <f aca="false">+F35+C36</f>
        <v>620000</v>
      </c>
      <c r="G36" s="419" t="n">
        <f aca="false">+G35+D36</f>
        <v>0</v>
      </c>
    </row>
    <row r="37" customFormat="false" ht="13.5" hidden="false" customHeight="false" outlineLevel="0" collapsed="false">
      <c r="A37" s="449" t="str">
        <f aca="false">BaseloadMarkets!A37</f>
        <v>Totals</v>
      </c>
      <c r="B37" s="450" t="n">
        <f aca="false">SUM(B6:B36)</f>
        <v>620000</v>
      </c>
      <c r="C37" s="450" t="n">
        <f aca="false">SUM(C6:C36)</f>
        <v>620000</v>
      </c>
      <c r="D37" s="450" t="n">
        <f aca="false">SUM(D6:D36)</f>
        <v>0</v>
      </c>
      <c r="E37" s="451"/>
      <c r="F37" s="419"/>
      <c r="G37" s="4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AJ6" activePane="bottomRight" state="frozen"/>
      <selection pane="topLeft" activeCell="A1" activeCellId="0" sqref="A1"/>
      <selection pane="topRight" activeCell="AJ1" activeCellId="0" sqref="AJ1"/>
      <selection pane="bottomLeft" activeCell="A6" activeCellId="0" sqref="A6"/>
      <selection pane="bottomRight" activeCell="AT19" activeCellId="0" sqref="AT19"/>
    </sheetView>
  </sheetViews>
  <sheetFormatPr defaultColWidth="12.82421875" defaultRowHeight="12.75" customHeight="true" zeroHeight="false" outlineLevelRow="0" outlineLevelCol="0"/>
  <cols>
    <col collapsed="false" customWidth="false" hidden="false" outlineLevel="0" max="1" min="1" style="33" width="12.82"/>
    <col collapsed="false" customWidth="false" hidden="false" outlineLevel="0" max="2" min="2" style="419" width="12.82"/>
    <col collapsed="false" customWidth="true" hidden="false" outlineLevel="0" max="3" min="3" style="419" width="15.49"/>
    <col collapsed="false" customWidth="false" hidden="false" outlineLevel="0" max="53" min="4" style="419" width="12.82"/>
    <col collapsed="false" customWidth="false" hidden="false" outlineLevel="0" max="257" min="54" style="33" width="12.82"/>
  </cols>
  <sheetData>
    <row r="1" customFormat="false" ht="12.75" hidden="false" customHeight="false" outlineLevel="0" collapsed="false">
      <c r="A1" s="420" t="s">
        <v>304</v>
      </c>
      <c r="C1" s="421" t="n">
        <f aca="false">+BaseloadMarkets!B1</f>
        <v>36708</v>
      </c>
      <c r="D1" s="455"/>
    </row>
    <row r="3" customFormat="false" ht="12.75" hidden="false" customHeight="false" outlineLevel="0" collapsed="false">
      <c r="A3" s="422" t="str">
        <f aca="false">+OCCMarkets!A3</f>
        <v>OCC</v>
      </c>
      <c r="B3" s="456" t="str">
        <f aca="false">+OCCMarkets!AC3</f>
        <v>S18</v>
      </c>
      <c r="C3" s="456"/>
      <c r="D3" s="456"/>
      <c r="E3" s="456"/>
      <c r="F3" s="456" t="str">
        <f aca="false">+OCCMarkets!AG3</f>
        <v>Total</v>
      </c>
      <c r="G3" s="456"/>
      <c r="H3" s="456"/>
      <c r="I3" s="423" t="str">
        <f aca="false">+OCCMarkets!AJ3</f>
        <v>C01</v>
      </c>
      <c r="J3" s="423"/>
      <c r="K3" s="423"/>
      <c r="L3" s="423"/>
      <c r="M3" s="423" t="str">
        <f aca="false">+OCCMarkets!AN3</f>
        <v>Total</v>
      </c>
      <c r="N3" s="423"/>
      <c r="O3" s="423"/>
      <c r="P3" s="457" t="str">
        <f aca="false">+OCCMarkets!AQ3</f>
        <v>S07</v>
      </c>
      <c r="Q3" s="457"/>
      <c r="R3" s="457"/>
      <c r="S3" s="457"/>
      <c r="T3" s="457" t="str">
        <f aca="false">+OCCMarkets!AU3</f>
        <v>Total</v>
      </c>
      <c r="U3" s="457"/>
      <c r="V3" s="457"/>
      <c r="W3" s="458" t="str">
        <f aca="false">+OCCMarkets!AX3</f>
        <v>S19</v>
      </c>
      <c r="X3" s="458"/>
      <c r="Y3" s="458"/>
      <c r="Z3" s="458"/>
      <c r="AA3" s="458" t="str">
        <f aca="false">+OCCMarkets!BB3</f>
        <v>Total</v>
      </c>
      <c r="AB3" s="458"/>
      <c r="AC3" s="458"/>
      <c r="AD3" s="459" t="str">
        <f aca="false">+OCCMarkets!BE3</f>
        <v>S88</v>
      </c>
      <c r="AE3" s="459"/>
      <c r="AF3" s="459"/>
      <c r="AG3" s="459"/>
      <c r="AH3" s="459" t="str">
        <f aca="false">+OCCMarkets!BI3</f>
        <v>Total</v>
      </c>
      <c r="AI3" s="459"/>
      <c r="AJ3" s="459"/>
      <c r="AK3" s="431"/>
      <c r="AL3" s="431"/>
      <c r="AM3" s="431"/>
      <c r="AN3" s="431"/>
      <c r="AO3" s="431"/>
      <c r="AP3" s="431"/>
      <c r="AQ3" s="431"/>
      <c r="AR3" s="431"/>
      <c r="AS3" s="431"/>
      <c r="AT3" s="431"/>
      <c r="AU3" s="431"/>
      <c r="AV3" s="431"/>
      <c r="AW3" s="431"/>
      <c r="AX3" s="431"/>
      <c r="AY3" s="431"/>
      <c r="AZ3" s="431"/>
      <c r="BA3" s="431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425"/>
      <c r="BQ3" s="425"/>
      <c r="BR3" s="425"/>
      <c r="BS3" s="425"/>
      <c r="BT3" s="425"/>
      <c r="BU3" s="425"/>
      <c r="BV3" s="425"/>
      <c r="BW3" s="425"/>
      <c r="BX3" s="425"/>
      <c r="BY3" s="425"/>
      <c r="BZ3" s="425"/>
      <c r="CA3" s="425"/>
      <c r="CB3" s="425"/>
      <c r="CC3" s="425"/>
      <c r="CD3" s="425"/>
      <c r="CE3" s="425"/>
      <c r="CF3" s="425"/>
      <c r="CG3" s="425"/>
      <c r="CH3" s="425"/>
      <c r="CI3" s="425"/>
      <c r="CJ3" s="425"/>
      <c r="CK3" s="425"/>
      <c r="CL3" s="425"/>
      <c r="CM3" s="425"/>
      <c r="CN3" s="425"/>
      <c r="CO3" s="425"/>
      <c r="CP3" s="425"/>
      <c r="CQ3" s="425"/>
      <c r="CR3" s="425"/>
      <c r="CS3" s="425"/>
      <c r="CT3" s="425"/>
      <c r="CU3" s="425"/>
      <c r="CV3" s="425"/>
      <c r="CW3" s="425"/>
      <c r="CX3" s="425"/>
      <c r="CY3" s="425"/>
      <c r="CZ3" s="425"/>
      <c r="DA3" s="425"/>
      <c r="DB3" s="425"/>
      <c r="DC3" s="425"/>
      <c r="DD3" s="425"/>
      <c r="DE3" s="426"/>
      <c r="DF3" s="426"/>
      <c r="DG3" s="426"/>
      <c r="DH3" s="426"/>
      <c r="DI3" s="426"/>
      <c r="DJ3" s="426"/>
      <c r="DK3" s="426"/>
      <c r="DL3" s="426"/>
      <c r="DM3" s="426"/>
      <c r="DN3" s="426"/>
      <c r="DO3" s="426"/>
      <c r="DP3" s="426"/>
      <c r="DQ3" s="426"/>
      <c r="DR3" s="426"/>
      <c r="DS3" s="426"/>
      <c r="DT3" s="426"/>
      <c r="DU3" s="426"/>
      <c r="DV3" s="426"/>
      <c r="DW3" s="426"/>
      <c r="DX3" s="426"/>
      <c r="DY3" s="426"/>
      <c r="DZ3" s="426"/>
      <c r="EA3" s="426"/>
      <c r="EB3" s="426"/>
      <c r="EC3" s="426"/>
      <c r="ED3" s="426"/>
      <c r="EE3" s="426"/>
      <c r="EF3" s="426"/>
      <c r="EG3" s="426"/>
      <c r="EH3" s="426"/>
      <c r="EI3" s="426"/>
      <c r="EJ3" s="426"/>
      <c r="EK3" s="426"/>
      <c r="EL3" s="426"/>
      <c r="EM3" s="426"/>
      <c r="EN3" s="426"/>
      <c r="EO3" s="426"/>
      <c r="EP3" s="426"/>
      <c r="EQ3" s="426"/>
      <c r="ER3" s="426"/>
      <c r="ES3" s="426"/>
      <c r="ET3" s="426"/>
      <c r="EU3" s="426"/>
      <c r="EV3" s="426"/>
      <c r="EW3" s="426"/>
      <c r="EX3" s="426"/>
      <c r="EY3" s="426"/>
      <c r="EZ3" s="426"/>
      <c r="FA3" s="426"/>
      <c r="FB3" s="426"/>
      <c r="FC3" s="426"/>
      <c r="FD3" s="426"/>
      <c r="FE3" s="426"/>
      <c r="FF3" s="426"/>
      <c r="FG3" s="426"/>
      <c r="FH3" s="426"/>
      <c r="FI3" s="426"/>
      <c r="FJ3" s="426"/>
      <c r="FK3" s="426"/>
      <c r="FL3" s="426"/>
      <c r="FM3" s="426"/>
      <c r="FN3" s="426"/>
      <c r="FO3" s="426"/>
      <c r="FP3" s="426"/>
      <c r="FQ3" s="426"/>
      <c r="FR3" s="426"/>
      <c r="FS3" s="426"/>
      <c r="FT3" s="426"/>
      <c r="FU3" s="426"/>
      <c r="FV3" s="426"/>
      <c r="FW3" s="426"/>
      <c r="FX3" s="426"/>
      <c r="FY3" s="426"/>
      <c r="FZ3" s="426"/>
      <c r="GA3" s="426"/>
      <c r="GB3" s="426"/>
      <c r="GC3" s="426"/>
      <c r="GD3" s="426"/>
      <c r="GE3" s="426"/>
      <c r="GF3" s="426"/>
      <c r="GG3" s="426"/>
      <c r="GH3" s="426"/>
      <c r="GI3" s="426"/>
      <c r="GJ3" s="426"/>
      <c r="GK3" s="426"/>
      <c r="GL3" s="426"/>
      <c r="GM3" s="426"/>
      <c r="GN3" s="426"/>
      <c r="GO3" s="426"/>
      <c r="GP3" s="426"/>
      <c r="GQ3" s="426"/>
      <c r="GR3" s="426"/>
      <c r="GS3" s="426"/>
      <c r="GT3" s="426"/>
      <c r="GU3" s="426"/>
      <c r="GV3" s="426"/>
      <c r="GW3" s="426"/>
      <c r="GX3" s="426"/>
      <c r="GY3" s="426"/>
      <c r="GZ3" s="426"/>
      <c r="HA3" s="426"/>
      <c r="HB3" s="426"/>
      <c r="HC3" s="426"/>
      <c r="HD3" s="426"/>
      <c r="HE3" s="426"/>
      <c r="HF3" s="426"/>
      <c r="HG3" s="426"/>
      <c r="HH3" s="426"/>
      <c r="HI3" s="426"/>
      <c r="HJ3" s="426"/>
      <c r="HK3" s="426"/>
      <c r="HL3" s="426"/>
      <c r="HM3" s="426"/>
      <c r="HN3" s="426"/>
      <c r="HO3" s="426"/>
      <c r="HP3" s="426"/>
      <c r="HQ3" s="426"/>
      <c r="HR3" s="426"/>
      <c r="HS3" s="426"/>
      <c r="HT3" s="426"/>
      <c r="HU3" s="426"/>
      <c r="HV3" s="426"/>
      <c r="HW3" s="426"/>
      <c r="HX3" s="426"/>
      <c r="HY3" s="426"/>
      <c r="HZ3" s="426"/>
      <c r="IA3" s="426"/>
      <c r="IB3" s="426"/>
      <c r="IC3" s="426"/>
      <c r="ID3" s="426"/>
      <c r="IE3" s="426"/>
      <c r="IF3" s="426"/>
      <c r="IG3" s="426"/>
      <c r="IH3" s="426"/>
      <c r="II3" s="426"/>
      <c r="IJ3" s="426"/>
      <c r="IK3" s="426"/>
      <c r="IL3" s="426"/>
      <c r="IM3" s="426"/>
      <c r="IN3" s="426"/>
      <c r="IO3" s="426"/>
      <c r="IP3" s="426"/>
      <c r="IQ3" s="426"/>
      <c r="IR3" s="426"/>
      <c r="IS3" s="426"/>
      <c r="IT3" s="426"/>
      <c r="IU3" s="426"/>
      <c r="IV3" s="426"/>
      <c r="IW3" s="426"/>
    </row>
    <row r="4" customFormat="false" ht="12.75" hidden="false" customHeight="false" outlineLevel="0" collapsed="false">
      <c r="A4" s="422" t="str">
        <f aca="false">+OCCMarkets!A4</f>
        <v>CounterParty</v>
      </c>
      <c r="B4" s="456" t="str">
        <f aca="false">+OCCMarkets!AC4</f>
        <v>Smurfit</v>
      </c>
      <c r="C4" s="456" t="str">
        <f aca="false">+OCCMarkets!AD4</f>
        <v>9KUB/9KUC</v>
      </c>
      <c r="D4" s="456"/>
      <c r="E4" s="456"/>
      <c r="F4" s="456" t="str">
        <f aca="false">+B3</f>
        <v>S18</v>
      </c>
      <c r="G4" s="456" t="str">
        <f aca="false">+OCCMarkets!AH4</f>
        <v>Daily</v>
      </c>
      <c r="H4" s="456" t="str">
        <f aca="false">+OCCMarkets!AI4</f>
        <v>Cumulative</v>
      </c>
      <c r="I4" s="423" t="str">
        <f aca="false">+OCCMarkets!AJ4</f>
        <v>Smurfit</v>
      </c>
      <c r="J4" s="423" t="str">
        <f aca="false">+OCCMarkets!AK4</f>
        <v>9KUB/9KUC</v>
      </c>
      <c r="K4" s="423" t="n">
        <f aca="false">+OCCMarkets!AL4</f>
        <v>0</v>
      </c>
      <c r="L4" s="423"/>
      <c r="M4" s="423" t="str">
        <f aca="false">+OCCMarkets!AN4</f>
        <v>Smurfit</v>
      </c>
      <c r="N4" s="423" t="str">
        <f aca="false">+OCCMarkets!AO4</f>
        <v>Daily</v>
      </c>
      <c r="O4" s="423" t="str">
        <f aca="false">+OCCMarkets!AP4</f>
        <v>Cumulative</v>
      </c>
      <c r="P4" s="457" t="str">
        <f aca="false">+OCCMarkets!AQ4</f>
        <v>Smurfit</v>
      </c>
      <c r="Q4" s="457" t="str">
        <f aca="false">+OCCMarkets!AR4</f>
        <v>9KUB</v>
      </c>
      <c r="R4" s="457"/>
      <c r="S4" s="457"/>
      <c r="T4" s="457" t="str">
        <f aca="false">+OCCMarkets!AU4</f>
        <v>Smurfit</v>
      </c>
      <c r="U4" s="457" t="str">
        <f aca="false">+OCCMarkets!AV4</f>
        <v>Daily</v>
      </c>
      <c r="V4" s="457" t="str">
        <f aca="false">+OCCMarkets!AW4</f>
        <v>Cumulative</v>
      </c>
      <c r="W4" s="458" t="str">
        <f aca="false">+OCCMarkets!AX4</f>
        <v>Smurfit</v>
      </c>
      <c r="X4" s="458"/>
      <c r="Y4" s="458"/>
      <c r="Z4" s="458"/>
      <c r="AA4" s="458" t="str">
        <f aca="false">+OCCMarkets!BB4</f>
        <v>Smurfit</v>
      </c>
      <c r="AB4" s="458" t="str">
        <f aca="false">+OCCMarkets!BC4</f>
        <v>Daily</v>
      </c>
      <c r="AC4" s="458" t="str">
        <f aca="false">+OCCMarkets!BD4</f>
        <v>Cumulative</v>
      </c>
      <c r="AD4" s="459" t="str">
        <f aca="false">+OCCMarkets!BE4</f>
        <v>Smurfit</v>
      </c>
      <c r="AE4" s="459"/>
      <c r="AF4" s="459"/>
      <c r="AG4" s="459"/>
      <c r="AH4" s="459" t="str">
        <f aca="false">+OCCMarkets!BI4</f>
        <v>Smurfit</v>
      </c>
      <c r="AI4" s="459" t="str">
        <f aca="false">+OCCMarkets!BJ4</f>
        <v>Daily</v>
      </c>
      <c r="AJ4" s="459" t="str">
        <f aca="false">+OCCMarkets!BK4</f>
        <v>Cumulative</v>
      </c>
      <c r="AK4" s="431"/>
      <c r="AL4" s="431" t="s">
        <v>45</v>
      </c>
      <c r="AM4" s="431" t="s">
        <v>45</v>
      </c>
      <c r="AN4" s="431" t="s">
        <v>68</v>
      </c>
      <c r="AO4" s="431" t="s">
        <v>69</v>
      </c>
      <c r="AP4" s="431"/>
      <c r="AQ4" s="431"/>
      <c r="AR4" s="431"/>
      <c r="AS4" s="431"/>
      <c r="AT4" s="431"/>
      <c r="AU4" s="431"/>
      <c r="AV4" s="431"/>
      <c r="AW4" s="431"/>
      <c r="AX4" s="431"/>
      <c r="AY4" s="431"/>
      <c r="AZ4" s="431"/>
      <c r="BA4" s="431"/>
      <c r="BB4" s="425"/>
      <c r="BC4" s="425"/>
      <c r="BD4" s="425"/>
      <c r="BE4" s="425"/>
      <c r="BF4" s="425"/>
      <c r="BG4" s="425"/>
      <c r="BH4" s="425"/>
      <c r="BI4" s="425"/>
      <c r="BJ4" s="425"/>
      <c r="BK4" s="425"/>
      <c r="BL4" s="425"/>
      <c r="BM4" s="425"/>
      <c r="BN4" s="425"/>
      <c r="BO4" s="425"/>
      <c r="BP4" s="425"/>
      <c r="BQ4" s="425"/>
      <c r="BR4" s="425"/>
      <c r="BS4" s="425"/>
      <c r="BT4" s="425"/>
      <c r="BU4" s="425"/>
      <c r="BV4" s="425"/>
      <c r="BW4" s="425"/>
      <c r="BX4" s="425"/>
      <c r="BY4" s="425"/>
      <c r="BZ4" s="425"/>
      <c r="CA4" s="425"/>
      <c r="CB4" s="425"/>
      <c r="CC4" s="425"/>
      <c r="CD4" s="425"/>
      <c r="CE4" s="425"/>
      <c r="CF4" s="425"/>
      <c r="CG4" s="425"/>
      <c r="CH4" s="425"/>
      <c r="CI4" s="425"/>
      <c r="CJ4" s="425"/>
      <c r="CK4" s="425"/>
      <c r="CL4" s="425"/>
      <c r="CM4" s="425"/>
      <c r="CN4" s="425"/>
      <c r="CO4" s="425"/>
      <c r="CP4" s="425"/>
      <c r="CQ4" s="425"/>
      <c r="CR4" s="425"/>
      <c r="CS4" s="425"/>
      <c r="CT4" s="425"/>
      <c r="CU4" s="425"/>
      <c r="CV4" s="425"/>
      <c r="CW4" s="425"/>
      <c r="CX4" s="425"/>
      <c r="CY4" s="425"/>
      <c r="CZ4" s="425"/>
      <c r="DA4" s="425"/>
      <c r="DB4" s="425"/>
      <c r="DC4" s="425"/>
      <c r="DD4" s="425"/>
      <c r="DE4" s="426"/>
      <c r="DF4" s="426"/>
      <c r="DG4" s="426"/>
      <c r="DH4" s="426"/>
      <c r="DI4" s="426"/>
      <c r="DJ4" s="426"/>
      <c r="DK4" s="426"/>
      <c r="DL4" s="426"/>
      <c r="DM4" s="426"/>
      <c r="DN4" s="426"/>
      <c r="DO4" s="426"/>
      <c r="DP4" s="426"/>
      <c r="DQ4" s="426"/>
      <c r="DR4" s="426"/>
      <c r="DS4" s="426"/>
      <c r="DT4" s="426"/>
      <c r="DU4" s="426"/>
      <c r="DV4" s="426"/>
      <c r="DW4" s="426"/>
      <c r="DX4" s="426"/>
      <c r="DY4" s="426"/>
      <c r="DZ4" s="426"/>
      <c r="EA4" s="426"/>
      <c r="EB4" s="426"/>
      <c r="EC4" s="426"/>
      <c r="ED4" s="426"/>
      <c r="EE4" s="426"/>
      <c r="EF4" s="426"/>
      <c r="EG4" s="426"/>
      <c r="EH4" s="426"/>
      <c r="EI4" s="426"/>
      <c r="EJ4" s="426"/>
      <c r="EK4" s="426"/>
      <c r="EL4" s="426"/>
      <c r="EM4" s="426"/>
      <c r="EN4" s="426"/>
      <c r="EO4" s="426"/>
      <c r="EP4" s="426"/>
      <c r="EQ4" s="426"/>
      <c r="ER4" s="426"/>
      <c r="ES4" s="426"/>
      <c r="ET4" s="426"/>
      <c r="EU4" s="426"/>
      <c r="EV4" s="426"/>
      <c r="EW4" s="426"/>
      <c r="EX4" s="426"/>
      <c r="EY4" s="426"/>
      <c r="EZ4" s="426"/>
      <c r="FA4" s="426"/>
      <c r="FB4" s="426"/>
      <c r="FC4" s="426"/>
      <c r="FD4" s="426"/>
      <c r="FE4" s="426"/>
      <c r="FF4" s="426"/>
      <c r="FG4" s="426"/>
      <c r="FH4" s="426"/>
      <c r="FI4" s="426"/>
      <c r="FJ4" s="426"/>
      <c r="FK4" s="426"/>
      <c r="FL4" s="426"/>
      <c r="FM4" s="426"/>
      <c r="FN4" s="426"/>
      <c r="FO4" s="426"/>
      <c r="FP4" s="426"/>
      <c r="FQ4" s="426"/>
      <c r="FR4" s="426"/>
      <c r="FS4" s="426"/>
      <c r="FT4" s="426"/>
      <c r="FU4" s="426"/>
      <c r="FV4" s="426"/>
      <c r="FW4" s="426"/>
      <c r="FX4" s="426"/>
      <c r="FY4" s="426"/>
      <c r="FZ4" s="426"/>
      <c r="GA4" s="426"/>
      <c r="GB4" s="426"/>
      <c r="GC4" s="426"/>
      <c r="GD4" s="426"/>
      <c r="GE4" s="426"/>
      <c r="GF4" s="426"/>
      <c r="GG4" s="426"/>
      <c r="GH4" s="426"/>
      <c r="GI4" s="426"/>
      <c r="GJ4" s="426"/>
      <c r="GK4" s="426"/>
      <c r="GL4" s="426"/>
      <c r="GM4" s="426"/>
      <c r="GN4" s="426"/>
      <c r="GO4" s="426"/>
      <c r="GP4" s="426"/>
      <c r="GQ4" s="426"/>
      <c r="GR4" s="426"/>
      <c r="GS4" s="426"/>
      <c r="GT4" s="426"/>
      <c r="GU4" s="426"/>
      <c r="GV4" s="426"/>
      <c r="GW4" s="426"/>
      <c r="GX4" s="426"/>
      <c r="GY4" s="426"/>
      <c r="GZ4" s="426"/>
      <c r="HA4" s="426"/>
      <c r="HB4" s="426"/>
      <c r="HC4" s="426"/>
      <c r="HD4" s="426"/>
      <c r="HE4" s="426"/>
      <c r="HF4" s="426"/>
      <c r="HG4" s="426"/>
      <c r="HH4" s="426"/>
      <c r="HI4" s="426"/>
      <c r="HJ4" s="426"/>
      <c r="HK4" s="426"/>
      <c r="HL4" s="426"/>
      <c r="HM4" s="426"/>
      <c r="HN4" s="426"/>
      <c r="HO4" s="426"/>
      <c r="HP4" s="426"/>
      <c r="HQ4" s="426"/>
      <c r="HR4" s="426"/>
      <c r="HS4" s="426"/>
      <c r="HT4" s="426"/>
      <c r="HU4" s="426"/>
      <c r="HV4" s="426"/>
      <c r="HW4" s="426"/>
      <c r="HX4" s="426"/>
      <c r="HY4" s="426"/>
      <c r="HZ4" s="426"/>
      <c r="IA4" s="426"/>
      <c r="IB4" s="426"/>
      <c r="IC4" s="426"/>
      <c r="ID4" s="426"/>
      <c r="IE4" s="426"/>
      <c r="IF4" s="426"/>
      <c r="IG4" s="426"/>
      <c r="IH4" s="426"/>
      <c r="II4" s="426"/>
      <c r="IJ4" s="426"/>
      <c r="IK4" s="426"/>
      <c r="IL4" s="426"/>
      <c r="IM4" s="426"/>
      <c r="IN4" s="426"/>
      <c r="IO4" s="426"/>
      <c r="IP4" s="426"/>
      <c r="IQ4" s="426"/>
      <c r="IR4" s="426"/>
      <c r="IS4" s="426"/>
      <c r="IT4" s="426"/>
      <c r="IU4" s="426"/>
      <c r="IV4" s="426"/>
      <c r="IW4" s="426"/>
    </row>
    <row r="5" customFormat="false" ht="12.75" hidden="false" customHeight="false" outlineLevel="0" collapsed="false">
      <c r="A5" s="422" t="str">
        <f aca="false">+OCCMarkets!A5</f>
        <v>Pipeline</v>
      </c>
      <c r="B5" s="456" t="str">
        <f aca="false">+OCCMarkets!AC5</f>
        <v>Demand</v>
      </c>
      <c r="C5" s="456" t="str">
        <f aca="false">+OCCMarkets!AD5</f>
        <v>Top/Ehr</v>
      </c>
      <c r="D5" s="456" t="str">
        <f aca="false">+OCCMarkets!AE5</f>
        <v>KRS</v>
      </c>
      <c r="E5" s="456" t="n">
        <f aca="false">+OCCMarkets!AF5</f>
        <v>0</v>
      </c>
      <c r="F5" s="456" t="str">
        <f aca="false">+OCCMarkets!AG5</f>
        <v>Scheduled</v>
      </c>
      <c r="G5" s="456" t="str">
        <f aca="false">+OCCMarkets!AH5</f>
        <v>Long/(Short)</v>
      </c>
      <c r="H5" s="456" t="str">
        <f aca="false">+OCCMarkets!AI5</f>
        <v>Imbalance</v>
      </c>
      <c r="I5" s="423" t="str">
        <f aca="false">+OCCMarkets!AJ5</f>
        <v>Demand</v>
      </c>
      <c r="J5" s="423" t="str">
        <f aca="false">+OCCMarkets!AK5</f>
        <v>Top/Ehr</v>
      </c>
      <c r="K5" s="423" t="str">
        <f aca="false">+OCCMarkets!AL5</f>
        <v>KS0202DD</v>
      </c>
      <c r="L5" s="423"/>
      <c r="M5" s="423" t="str">
        <f aca="false">+OCCMarkets!AN5</f>
        <v>Scheduled</v>
      </c>
      <c r="N5" s="423" t="str">
        <f aca="false">+OCCMarkets!AO5</f>
        <v>Long/(Short)</v>
      </c>
      <c r="O5" s="423" t="str">
        <f aca="false">+OCCMarkets!AP5</f>
        <v>Imbalance</v>
      </c>
      <c r="P5" s="457" t="str">
        <f aca="false">+OCCMarkets!AQ5</f>
        <v>Demand</v>
      </c>
      <c r="Q5" s="457" t="str">
        <f aca="false">+OCCMarkets!AR5</f>
        <v>TOP</v>
      </c>
      <c r="R5" s="457" t="n">
        <f aca="false">+OCCMarkets!AS5</f>
        <v>0</v>
      </c>
      <c r="S5" s="457"/>
      <c r="T5" s="457" t="str">
        <f aca="false">+OCCMarkets!AU5</f>
        <v>Scheduled</v>
      </c>
      <c r="U5" s="457" t="str">
        <f aca="false">+OCCMarkets!AV5</f>
        <v>Long/(Short)</v>
      </c>
      <c r="V5" s="457" t="str">
        <f aca="false">+OCCMarkets!AW5</f>
        <v>Imbalance</v>
      </c>
      <c r="W5" s="458" t="str">
        <f aca="false">+OCCMarkets!AX5</f>
        <v>Demand</v>
      </c>
      <c r="X5" s="458" t="str">
        <f aca="false">+OCCMarkets!AY5</f>
        <v>Top/Ehr</v>
      </c>
      <c r="Y5" s="458"/>
      <c r="Z5" s="458"/>
      <c r="AA5" s="458" t="str">
        <f aca="false">+OCCMarkets!BB5</f>
        <v>Scheduled</v>
      </c>
      <c r="AB5" s="458" t="str">
        <f aca="false">+OCCMarkets!BC5</f>
        <v>Long/(Short)</v>
      </c>
      <c r="AC5" s="458" t="str">
        <f aca="false">+OCCMarkets!BD5</f>
        <v>Imbalance</v>
      </c>
      <c r="AD5" s="459" t="str">
        <f aca="false">+OCCMarkets!BE5</f>
        <v>Demand</v>
      </c>
      <c r="AE5" s="459" t="str">
        <f aca="false">+OCCMarkets!BF5</f>
        <v>Top/Ehr</v>
      </c>
      <c r="AF5" s="459"/>
      <c r="AG5" s="459"/>
      <c r="AH5" s="459" t="str">
        <f aca="false">+OCCMarkets!BI5</f>
        <v>Scheduled</v>
      </c>
      <c r="AI5" s="459" t="str">
        <f aca="false">+OCCMarkets!BJ5</f>
        <v>Long/(Short)</v>
      </c>
      <c r="AJ5" s="459" t="str">
        <f aca="false">+OCCMarkets!BK5</f>
        <v>Imbalance</v>
      </c>
      <c r="AK5" s="431"/>
      <c r="AL5" s="431" t="s">
        <v>130</v>
      </c>
      <c r="AM5" s="431" t="s">
        <v>133</v>
      </c>
      <c r="AN5" s="431" t="s">
        <v>75</v>
      </c>
      <c r="AO5" s="431" t="s">
        <v>134</v>
      </c>
      <c r="AP5" s="431"/>
      <c r="AQ5" s="431"/>
      <c r="AR5" s="431"/>
      <c r="AS5" s="431"/>
      <c r="AT5" s="431"/>
      <c r="AU5" s="431"/>
      <c r="AV5" s="431"/>
      <c r="AW5" s="431"/>
      <c r="AX5" s="431"/>
      <c r="AY5" s="431"/>
      <c r="AZ5" s="431"/>
      <c r="BA5" s="431"/>
      <c r="BB5" s="425"/>
      <c r="BC5" s="425"/>
      <c r="BD5" s="425"/>
      <c r="BE5" s="425"/>
      <c r="BF5" s="425"/>
      <c r="BG5" s="425"/>
      <c r="BH5" s="425"/>
      <c r="BI5" s="425"/>
      <c r="BJ5" s="425"/>
      <c r="BK5" s="425"/>
      <c r="BL5" s="425"/>
      <c r="BM5" s="425"/>
      <c r="BN5" s="425"/>
      <c r="BO5" s="425"/>
      <c r="BP5" s="425"/>
      <c r="BQ5" s="425"/>
      <c r="BR5" s="425"/>
      <c r="BS5" s="425"/>
      <c r="BT5" s="425"/>
      <c r="BU5" s="425"/>
      <c r="BV5" s="425"/>
      <c r="BW5" s="425"/>
      <c r="BX5" s="425"/>
      <c r="BY5" s="425"/>
      <c r="BZ5" s="425"/>
      <c r="CA5" s="425"/>
      <c r="CB5" s="425"/>
      <c r="CC5" s="425"/>
      <c r="CD5" s="425"/>
      <c r="CE5" s="425"/>
      <c r="CF5" s="425"/>
      <c r="CG5" s="425"/>
      <c r="CH5" s="425"/>
      <c r="CI5" s="425"/>
      <c r="CJ5" s="425"/>
      <c r="CK5" s="425"/>
      <c r="CL5" s="425"/>
      <c r="CM5" s="425"/>
      <c r="CN5" s="425"/>
      <c r="CO5" s="425"/>
      <c r="CP5" s="425"/>
      <c r="CQ5" s="425"/>
      <c r="CR5" s="425"/>
      <c r="CS5" s="425"/>
      <c r="CT5" s="425"/>
      <c r="CU5" s="425"/>
      <c r="CV5" s="425"/>
      <c r="CW5" s="425"/>
      <c r="CX5" s="425"/>
      <c r="CY5" s="425"/>
      <c r="CZ5" s="425"/>
      <c r="DA5" s="425"/>
      <c r="DB5" s="425"/>
      <c r="DC5" s="425"/>
      <c r="DD5" s="425"/>
      <c r="DE5" s="426"/>
      <c r="DF5" s="426"/>
      <c r="DG5" s="426"/>
      <c r="DH5" s="426"/>
      <c r="DI5" s="426"/>
      <c r="DJ5" s="426"/>
      <c r="DK5" s="426"/>
      <c r="DL5" s="426"/>
      <c r="DM5" s="426"/>
      <c r="DN5" s="426"/>
      <c r="DO5" s="426"/>
      <c r="DP5" s="426"/>
      <c r="DQ5" s="426"/>
      <c r="DR5" s="426"/>
      <c r="DS5" s="426"/>
      <c r="DT5" s="426"/>
      <c r="DU5" s="426"/>
      <c r="DV5" s="426"/>
      <c r="DW5" s="426"/>
      <c r="DX5" s="426"/>
      <c r="DY5" s="426"/>
      <c r="DZ5" s="426"/>
      <c r="EA5" s="426"/>
      <c r="EB5" s="426"/>
      <c r="EC5" s="426"/>
      <c r="ED5" s="426"/>
      <c r="EE5" s="426"/>
      <c r="EF5" s="426"/>
      <c r="EG5" s="426"/>
      <c r="EH5" s="426"/>
      <c r="EI5" s="426"/>
      <c r="EJ5" s="426"/>
      <c r="EK5" s="426"/>
      <c r="EL5" s="426"/>
      <c r="EM5" s="426"/>
      <c r="EN5" s="426"/>
      <c r="EO5" s="426"/>
      <c r="EP5" s="426"/>
      <c r="EQ5" s="426"/>
      <c r="ER5" s="426"/>
      <c r="ES5" s="426"/>
      <c r="ET5" s="426"/>
      <c r="EU5" s="426"/>
      <c r="EV5" s="426"/>
      <c r="EW5" s="426"/>
      <c r="EX5" s="426"/>
      <c r="EY5" s="426"/>
      <c r="EZ5" s="426"/>
      <c r="FA5" s="426"/>
      <c r="FB5" s="426"/>
      <c r="FC5" s="426"/>
      <c r="FD5" s="426"/>
      <c r="FE5" s="426"/>
      <c r="FF5" s="426"/>
      <c r="FG5" s="426"/>
      <c r="FH5" s="426"/>
      <c r="FI5" s="426"/>
      <c r="FJ5" s="426"/>
      <c r="FK5" s="426"/>
      <c r="FL5" s="426"/>
      <c r="FM5" s="426"/>
      <c r="FN5" s="426"/>
      <c r="FO5" s="426"/>
      <c r="FP5" s="426"/>
      <c r="FQ5" s="426"/>
      <c r="FR5" s="426"/>
      <c r="FS5" s="426"/>
      <c r="FT5" s="426"/>
      <c r="FU5" s="426"/>
      <c r="FV5" s="426"/>
      <c r="FW5" s="426"/>
      <c r="FX5" s="426"/>
      <c r="FY5" s="426"/>
      <c r="FZ5" s="426"/>
      <c r="GA5" s="426"/>
      <c r="GB5" s="426"/>
      <c r="GC5" s="426"/>
      <c r="GD5" s="426"/>
      <c r="GE5" s="426"/>
      <c r="GF5" s="426"/>
      <c r="GG5" s="426"/>
      <c r="GH5" s="426"/>
      <c r="GI5" s="426"/>
      <c r="GJ5" s="426"/>
      <c r="GK5" s="426"/>
      <c r="GL5" s="426"/>
      <c r="GM5" s="426"/>
      <c r="GN5" s="426"/>
      <c r="GO5" s="426"/>
      <c r="GP5" s="426"/>
      <c r="GQ5" s="426"/>
      <c r="GR5" s="426"/>
      <c r="GS5" s="426"/>
      <c r="GT5" s="426"/>
      <c r="GU5" s="426"/>
      <c r="GV5" s="426"/>
      <c r="GW5" s="426"/>
      <c r="GX5" s="426"/>
      <c r="GY5" s="426"/>
      <c r="GZ5" s="426"/>
      <c r="HA5" s="426"/>
      <c r="HB5" s="426"/>
      <c r="HC5" s="426"/>
      <c r="HD5" s="426"/>
      <c r="HE5" s="426"/>
      <c r="HF5" s="426"/>
      <c r="HG5" s="426"/>
      <c r="HH5" s="426"/>
      <c r="HI5" s="426"/>
      <c r="HJ5" s="426"/>
      <c r="HK5" s="426"/>
      <c r="HL5" s="426"/>
      <c r="HM5" s="426"/>
      <c r="HN5" s="426"/>
      <c r="HO5" s="426"/>
      <c r="HP5" s="426"/>
      <c r="HQ5" s="426"/>
      <c r="HR5" s="426"/>
      <c r="HS5" s="426"/>
      <c r="HT5" s="426"/>
      <c r="HU5" s="426"/>
      <c r="HV5" s="426"/>
      <c r="HW5" s="426"/>
      <c r="HX5" s="426"/>
      <c r="HY5" s="426"/>
      <c r="HZ5" s="426"/>
      <c r="IA5" s="426"/>
      <c r="IB5" s="426"/>
      <c r="IC5" s="426"/>
      <c r="ID5" s="426"/>
      <c r="IE5" s="426"/>
      <c r="IF5" s="426"/>
      <c r="IG5" s="426"/>
      <c r="IH5" s="426"/>
      <c r="II5" s="426"/>
      <c r="IJ5" s="426"/>
      <c r="IK5" s="426"/>
      <c r="IL5" s="426"/>
      <c r="IM5" s="426"/>
      <c r="IN5" s="426"/>
      <c r="IO5" s="426"/>
      <c r="IP5" s="426"/>
      <c r="IQ5" s="426"/>
      <c r="IR5" s="426"/>
      <c r="IS5" s="426"/>
      <c r="IT5" s="426"/>
      <c r="IU5" s="426"/>
      <c r="IV5" s="426"/>
      <c r="IW5" s="426"/>
    </row>
    <row r="6" customFormat="false" ht="12.75" hidden="false" customHeight="false" outlineLevel="0" collapsed="false">
      <c r="A6" s="381" t="n">
        <f aca="false">+BaseloadMarkets!A6</f>
        <v>36708</v>
      </c>
      <c r="B6" s="456" t="n">
        <f aca="false">+OCCMarkets!AC6</f>
        <v>181</v>
      </c>
      <c r="C6" s="456" t="n">
        <f aca="false">+OCCMarkets!AD6</f>
        <v>0</v>
      </c>
      <c r="D6" s="456" t="n">
        <f aca="false">+OCCMarkets!AE6</f>
        <v>0</v>
      </c>
      <c r="E6" s="456" t="n">
        <f aca="false">+OCCMarkets!AF6</f>
        <v>0</v>
      </c>
      <c r="F6" s="456" t="n">
        <f aca="false">+OCCMarkets!AG6</f>
        <v>0</v>
      </c>
      <c r="G6" s="456" t="n">
        <f aca="false">+OCCMarkets!AH6</f>
        <v>-181</v>
      </c>
      <c r="H6" s="456" t="n">
        <f aca="false">+OCCMarkets!AI6</f>
        <v>-181</v>
      </c>
      <c r="I6" s="423" t="n">
        <f aca="false">+OCCMarkets!AJ6</f>
        <v>2722</v>
      </c>
      <c r="J6" s="423" t="n">
        <f aca="false">+OCCMarkets!AK6</f>
        <v>4437</v>
      </c>
      <c r="K6" s="423" t="n">
        <f aca="false">+OCCMarkets!AL6</f>
        <v>7019</v>
      </c>
      <c r="L6" s="423" t="n">
        <f aca="false">+OCCMarkets!AM6</f>
        <v>0</v>
      </c>
      <c r="M6" s="423" t="n">
        <f aca="false">+OCCMarkets!AN6</f>
        <v>11456</v>
      </c>
      <c r="N6" s="423" t="n">
        <f aca="false">+OCCMarkets!AO6</f>
        <v>8734</v>
      </c>
      <c r="O6" s="423" t="n">
        <f aca="false">+OCCMarkets!AP6</f>
        <v>8734</v>
      </c>
      <c r="P6" s="457" t="n">
        <f aca="false">+OCCMarkets!AQ6</f>
        <v>0</v>
      </c>
      <c r="Q6" s="457" t="n">
        <f aca="false">+OCCMarkets!AR6</f>
        <v>0</v>
      </c>
      <c r="R6" s="457" t="n">
        <f aca="false">+OCCMarkets!AS6</f>
        <v>0</v>
      </c>
      <c r="S6" s="457" t="n">
        <f aca="false">+OCCMarkets!AT6</f>
        <v>0</v>
      </c>
      <c r="T6" s="457" t="n">
        <f aca="false">+OCCMarkets!AU6</f>
        <v>0</v>
      </c>
      <c r="U6" s="457" t="n">
        <f aca="false">+OCCMarkets!AV6</f>
        <v>0</v>
      </c>
      <c r="V6" s="457" t="n">
        <f aca="false">+OCCMarkets!AW6</f>
        <v>0</v>
      </c>
      <c r="W6" s="458" t="n">
        <f aca="false">+OCCMarkets!AX6</f>
        <v>22</v>
      </c>
      <c r="X6" s="458" t="n">
        <f aca="false">+OCCMarkets!AY6</f>
        <v>0</v>
      </c>
      <c r="Y6" s="458" t="n">
        <f aca="false">+OCCMarkets!AZ6</f>
        <v>0</v>
      </c>
      <c r="Z6" s="458" t="n">
        <f aca="false">+OCCMarkets!BA6</f>
        <v>0</v>
      </c>
      <c r="AA6" s="458" t="n">
        <f aca="false">+OCCMarkets!BB6</f>
        <v>0</v>
      </c>
      <c r="AB6" s="458" t="n">
        <f aca="false">+OCCMarkets!BC6</f>
        <v>-22</v>
      </c>
      <c r="AC6" s="458" t="n">
        <f aca="false">+OCCMarkets!BD6</f>
        <v>-22</v>
      </c>
      <c r="AD6" s="459" t="n">
        <f aca="false">+OCCMarkets!BE6</f>
        <v>140</v>
      </c>
      <c r="AE6" s="459" t="n">
        <f aca="false">+OCCMarkets!BF6</f>
        <v>0</v>
      </c>
      <c r="AF6" s="459" t="n">
        <f aca="false">+OCCMarkets!BG6</f>
        <v>0</v>
      </c>
      <c r="AG6" s="459" t="n">
        <f aca="false">+OCCMarkets!BH6</f>
        <v>0</v>
      </c>
      <c r="AH6" s="459" t="n">
        <f aca="false">+OCCMarkets!BI6</f>
        <v>0</v>
      </c>
      <c r="AI6" s="459" t="n">
        <f aca="false">+OCCMarkets!BJ6</f>
        <v>-140</v>
      </c>
      <c r="AJ6" s="459" t="n">
        <f aca="false">+OCCMarkets!BK6</f>
        <v>-140</v>
      </c>
      <c r="AL6" s="419" t="n">
        <f aca="false">+B6+I6+P6+W6+AD6</f>
        <v>3065</v>
      </c>
      <c r="AM6" s="419" t="n">
        <f aca="false">+F6+M6+T6+AA6+AH6</f>
        <v>11456</v>
      </c>
      <c r="AN6" s="419" t="n">
        <f aca="false">+AM6-AL6</f>
        <v>8391</v>
      </c>
      <c r="AO6" s="419" t="n">
        <f aca="false">+H6+O6+V6+AC6+AJ6</f>
        <v>8391</v>
      </c>
      <c r="BB6" s="427"/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7"/>
      <c r="BN6" s="427"/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7"/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7"/>
      <c r="CX6" s="427"/>
      <c r="CY6" s="427"/>
      <c r="CZ6" s="427"/>
      <c r="DA6" s="427"/>
      <c r="DB6" s="427"/>
      <c r="DC6" s="427"/>
      <c r="DD6" s="427"/>
    </row>
    <row r="7" customFormat="false" ht="12.75" hidden="false" customHeight="false" outlineLevel="0" collapsed="false">
      <c r="A7" s="381" t="n">
        <f aca="false">+BaseloadMarkets!A7</f>
        <v>36709</v>
      </c>
      <c r="B7" s="456" t="n">
        <f aca="false">+OCCMarkets!AC7</f>
        <v>28</v>
      </c>
      <c r="C7" s="456" t="n">
        <f aca="false">+OCCMarkets!AD7</f>
        <v>0</v>
      </c>
      <c r="D7" s="456" t="n">
        <f aca="false">+OCCMarkets!AE7</f>
        <v>0</v>
      </c>
      <c r="E7" s="456" t="n">
        <f aca="false">+OCCMarkets!AF7</f>
        <v>0</v>
      </c>
      <c r="F7" s="456" t="n">
        <f aca="false">+OCCMarkets!AG7</f>
        <v>0</v>
      </c>
      <c r="G7" s="456" t="n">
        <f aca="false">+OCCMarkets!AH7</f>
        <v>-28</v>
      </c>
      <c r="H7" s="456" t="n">
        <f aca="false">+OCCMarkets!AI7</f>
        <v>-209</v>
      </c>
      <c r="I7" s="423" t="n">
        <f aca="false">+OCCMarkets!AJ7</f>
        <v>7067</v>
      </c>
      <c r="J7" s="423" t="n">
        <f aca="false">+OCCMarkets!AK7</f>
        <v>3760</v>
      </c>
      <c r="K7" s="423" t="n">
        <f aca="false">+OCCMarkets!AL7</f>
        <v>8450</v>
      </c>
      <c r="L7" s="423" t="n">
        <f aca="false">+OCCMarkets!AM7</f>
        <v>0</v>
      </c>
      <c r="M7" s="423" t="n">
        <f aca="false">+OCCMarkets!AN7</f>
        <v>12210</v>
      </c>
      <c r="N7" s="423" t="n">
        <f aca="false">+OCCMarkets!AO7</f>
        <v>5143</v>
      </c>
      <c r="O7" s="423" t="n">
        <f aca="false">+OCCMarkets!AP7</f>
        <v>13877</v>
      </c>
      <c r="P7" s="457" t="n">
        <f aca="false">+OCCMarkets!AQ7</f>
        <v>0</v>
      </c>
      <c r="Q7" s="457" t="n">
        <f aca="false">+OCCMarkets!AR7</f>
        <v>0</v>
      </c>
      <c r="R7" s="457" t="n">
        <f aca="false">+OCCMarkets!AS7</f>
        <v>0</v>
      </c>
      <c r="S7" s="457" t="n">
        <f aca="false">+OCCMarkets!AT7</f>
        <v>0</v>
      </c>
      <c r="T7" s="457" t="n">
        <f aca="false">+OCCMarkets!AU7</f>
        <v>0</v>
      </c>
      <c r="U7" s="457" t="n">
        <f aca="false">+OCCMarkets!AV7</f>
        <v>0</v>
      </c>
      <c r="V7" s="457" t="n">
        <f aca="false">+OCCMarkets!AW7</f>
        <v>0</v>
      </c>
      <c r="W7" s="458" t="n">
        <f aca="false">+OCCMarkets!AX7</f>
        <v>0</v>
      </c>
      <c r="X7" s="458" t="n">
        <f aca="false">+OCCMarkets!AY7</f>
        <v>0</v>
      </c>
      <c r="Y7" s="458" t="n">
        <f aca="false">+OCCMarkets!AZ7</f>
        <v>0</v>
      </c>
      <c r="Z7" s="458" t="n">
        <f aca="false">+OCCMarkets!BA7</f>
        <v>0</v>
      </c>
      <c r="AA7" s="458" t="n">
        <f aca="false">+OCCMarkets!BB7</f>
        <v>0</v>
      </c>
      <c r="AB7" s="458" t="n">
        <f aca="false">+OCCMarkets!BC7</f>
        <v>0</v>
      </c>
      <c r="AC7" s="458" t="n">
        <f aca="false">+OCCMarkets!BD7</f>
        <v>-22</v>
      </c>
      <c r="AD7" s="459" t="n">
        <f aca="false">+OCCMarkets!BE7</f>
        <v>0</v>
      </c>
      <c r="AE7" s="459" t="n">
        <f aca="false">+OCCMarkets!BF7</f>
        <v>0</v>
      </c>
      <c r="AF7" s="459" t="n">
        <f aca="false">+OCCMarkets!BG7</f>
        <v>0</v>
      </c>
      <c r="AG7" s="459" t="n">
        <f aca="false">+OCCMarkets!BH7</f>
        <v>0</v>
      </c>
      <c r="AH7" s="459" t="n">
        <f aca="false">+OCCMarkets!BI7</f>
        <v>0</v>
      </c>
      <c r="AI7" s="459" t="n">
        <f aca="false">+OCCMarkets!BJ7</f>
        <v>0</v>
      </c>
      <c r="AJ7" s="459" t="n">
        <f aca="false">+OCCMarkets!BK7</f>
        <v>-140</v>
      </c>
      <c r="AL7" s="419" t="n">
        <f aca="false">+B7+I7+P7+W7+AD7</f>
        <v>7095</v>
      </c>
      <c r="AM7" s="419" t="n">
        <f aca="false">+F7+M7+T7+AA7+AH7</f>
        <v>12210</v>
      </c>
      <c r="AN7" s="419" t="n">
        <f aca="false">+AM7-AL7</f>
        <v>5115</v>
      </c>
      <c r="AO7" s="419" t="n">
        <f aca="false">+H7+O7+V7+AC7+AJ7</f>
        <v>13506</v>
      </c>
      <c r="BB7" s="427"/>
      <c r="BC7" s="427"/>
      <c r="BD7" s="427"/>
      <c r="BE7" s="427"/>
      <c r="BF7" s="427"/>
      <c r="BG7" s="427"/>
      <c r="BH7" s="427"/>
      <c r="BI7" s="427"/>
      <c r="BJ7" s="427"/>
      <c r="BK7" s="427"/>
      <c r="BL7" s="427"/>
      <c r="BM7" s="427"/>
      <c r="BN7" s="427"/>
      <c r="BO7" s="427"/>
      <c r="BP7" s="427"/>
      <c r="BQ7" s="427"/>
      <c r="BR7" s="427"/>
      <c r="BS7" s="427"/>
      <c r="BT7" s="427"/>
      <c r="BU7" s="427"/>
      <c r="BV7" s="427"/>
      <c r="BW7" s="427"/>
      <c r="BX7" s="427"/>
      <c r="BY7" s="427"/>
      <c r="BZ7" s="427"/>
      <c r="CA7" s="427"/>
      <c r="CB7" s="427"/>
      <c r="CC7" s="427"/>
      <c r="CD7" s="427"/>
      <c r="CE7" s="427"/>
      <c r="CF7" s="427"/>
      <c r="CG7" s="427"/>
      <c r="CH7" s="427"/>
      <c r="CI7" s="427"/>
      <c r="CJ7" s="427"/>
      <c r="CK7" s="427"/>
      <c r="CL7" s="427"/>
      <c r="CM7" s="427"/>
      <c r="CN7" s="427"/>
      <c r="CO7" s="427"/>
      <c r="CP7" s="427"/>
      <c r="CQ7" s="427"/>
      <c r="CR7" s="427"/>
      <c r="CS7" s="427"/>
      <c r="CT7" s="427"/>
      <c r="CU7" s="427"/>
      <c r="CV7" s="427"/>
      <c r="CW7" s="427"/>
      <c r="CX7" s="427"/>
      <c r="CY7" s="427"/>
      <c r="CZ7" s="427"/>
      <c r="DA7" s="427"/>
      <c r="DB7" s="427"/>
      <c r="DC7" s="427"/>
      <c r="DD7" s="427"/>
    </row>
    <row r="8" customFormat="false" ht="12.75" hidden="false" customHeight="false" outlineLevel="0" collapsed="false">
      <c r="A8" s="381" t="n">
        <f aca="false">+BaseloadMarkets!A8</f>
        <v>36710</v>
      </c>
      <c r="B8" s="456" t="n">
        <f aca="false">+OCCMarkets!AC8</f>
        <v>98</v>
      </c>
      <c r="C8" s="456" t="n">
        <f aca="false">+OCCMarkets!AD8</f>
        <v>0</v>
      </c>
      <c r="D8" s="456" t="n">
        <f aca="false">+OCCMarkets!AE8</f>
        <v>0</v>
      </c>
      <c r="E8" s="456" t="n">
        <f aca="false">+OCCMarkets!AF8</f>
        <v>0</v>
      </c>
      <c r="F8" s="456" t="n">
        <f aca="false">+OCCMarkets!AG8</f>
        <v>0</v>
      </c>
      <c r="G8" s="456" t="n">
        <f aca="false">+OCCMarkets!AH8</f>
        <v>-98</v>
      </c>
      <c r="H8" s="456" t="n">
        <f aca="false">+OCCMarkets!AI8</f>
        <v>-307</v>
      </c>
      <c r="I8" s="423" t="n">
        <f aca="false">+OCCMarkets!AJ8</f>
        <v>9261</v>
      </c>
      <c r="J8" s="423" t="n">
        <f aca="false">+OCCMarkets!AK8</f>
        <v>4845</v>
      </c>
      <c r="K8" s="423" t="n">
        <f aca="false">+OCCMarkets!AL8</f>
        <v>7810</v>
      </c>
      <c r="L8" s="423" t="n">
        <f aca="false">+OCCMarkets!AM8</f>
        <v>0</v>
      </c>
      <c r="M8" s="423" t="n">
        <f aca="false">+OCCMarkets!AN8</f>
        <v>12655</v>
      </c>
      <c r="N8" s="423" t="n">
        <f aca="false">+OCCMarkets!AO8</f>
        <v>3394</v>
      </c>
      <c r="O8" s="423" t="n">
        <f aca="false">+OCCMarkets!AP8</f>
        <v>17271</v>
      </c>
      <c r="P8" s="457" t="n">
        <f aca="false">+OCCMarkets!AQ8</f>
        <v>0</v>
      </c>
      <c r="Q8" s="457" t="n">
        <f aca="false">+OCCMarkets!AR8</f>
        <v>0</v>
      </c>
      <c r="R8" s="457" t="n">
        <f aca="false">+OCCMarkets!AS8</f>
        <v>0</v>
      </c>
      <c r="S8" s="457" t="n">
        <f aca="false">+OCCMarkets!AT8</f>
        <v>0</v>
      </c>
      <c r="T8" s="457" t="n">
        <f aca="false">+OCCMarkets!AU8</f>
        <v>0</v>
      </c>
      <c r="U8" s="457" t="n">
        <f aca="false">+OCCMarkets!AV8</f>
        <v>0</v>
      </c>
      <c r="V8" s="457" t="n">
        <f aca="false">+OCCMarkets!AW8</f>
        <v>0</v>
      </c>
      <c r="W8" s="458" t="n">
        <f aca="false">+OCCMarkets!AX8</f>
        <v>0</v>
      </c>
      <c r="X8" s="458" t="n">
        <f aca="false">+OCCMarkets!AY8</f>
        <v>0</v>
      </c>
      <c r="Y8" s="458" t="n">
        <f aca="false">+OCCMarkets!AZ8</f>
        <v>0</v>
      </c>
      <c r="Z8" s="458" t="n">
        <f aca="false">+OCCMarkets!BA8</f>
        <v>0</v>
      </c>
      <c r="AA8" s="458" t="n">
        <f aca="false">+OCCMarkets!BB8</f>
        <v>0</v>
      </c>
      <c r="AB8" s="458" t="n">
        <f aca="false">+OCCMarkets!BC8</f>
        <v>0</v>
      </c>
      <c r="AC8" s="458" t="n">
        <f aca="false">+OCCMarkets!BD8</f>
        <v>-22</v>
      </c>
      <c r="AD8" s="459" t="n">
        <f aca="false">+OCCMarkets!BE8</f>
        <v>162</v>
      </c>
      <c r="AE8" s="459" t="n">
        <f aca="false">+OCCMarkets!BF8</f>
        <v>0</v>
      </c>
      <c r="AF8" s="459" t="n">
        <f aca="false">+OCCMarkets!BG8</f>
        <v>0</v>
      </c>
      <c r="AG8" s="459" t="n">
        <f aca="false">+OCCMarkets!BH8</f>
        <v>0</v>
      </c>
      <c r="AH8" s="459" t="n">
        <f aca="false">+OCCMarkets!BI8</f>
        <v>0</v>
      </c>
      <c r="AI8" s="459" t="n">
        <f aca="false">+OCCMarkets!BJ8</f>
        <v>-162</v>
      </c>
      <c r="AJ8" s="459" t="n">
        <f aca="false">+OCCMarkets!BK8</f>
        <v>-302</v>
      </c>
      <c r="AL8" s="419" t="n">
        <f aca="false">+B8+I8+P8+W8+AD8</f>
        <v>9521</v>
      </c>
      <c r="AM8" s="419" t="n">
        <f aca="false">+F8+M8+T8+AA8+AH8</f>
        <v>12655</v>
      </c>
      <c r="AN8" s="419" t="n">
        <f aca="false">+AM8-AL8</f>
        <v>3134</v>
      </c>
      <c r="AO8" s="419" t="n">
        <f aca="false">+H8+O8+V8+AC8+AJ8</f>
        <v>16640</v>
      </c>
      <c r="BB8" s="427"/>
      <c r="BC8" s="427"/>
      <c r="BD8" s="427"/>
      <c r="BE8" s="427"/>
      <c r="BF8" s="427"/>
      <c r="BG8" s="427"/>
      <c r="BH8" s="427"/>
      <c r="BI8" s="427"/>
      <c r="BJ8" s="427"/>
      <c r="BK8" s="427"/>
      <c r="BL8" s="427"/>
      <c r="BM8" s="427"/>
      <c r="BN8" s="427"/>
      <c r="BO8" s="427"/>
      <c r="BP8" s="427"/>
      <c r="BQ8" s="427"/>
      <c r="BR8" s="427"/>
      <c r="BS8" s="427"/>
      <c r="BT8" s="427"/>
      <c r="BU8" s="427"/>
      <c r="BV8" s="427"/>
      <c r="BW8" s="427"/>
      <c r="BX8" s="427"/>
      <c r="BY8" s="427"/>
      <c r="BZ8" s="427"/>
      <c r="CA8" s="427"/>
      <c r="CB8" s="427"/>
      <c r="CC8" s="427"/>
      <c r="CD8" s="427"/>
      <c r="CE8" s="427"/>
      <c r="CF8" s="427"/>
      <c r="CG8" s="427"/>
      <c r="CH8" s="427"/>
      <c r="CI8" s="427"/>
      <c r="CJ8" s="427"/>
      <c r="CK8" s="427"/>
      <c r="CL8" s="427"/>
      <c r="CM8" s="427"/>
      <c r="CN8" s="427"/>
      <c r="CO8" s="427"/>
      <c r="CP8" s="427"/>
      <c r="CQ8" s="427"/>
      <c r="CR8" s="427"/>
      <c r="CS8" s="427"/>
      <c r="CT8" s="427"/>
      <c r="CU8" s="427"/>
      <c r="CV8" s="427"/>
      <c r="CW8" s="427"/>
      <c r="CX8" s="427"/>
      <c r="CY8" s="427"/>
      <c r="CZ8" s="427"/>
      <c r="DA8" s="427"/>
      <c r="DB8" s="427"/>
      <c r="DC8" s="427"/>
      <c r="DD8" s="427"/>
    </row>
    <row r="9" customFormat="false" ht="12.75" hidden="false" customHeight="false" outlineLevel="0" collapsed="false">
      <c r="A9" s="381" t="n">
        <f aca="false">+BaseloadMarkets!A9</f>
        <v>36711</v>
      </c>
      <c r="B9" s="456" t="n">
        <f aca="false">+OCCMarkets!AC9</f>
        <v>34</v>
      </c>
      <c r="C9" s="456" t="n">
        <f aca="false">+OCCMarkets!AD9</f>
        <v>0</v>
      </c>
      <c r="D9" s="456" t="n">
        <f aca="false">+OCCMarkets!AE9</f>
        <v>0</v>
      </c>
      <c r="E9" s="456" t="n">
        <f aca="false">+OCCMarkets!AF9</f>
        <v>0</v>
      </c>
      <c r="F9" s="456" t="n">
        <f aca="false">+OCCMarkets!AG9</f>
        <v>0</v>
      </c>
      <c r="G9" s="456" t="n">
        <f aca="false">+OCCMarkets!AH9</f>
        <v>-34</v>
      </c>
      <c r="H9" s="456" t="n">
        <f aca="false">+OCCMarkets!AI9</f>
        <v>-341</v>
      </c>
      <c r="I9" s="423" t="n">
        <f aca="false">+OCCMarkets!AJ9</f>
        <v>9234</v>
      </c>
      <c r="J9" s="423" t="n">
        <f aca="false">+OCCMarkets!AK9</f>
        <v>4018</v>
      </c>
      <c r="K9" s="423" t="n">
        <f aca="false">+OCCMarkets!AL9</f>
        <v>6432</v>
      </c>
      <c r="L9" s="423" t="n">
        <f aca="false">+OCCMarkets!AM9</f>
        <v>0</v>
      </c>
      <c r="M9" s="423" t="n">
        <f aca="false">+OCCMarkets!AN9</f>
        <v>10450</v>
      </c>
      <c r="N9" s="423" t="n">
        <f aca="false">+OCCMarkets!AO9</f>
        <v>1216</v>
      </c>
      <c r="O9" s="423" t="n">
        <f aca="false">+OCCMarkets!AP9</f>
        <v>18487</v>
      </c>
      <c r="P9" s="457" t="n">
        <f aca="false">+OCCMarkets!AQ9</f>
        <v>0</v>
      </c>
      <c r="Q9" s="457" t="n">
        <f aca="false">+OCCMarkets!AR9</f>
        <v>0</v>
      </c>
      <c r="R9" s="457" t="n">
        <f aca="false">+OCCMarkets!AS9</f>
        <v>0</v>
      </c>
      <c r="S9" s="457" t="n">
        <f aca="false">+OCCMarkets!AT9</f>
        <v>0</v>
      </c>
      <c r="T9" s="457" t="n">
        <f aca="false">+OCCMarkets!AU9</f>
        <v>0</v>
      </c>
      <c r="U9" s="457" t="n">
        <f aca="false">+OCCMarkets!AV9</f>
        <v>0</v>
      </c>
      <c r="V9" s="457" t="n">
        <f aca="false">+OCCMarkets!AW9</f>
        <v>0</v>
      </c>
      <c r="W9" s="458" t="n">
        <f aca="false">+OCCMarkets!AX9</f>
        <v>0</v>
      </c>
      <c r="X9" s="458" t="n">
        <f aca="false">+OCCMarkets!AY9</f>
        <v>0</v>
      </c>
      <c r="Y9" s="458" t="n">
        <f aca="false">+OCCMarkets!AZ9</f>
        <v>0</v>
      </c>
      <c r="Z9" s="458" t="n">
        <f aca="false">+OCCMarkets!BA9</f>
        <v>0</v>
      </c>
      <c r="AA9" s="458" t="n">
        <f aca="false">+OCCMarkets!BB9</f>
        <v>0</v>
      </c>
      <c r="AB9" s="458" t="n">
        <f aca="false">+OCCMarkets!BC9</f>
        <v>0</v>
      </c>
      <c r="AC9" s="458" t="n">
        <f aca="false">+OCCMarkets!BD9</f>
        <v>-22</v>
      </c>
      <c r="AD9" s="459" t="n">
        <f aca="false">+OCCMarkets!BE9</f>
        <v>22</v>
      </c>
      <c r="AE9" s="459" t="n">
        <f aca="false">+OCCMarkets!BF9</f>
        <v>0</v>
      </c>
      <c r="AF9" s="459" t="n">
        <f aca="false">+OCCMarkets!BG9</f>
        <v>0</v>
      </c>
      <c r="AG9" s="459" t="n">
        <f aca="false">+OCCMarkets!BH9</f>
        <v>0</v>
      </c>
      <c r="AH9" s="459" t="n">
        <f aca="false">+OCCMarkets!BI9</f>
        <v>0</v>
      </c>
      <c r="AI9" s="459" t="n">
        <f aca="false">+OCCMarkets!BJ9</f>
        <v>-22</v>
      </c>
      <c r="AJ9" s="459" t="n">
        <f aca="false">+OCCMarkets!BK9</f>
        <v>-324</v>
      </c>
      <c r="AL9" s="419" t="n">
        <f aca="false">+B9+I9+P9+W9+AD9</f>
        <v>9290</v>
      </c>
      <c r="AM9" s="419" t="n">
        <f aca="false">+F9+M9+T9+AA9+AH9</f>
        <v>10450</v>
      </c>
      <c r="AN9" s="419" t="n">
        <f aca="false">+AM9-AL9</f>
        <v>1160</v>
      </c>
      <c r="AO9" s="419" t="n">
        <f aca="false">+H9+O9+V9+AC9+AJ9</f>
        <v>17800</v>
      </c>
      <c r="BB9" s="427"/>
      <c r="BC9" s="427"/>
      <c r="BD9" s="427"/>
      <c r="BE9" s="427"/>
      <c r="BF9" s="427"/>
      <c r="BG9" s="427"/>
      <c r="BH9" s="427"/>
      <c r="BI9" s="427"/>
      <c r="BJ9" s="427"/>
      <c r="BK9" s="427"/>
      <c r="BL9" s="427"/>
      <c r="BM9" s="427"/>
      <c r="BN9" s="427"/>
      <c r="BO9" s="427"/>
      <c r="BP9" s="427"/>
      <c r="BQ9" s="427"/>
      <c r="BR9" s="427"/>
      <c r="BS9" s="427"/>
      <c r="BT9" s="427"/>
      <c r="BU9" s="427"/>
      <c r="BV9" s="427"/>
      <c r="BW9" s="427"/>
      <c r="BX9" s="427"/>
      <c r="BY9" s="427"/>
      <c r="BZ9" s="427"/>
      <c r="CA9" s="427"/>
      <c r="CB9" s="427"/>
      <c r="CC9" s="427"/>
      <c r="CD9" s="427"/>
      <c r="CE9" s="427"/>
      <c r="CF9" s="427"/>
      <c r="CG9" s="427"/>
      <c r="CH9" s="427"/>
      <c r="CI9" s="427"/>
      <c r="CJ9" s="427"/>
      <c r="CK9" s="427"/>
      <c r="CL9" s="427"/>
      <c r="CM9" s="427"/>
      <c r="CN9" s="427"/>
      <c r="CO9" s="427"/>
      <c r="CP9" s="427"/>
      <c r="CQ9" s="427"/>
      <c r="CR9" s="427"/>
      <c r="CS9" s="427"/>
      <c r="CT9" s="427"/>
      <c r="CU9" s="427"/>
      <c r="CV9" s="427"/>
      <c r="CW9" s="427"/>
      <c r="CX9" s="427"/>
      <c r="CY9" s="427"/>
      <c r="CZ9" s="427"/>
      <c r="DA9" s="427"/>
      <c r="DB9" s="427"/>
      <c r="DC9" s="427"/>
      <c r="DD9" s="427"/>
    </row>
    <row r="10" customFormat="false" ht="12.75" hidden="false" customHeight="false" outlineLevel="0" collapsed="false">
      <c r="A10" s="381" t="n">
        <f aca="false">+BaseloadMarkets!A10</f>
        <v>36712</v>
      </c>
      <c r="B10" s="456" t="n">
        <f aca="false">+OCCMarkets!AC10</f>
        <v>159</v>
      </c>
      <c r="C10" s="456" t="n">
        <f aca="false">+OCCMarkets!AD10</f>
        <v>0</v>
      </c>
      <c r="D10" s="456" t="n">
        <f aca="false">+OCCMarkets!AE10</f>
        <v>0</v>
      </c>
      <c r="E10" s="456" t="n">
        <f aca="false">+OCCMarkets!AF10</f>
        <v>0</v>
      </c>
      <c r="F10" s="456" t="n">
        <f aca="false">+OCCMarkets!AG10</f>
        <v>0</v>
      </c>
      <c r="G10" s="456" t="n">
        <f aca="false">+OCCMarkets!AH10</f>
        <v>-159</v>
      </c>
      <c r="H10" s="456" t="n">
        <f aca="false">+OCCMarkets!AI10</f>
        <v>-500</v>
      </c>
      <c r="I10" s="423" t="n">
        <f aca="false">+OCCMarkets!AJ10</f>
        <v>9411</v>
      </c>
      <c r="J10" s="423" t="n">
        <f aca="false">+OCCMarkets!AK10</f>
        <v>3034</v>
      </c>
      <c r="K10" s="423" t="n">
        <f aca="false">+OCCMarkets!AL10</f>
        <v>12876</v>
      </c>
      <c r="L10" s="423" t="n">
        <f aca="false">+OCCMarkets!AM10</f>
        <v>8469</v>
      </c>
      <c r="M10" s="423" t="n">
        <f aca="false">+OCCMarkets!AN10</f>
        <v>24379</v>
      </c>
      <c r="N10" s="423" t="n">
        <f aca="false">+OCCMarkets!AO10</f>
        <v>14968</v>
      </c>
      <c r="O10" s="423" t="n">
        <f aca="false">+OCCMarkets!AP10</f>
        <v>33455</v>
      </c>
      <c r="P10" s="457" t="n">
        <f aca="false">+OCCMarkets!AQ10</f>
        <v>0</v>
      </c>
      <c r="Q10" s="457" t="n">
        <f aca="false">+OCCMarkets!AR10</f>
        <v>0</v>
      </c>
      <c r="R10" s="457" t="n">
        <f aca="false">+OCCMarkets!AS10</f>
        <v>0</v>
      </c>
      <c r="S10" s="457" t="n">
        <f aca="false">+OCCMarkets!AT10</f>
        <v>0</v>
      </c>
      <c r="T10" s="457" t="n">
        <f aca="false">+OCCMarkets!AU10</f>
        <v>0</v>
      </c>
      <c r="U10" s="457" t="n">
        <f aca="false">+OCCMarkets!AV10</f>
        <v>0</v>
      </c>
      <c r="V10" s="457" t="n">
        <f aca="false">+OCCMarkets!AW10</f>
        <v>0</v>
      </c>
      <c r="W10" s="458" t="n">
        <f aca="false">+OCCMarkets!AX10</f>
        <v>153</v>
      </c>
      <c r="X10" s="458" t="n">
        <f aca="false">+OCCMarkets!AY10</f>
        <v>0</v>
      </c>
      <c r="Y10" s="458" t="n">
        <f aca="false">+OCCMarkets!AZ10</f>
        <v>0</v>
      </c>
      <c r="Z10" s="458" t="n">
        <f aca="false">+OCCMarkets!BA10</f>
        <v>0</v>
      </c>
      <c r="AA10" s="458" t="n">
        <f aca="false">+OCCMarkets!BB10</f>
        <v>0</v>
      </c>
      <c r="AB10" s="458" t="n">
        <f aca="false">+OCCMarkets!BC10</f>
        <v>-153</v>
      </c>
      <c r="AC10" s="458" t="n">
        <f aca="false">+OCCMarkets!BD10</f>
        <v>-175</v>
      </c>
      <c r="AD10" s="459" t="n">
        <f aca="false">+OCCMarkets!BE10</f>
        <v>221</v>
      </c>
      <c r="AE10" s="459" t="n">
        <f aca="false">+OCCMarkets!BF10</f>
        <v>0</v>
      </c>
      <c r="AF10" s="459" t="n">
        <f aca="false">+OCCMarkets!BG10</f>
        <v>0</v>
      </c>
      <c r="AG10" s="459" t="n">
        <f aca="false">+OCCMarkets!BH10</f>
        <v>0</v>
      </c>
      <c r="AH10" s="459" t="n">
        <f aca="false">+OCCMarkets!BI10</f>
        <v>0</v>
      </c>
      <c r="AI10" s="459" t="n">
        <f aca="false">+OCCMarkets!BJ10</f>
        <v>-221</v>
      </c>
      <c r="AJ10" s="459" t="n">
        <f aca="false">+OCCMarkets!BK10</f>
        <v>-545</v>
      </c>
      <c r="AL10" s="419" t="n">
        <f aca="false">+B10+I10+P10+W10+AD10</f>
        <v>9944</v>
      </c>
      <c r="AM10" s="419" t="n">
        <f aca="false">+F10+M10+T10+AA10+AH10</f>
        <v>24379</v>
      </c>
      <c r="AN10" s="419" t="n">
        <f aca="false">+AM10-AL10</f>
        <v>14435</v>
      </c>
      <c r="AO10" s="419" t="n">
        <f aca="false">+H10+O10+V10+AC10+AJ10</f>
        <v>32235</v>
      </c>
      <c r="BB10" s="427"/>
      <c r="BC10" s="427"/>
      <c r="BD10" s="427"/>
      <c r="BE10" s="427"/>
      <c r="BF10" s="427"/>
      <c r="BG10" s="427"/>
      <c r="BH10" s="427"/>
      <c r="BI10" s="427"/>
      <c r="BJ10" s="427"/>
      <c r="BK10" s="427"/>
      <c r="BL10" s="427"/>
      <c r="BM10" s="427"/>
      <c r="BN10" s="427"/>
      <c r="BO10" s="427"/>
      <c r="BP10" s="427"/>
      <c r="BQ10" s="427"/>
      <c r="BR10" s="427"/>
      <c r="BS10" s="427"/>
      <c r="BT10" s="427"/>
      <c r="BU10" s="427"/>
      <c r="BV10" s="427"/>
      <c r="BW10" s="427"/>
      <c r="BX10" s="427"/>
      <c r="BY10" s="427"/>
      <c r="BZ10" s="427"/>
      <c r="CA10" s="427"/>
      <c r="CB10" s="427"/>
      <c r="CC10" s="427"/>
      <c r="CD10" s="427"/>
      <c r="CE10" s="427"/>
      <c r="CF10" s="427"/>
      <c r="CG10" s="427"/>
      <c r="CH10" s="427"/>
      <c r="CI10" s="427"/>
      <c r="CJ10" s="427"/>
      <c r="CK10" s="427"/>
      <c r="CL10" s="427"/>
      <c r="CM10" s="427"/>
      <c r="CN10" s="427"/>
      <c r="CO10" s="427"/>
      <c r="CP10" s="427"/>
      <c r="CQ10" s="427"/>
      <c r="CR10" s="427"/>
      <c r="CS10" s="427"/>
      <c r="CT10" s="427"/>
      <c r="CU10" s="427"/>
      <c r="CV10" s="427"/>
      <c r="CW10" s="427"/>
      <c r="CX10" s="427"/>
      <c r="CY10" s="427"/>
      <c r="CZ10" s="427"/>
      <c r="DA10" s="427"/>
      <c r="DB10" s="427"/>
      <c r="DC10" s="427"/>
      <c r="DD10" s="427"/>
    </row>
    <row r="11" customFormat="false" ht="12.75" hidden="false" customHeight="false" outlineLevel="0" collapsed="false">
      <c r="A11" s="381" t="n">
        <f aca="false">+BaseloadMarkets!A11</f>
        <v>36713</v>
      </c>
      <c r="B11" s="456" t="n">
        <f aca="false">+OCCMarkets!AC11</f>
        <v>157</v>
      </c>
      <c r="C11" s="456" t="n">
        <f aca="false">+OCCMarkets!AD11</f>
        <v>595</v>
      </c>
      <c r="D11" s="456" t="n">
        <f aca="false">+OCCMarkets!AE11</f>
        <v>0</v>
      </c>
      <c r="E11" s="456" t="n">
        <f aca="false">+OCCMarkets!AF11</f>
        <v>0</v>
      </c>
      <c r="F11" s="456" t="n">
        <f aca="false">+OCCMarkets!AG11</f>
        <v>595</v>
      </c>
      <c r="G11" s="456" t="n">
        <f aca="false">+OCCMarkets!AH11</f>
        <v>438</v>
      </c>
      <c r="H11" s="456" t="n">
        <f aca="false">+OCCMarkets!AI11</f>
        <v>-62</v>
      </c>
      <c r="I11" s="423" t="n">
        <f aca="false">+OCCMarkets!AJ11</f>
        <v>9620</v>
      </c>
      <c r="J11" s="423" t="n">
        <f aca="false">+OCCMarkets!AK11</f>
        <v>17812</v>
      </c>
      <c r="K11" s="423" t="n">
        <f aca="false">+OCCMarkets!AL11</f>
        <v>3963</v>
      </c>
      <c r="L11" s="423" t="n">
        <f aca="false">+OCCMarkets!AM11</f>
        <v>0</v>
      </c>
      <c r="M11" s="423" t="n">
        <f aca="false">+OCCMarkets!AN11</f>
        <v>21775</v>
      </c>
      <c r="N11" s="423" t="n">
        <f aca="false">+OCCMarkets!AO11</f>
        <v>12155</v>
      </c>
      <c r="O11" s="423" t="n">
        <f aca="false">+OCCMarkets!AP11</f>
        <v>45610</v>
      </c>
      <c r="P11" s="457" t="n">
        <f aca="false">+OCCMarkets!AQ11</f>
        <v>0</v>
      </c>
      <c r="Q11" s="457" t="n">
        <f aca="false">+OCCMarkets!AR11</f>
        <v>0</v>
      </c>
      <c r="R11" s="457" t="n">
        <f aca="false">+OCCMarkets!AS11</f>
        <v>0</v>
      </c>
      <c r="S11" s="457" t="n">
        <f aca="false">+OCCMarkets!AT11</f>
        <v>0</v>
      </c>
      <c r="T11" s="457" t="n">
        <f aca="false">+OCCMarkets!AU11</f>
        <v>0</v>
      </c>
      <c r="U11" s="457" t="n">
        <f aca="false">+OCCMarkets!AV11</f>
        <v>0</v>
      </c>
      <c r="V11" s="457" t="n">
        <f aca="false">+OCCMarkets!AW11</f>
        <v>0</v>
      </c>
      <c r="W11" s="458" t="n">
        <f aca="false">+OCCMarkets!AX11</f>
        <v>162</v>
      </c>
      <c r="X11" s="458" t="n">
        <f aca="false">+OCCMarkets!AY11</f>
        <v>595</v>
      </c>
      <c r="Y11" s="458" t="n">
        <f aca="false">+OCCMarkets!AZ11</f>
        <v>0</v>
      </c>
      <c r="Z11" s="458" t="n">
        <f aca="false">+OCCMarkets!BA11</f>
        <v>0</v>
      </c>
      <c r="AA11" s="458" t="n">
        <f aca="false">+OCCMarkets!BB11</f>
        <v>595</v>
      </c>
      <c r="AB11" s="458" t="n">
        <f aca="false">+OCCMarkets!BC11</f>
        <v>433</v>
      </c>
      <c r="AC11" s="458" t="n">
        <f aca="false">+OCCMarkets!BD11</f>
        <v>258</v>
      </c>
      <c r="AD11" s="459" t="n">
        <f aca="false">+OCCMarkets!BE11</f>
        <v>315</v>
      </c>
      <c r="AE11" s="459" t="n">
        <f aca="false">+OCCMarkets!BF11</f>
        <v>1786</v>
      </c>
      <c r="AF11" s="459" t="n">
        <f aca="false">+OCCMarkets!BG11</f>
        <v>0</v>
      </c>
      <c r="AG11" s="459" t="n">
        <f aca="false">+OCCMarkets!BH11</f>
        <v>0</v>
      </c>
      <c r="AH11" s="459" t="n">
        <f aca="false">+OCCMarkets!BI11</f>
        <v>1786</v>
      </c>
      <c r="AI11" s="459" t="n">
        <f aca="false">+OCCMarkets!BJ11</f>
        <v>1471</v>
      </c>
      <c r="AJ11" s="459" t="n">
        <f aca="false">+OCCMarkets!BK11</f>
        <v>926</v>
      </c>
      <c r="AL11" s="419" t="n">
        <f aca="false">+B11+I11+P11+W11+AD11</f>
        <v>10254</v>
      </c>
      <c r="AM11" s="419" t="n">
        <f aca="false">+F11+M11+T11+AA11+AH11</f>
        <v>24751</v>
      </c>
      <c r="AN11" s="419" t="n">
        <f aca="false">+AM11-AL11</f>
        <v>14497</v>
      </c>
      <c r="AO11" s="419" t="n">
        <f aca="false">+H11+O11+V11+AC11+AJ11</f>
        <v>46732</v>
      </c>
      <c r="BB11" s="427"/>
      <c r="BC11" s="427"/>
      <c r="BD11" s="427"/>
      <c r="BE11" s="427"/>
      <c r="BF11" s="427"/>
      <c r="BG11" s="427"/>
      <c r="BH11" s="427"/>
      <c r="BI11" s="427"/>
      <c r="BJ11" s="427"/>
      <c r="BK11" s="427"/>
      <c r="BL11" s="427"/>
      <c r="BM11" s="427"/>
      <c r="BN11" s="427"/>
      <c r="BO11" s="427"/>
      <c r="BP11" s="427"/>
      <c r="BQ11" s="427"/>
      <c r="BR11" s="427"/>
      <c r="BS11" s="427"/>
      <c r="BT11" s="427"/>
      <c r="BU11" s="427"/>
      <c r="BV11" s="427"/>
      <c r="BW11" s="427"/>
      <c r="BX11" s="427"/>
      <c r="BY11" s="427"/>
      <c r="BZ11" s="427"/>
      <c r="CA11" s="427"/>
      <c r="CB11" s="427"/>
      <c r="CC11" s="427"/>
      <c r="CD11" s="427"/>
      <c r="CE11" s="427"/>
      <c r="CF11" s="427"/>
      <c r="CG11" s="427"/>
      <c r="CH11" s="427"/>
      <c r="CI11" s="427"/>
      <c r="CJ11" s="427"/>
      <c r="CK11" s="427"/>
      <c r="CL11" s="427"/>
      <c r="CM11" s="427"/>
      <c r="CN11" s="427"/>
      <c r="CO11" s="427"/>
      <c r="CP11" s="427"/>
      <c r="CQ11" s="427"/>
      <c r="CR11" s="427"/>
      <c r="CS11" s="427"/>
      <c r="CT11" s="427"/>
      <c r="CU11" s="427"/>
      <c r="CV11" s="427"/>
      <c r="CW11" s="427"/>
      <c r="CX11" s="427"/>
      <c r="CY11" s="427"/>
      <c r="CZ11" s="427"/>
      <c r="DA11" s="427"/>
      <c r="DB11" s="427"/>
      <c r="DC11" s="427"/>
      <c r="DD11" s="427"/>
    </row>
    <row r="12" customFormat="false" ht="12.75" hidden="false" customHeight="false" outlineLevel="0" collapsed="false">
      <c r="A12" s="381" t="n">
        <f aca="false">+BaseloadMarkets!A12</f>
        <v>36714</v>
      </c>
      <c r="B12" s="456" t="n">
        <f aca="false">+OCCMarkets!AC12</f>
        <v>167</v>
      </c>
      <c r="C12" s="456" t="n">
        <f aca="false">+OCCMarkets!AD12</f>
        <v>0</v>
      </c>
      <c r="D12" s="456" t="n">
        <f aca="false">+OCCMarkets!AE12</f>
        <v>0</v>
      </c>
      <c r="E12" s="456" t="n">
        <f aca="false">+OCCMarkets!AF12</f>
        <v>0</v>
      </c>
      <c r="F12" s="456" t="n">
        <f aca="false">+OCCMarkets!AG12</f>
        <v>0</v>
      </c>
      <c r="G12" s="456" t="n">
        <f aca="false">+OCCMarkets!AH12</f>
        <v>-167</v>
      </c>
      <c r="H12" s="456" t="n">
        <f aca="false">+OCCMarkets!AI12</f>
        <v>-229</v>
      </c>
      <c r="I12" s="423" t="n">
        <f aca="false">+OCCMarkets!AJ12</f>
        <v>9575</v>
      </c>
      <c r="J12" s="423" t="n">
        <f aca="false">+OCCMarkets!AK12</f>
        <v>2153</v>
      </c>
      <c r="K12" s="423" t="n">
        <f aca="false">+OCCMarkets!AL12</f>
        <v>9981</v>
      </c>
      <c r="L12" s="423" t="n">
        <f aca="false">+OCCMarkets!AM12</f>
        <v>0</v>
      </c>
      <c r="M12" s="423" t="n">
        <f aca="false">+OCCMarkets!AN12</f>
        <v>12134</v>
      </c>
      <c r="N12" s="423" t="n">
        <f aca="false">+OCCMarkets!AO12</f>
        <v>2559</v>
      </c>
      <c r="O12" s="423" t="n">
        <f aca="false">+OCCMarkets!AP12</f>
        <v>48169</v>
      </c>
      <c r="P12" s="457" t="n">
        <f aca="false">+OCCMarkets!AQ12</f>
        <v>0</v>
      </c>
      <c r="Q12" s="457" t="n">
        <f aca="false">+OCCMarkets!AR12</f>
        <v>0</v>
      </c>
      <c r="R12" s="457" t="n">
        <f aca="false">+OCCMarkets!AS12</f>
        <v>0</v>
      </c>
      <c r="S12" s="457" t="n">
        <f aca="false">+OCCMarkets!AT12</f>
        <v>0</v>
      </c>
      <c r="T12" s="457" t="n">
        <f aca="false">+OCCMarkets!AU12</f>
        <v>0</v>
      </c>
      <c r="U12" s="457" t="n">
        <f aca="false">+OCCMarkets!AV12</f>
        <v>0</v>
      </c>
      <c r="V12" s="457" t="n">
        <f aca="false">+OCCMarkets!AW12</f>
        <v>0</v>
      </c>
      <c r="W12" s="458" t="n">
        <f aca="false">+OCCMarkets!AX12</f>
        <v>204</v>
      </c>
      <c r="X12" s="458" t="n">
        <f aca="false">+OCCMarkets!AY12</f>
        <v>0</v>
      </c>
      <c r="Y12" s="458" t="n">
        <f aca="false">+OCCMarkets!AZ12</f>
        <v>0</v>
      </c>
      <c r="Z12" s="458" t="n">
        <f aca="false">+OCCMarkets!BA12</f>
        <v>0</v>
      </c>
      <c r="AA12" s="458" t="n">
        <f aca="false">+OCCMarkets!BB12</f>
        <v>0</v>
      </c>
      <c r="AB12" s="458" t="n">
        <f aca="false">+OCCMarkets!BC12</f>
        <v>-204</v>
      </c>
      <c r="AC12" s="458" t="n">
        <f aca="false">+OCCMarkets!BD12</f>
        <v>54</v>
      </c>
      <c r="AD12" s="459" t="n">
        <f aca="false">+OCCMarkets!BE12</f>
        <v>303</v>
      </c>
      <c r="AE12" s="459" t="n">
        <f aca="false">+OCCMarkets!BF12</f>
        <v>0</v>
      </c>
      <c r="AF12" s="459" t="n">
        <f aca="false">+OCCMarkets!BG12</f>
        <v>0</v>
      </c>
      <c r="AG12" s="459" t="n">
        <f aca="false">+OCCMarkets!BH12</f>
        <v>0</v>
      </c>
      <c r="AH12" s="459" t="n">
        <f aca="false">+OCCMarkets!BI12</f>
        <v>0</v>
      </c>
      <c r="AI12" s="459" t="n">
        <f aca="false">+OCCMarkets!BJ12</f>
        <v>-303</v>
      </c>
      <c r="AJ12" s="459" t="n">
        <f aca="false">+OCCMarkets!BK12</f>
        <v>623</v>
      </c>
      <c r="AL12" s="419" t="n">
        <f aca="false">+B12+I12+P12+W12+AD12</f>
        <v>10249</v>
      </c>
      <c r="AM12" s="419" t="n">
        <f aca="false">+F12+M12+T12+AA12+AH12</f>
        <v>12134</v>
      </c>
      <c r="AN12" s="419" t="n">
        <f aca="false">+AM12-AL12</f>
        <v>1885</v>
      </c>
      <c r="AO12" s="419" t="n">
        <f aca="false">+H12+O12+V12+AC12+AJ12</f>
        <v>48617</v>
      </c>
      <c r="BB12" s="427"/>
      <c r="BC12" s="427"/>
      <c r="BD12" s="427"/>
      <c r="BE12" s="427"/>
      <c r="BF12" s="427"/>
      <c r="BG12" s="427"/>
      <c r="BH12" s="427"/>
      <c r="BI12" s="427"/>
      <c r="BJ12" s="427"/>
      <c r="BK12" s="427"/>
      <c r="BL12" s="427"/>
      <c r="BM12" s="427"/>
      <c r="BN12" s="427"/>
      <c r="BO12" s="427"/>
      <c r="BP12" s="427"/>
      <c r="BQ12" s="427"/>
      <c r="BR12" s="427"/>
      <c r="BS12" s="427"/>
      <c r="BT12" s="427"/>
      <c r="BU12" s="427"/>
      <c r="BV12" s="427"/>
      <c r="BW12" s="427"/>
      <c r="BX12" s="427"/>
      <c r="BY12" s="427"/>
      <c r="BZ12" s="427"/>
      <c r="CA12" s="427"/>
      <c r="CB12" s="427"/>
      <c r="CC12" s="427"/>
      <c r="CD12" s="427"/>
      <c r="CE12" s="427"/>
      <c r="CF12" s="427"/>
      <c r="CG12" s="427"/>
      <c r="CH12" s="427"/>
      <c r="CI12" s="427"/>
      <c r="CJ12" s="427"/>
      <c r="CK12" s="427"/>
      <c r="CL12" s="427"/>
      <c r="CM12" s="427"/>
      <c r="CN12" s="427"/>
      <c r="CO12" s="427"/>
      <c r="CP12" s="427"/>
      <c r="CQ12" s="427"/>
      <c r="CR12" s="427"/>
      <c r="CS12" s="427"/>
      <c r="CT12" s="427"/>
      <c r="CU12" s="427"/>
      <c r="CV12" s="427"/>
      <c r="CW12" s="427"/>
      <c r="CX12" s="427"/>
      <c r="CY12" s="427"/>
      <c r="CZ12" s="427"/>
      <c r="DA12" s="427"/>
      <c r="DB12" s="427"/>
      <c r="DC12" s="427"/>
      <c r="DD12" s="427"/>
    </row>
    <row r="13" customFormat="false" ht="12.75" hidden="false" customHeight="false" outlineLevel="0" collapsed="false">
      <c r="A13" s="381" t="n">
        <f aca="false">+BaseloadMarkets!A13</f>
        <v>36715</v>
      </c>
      <c r="B13" s="456" t="n">
        <f aca="false">+OCCMarkets!AC13</f>
        <v>195</v>
      </c>
      <c r="C13" s="456" t="n">
        <f aca="false">+OCCMarkets!AD13</f>
        <v>0</v>
      </c>
      <c r="D13" s="456" t="n">
        <f aca="false">+OCCMarkets!AE13</f>
        <v>0</v>
      </c>
      <c r="E13" s="456" t="n">
        <f aca="false">+OCCMarkets!AF13</f>
        <v>0</v>
      </c>
      <c r="F13" s="456" t="n">
        <f aca="false">+OCCMarkets!AG13</f>
        <v>0</v>
      </c>
      <c r="G13" s="456" t="n">
        <f aca="false">+OCCMarkets!AH13</f>
        <v>-195</v>
      </c>
      <c r="H13" s="456" t="n">
        <f aca="false">+OCCMarkets!AI13</f>
        <v>-424</v>
      </c>
      <c r="I13" s="423" t="n">
        <f aca="false">+OCCMarkets!AJ13</f>
        <v>9254</v>
      </c>
      <c r="J13" s="423" t="n">
        <f aca="false">+OCCMarkets!AK13</f>
        <v>2700</v>
      </c>
      <c r="K13" s="423" t="n">
        <f aca="false">+OCCMarkets!AL13</f>
        <v>980</v>
      </c>
      <c r="L13" s="423" t="n">
        <f aca="false">+OCCMarkets!AM13</f>
        <v>0</v>
      </c>
      <c r="M13" s="423" t="n">
        <f aca="false">+OCCMarkets!AN13</f>
        <v>3680</v>
      </c>
      <c r="N13" s="423" t="n">
        <f aca="false">+OCCMarkets!AO13</f>
        <v>-5574</v>
      </c>
      <c r="O13" s="423" t="n">
        <f aca="false">+OCCMarkets!AP13</f>
        <v>42595</v>
      </c>
      <c r="P13" s="457" t="n">
        <f aca="false">+OCCMarkets!AQ13</f>
        <v>0</v>
      </c>
      <c r="Q13" s="457" t="n">
        <f aca="false">+OCCMarkets!AR13</f>
        <v>0</v>
      </c>
      <c r="R13" s="457" t="n">
        <f aca="false">+OCCMarkets!AS13</f>
        <v>0</v>
      </c>
      <c r="S13" s="457" t="n">
        <f aca="false">+OCCMarkets!AT13</f>
        <v>0</v>
      </c>
      <c r="T13" s="457" t="n">
        <f aca="false">+OCCMarkets!AU13</f>
        <v>0</v>
      </c>
      <c r="U13" s="457" t="n">
        <f aca="false">+OCCMarkets!AV13</f>
        <v>0</v>
      </c>
      <c r="V13" s="457" t="n">
        <f aca="false">+OCCMarkets!AW13</f>
        <v>0</v>
      </c>
      <c r="W13" s="458" t="n">
        <f aca="false">+OCCMarkets!AX13</f>
        <v>100</v>
      </c>
      <c r="X13" s="458" t="n">
        <f aca="false">+OCCMarkets!AY13</f>
        <v>0</v>
      </c>
      <c r="Y13" s="458" t="n">
        <f aca="false">+OCCMarkets!AZ13</f>
        <v>0</v>
      </c>
      <c r="Z13" s="458" t="n">
        <f aca="false">+OCCMarkets!BA13</f>
        <v>0</v>
      </c>
      <c r="AA13" s="458" t="n">
        <f aca="false">+OCCMarkets!BB13</f>
        <v>0</v>
      </c>
      <c r="AB13" s="458" t="n">
        <f aca="false">+OCCMarkets!BC13</f>
        <v>-100</v>
      </c>
      <c r="AC13" s="458" t="n">
        <f aca="false">+OCCMarkets!BD13</f>
        <v>-46</v>
      </c>
      <c r="AD13" s="459" t="n">
        <f aca="false">+OCCMarkets!BE13</f>
        <v>150</v>
      </c>
      <c r="AE13" s="459" t="n">
        <f aca="false">+OCCMarkets!BF13</f>
        <v>0</v>
      </c>
      <c r="AF13" s="459" t="n">
        <f aca="false">+OCCMarkets!BG13</f>
        <v>0</v>
      </c>
      <c r="AG13" s="459" t="n">
        <f aca="false">+OCCMarkets!BH13</f>
        <v>0</v>
      </c>
      <c r="AH13" s="459" t="n">
        <f aca="false">+OCCMarkets!BI13</f>
        <v>0</v>
      </c>
      <c r="AI13" s="459" t="n">
        <f aca="false">+OCCMarkets!BJ13</f>
        <v>-150</v>
      </c>
      <c r="AJ13" s="459" t="n">
        <f aca="false">+OCCMarkets!BK13</f>
        <v>473</v>
      </c>
      <c r="AL13" s="419" t="n">
        <f aca="false">+B13+I13+P13+W13+AD13</f>
        <v>9699</v>
      </c>
      <c r="AM13" s="419" t="n">
        <f aca="false">+F13+M13+T13+AA13+AH13</f>
        <v>3680</v>
      </c>
      <c r="AN13" s="419" t="n">
        <f aca="false">+AM13-AL13</f>
        <v>-6019</v>
      </c>
      <c r="AO13" s="419" t="n">
        <f aca="false">+H13+O13+V13+AC13+AJ13</f>
        <v>42598</v>
      </c>
      <c r="BB13" s="427"/>
      <c r="BC13" s="427"/>
      <c r="BD13" s="427"/>
      <c r="BE13" s="427"/>
      <c r="BF13" s="427"/>
      <c r="BG13" s="427"/>
      <c r="BH13" s="427"/>
      <c r="BI13" s="427"/>
      <c r="BJ13" s="427"/>
      <c r="BK13" s="427"/>
      <c r="BL13" s="427"/>
      <c r="BM13" s="427"/>
      <c r="BN13" s="427"/>
      <c r="BO13" s="427"/>
      <c r="BP13" s="427"/>
      <c r="BQ13" s="427"/>
      <c r="BR13" s="427"/>
      <c r="BS13" s="427"/>
      <c r="BT13" s="427"/>
      <c r="BU13" s="427"/>
      <c r="BV13" s="427"/>
      <c r="BW13" s="427"/>
      <c r="BX13" s="427"/>
      <c r="BY13" s="427"/>
      <c r="BZ13" s="427"/>
      <c r="CA13" s="427"/>
      <c r="CB13" s="427"/>
      <c r="CC13" s="427"/>
      <c r="CD13" s="427"/>
      <c r="CE13" s="427"/>
      <c r="CF13" s="427"/>
      <c r="CG13" s="427"/>
      <c r="CH13" s="427"/>
      <c r="CI13" s="427"/>
      <c r="CJ13" s="427"/>
      <c r="CK13" s="427"/>
      <c r="CL13" s="427"/>
      <c r="CM13" s="427"/>
      <c r="CN13" s="427"/>
      <c r="CO13" s="427"/>
      <c r="CP13" s="427"/>
      <c r="CQ13" s="427"/>
      <c r="CR13" s="427"/>
      <c r="CS13" s="427"/>
      <c r="CT13" s="427"/>
      <c r="CU13" s="427"/>
      <c r="CV13" s="427"/>
      <c r="CW13" s="427"/>
      <c r="CX13" s="427"/>
      <c r="CY13" s="427"/>
      <c r="CZ13" s="427"/>
      <c r="DA13" s="427"/>
      <c r="DB13" s="427"/>
      <c r="DC13" s="427"/>
      <c r="DD13" s="427"/>
    </row>
    <row r="14" customFormat="false" ht="12.75" hidden="false" customHeight="false" outlineLevel="0" collapsed="false">
      <c r="A14" s="381" t="n">
        <f aca="false">+BaseloadMarkets!A14</f>
        <v>36716</v>
      </c>
      <c r="B14" s="456" t="n">
        <f aca="false">+OCCMarkets!AC14</f>
        <v>32</v>
      </c>
      <c r="C14" s="456" t="n">
        <f aca="false">+OCCMarkets!AD14</f>
        <v>0</v>
      </c>
      <c r="D14" s="456" t="n">
        <f aca="false">+OCCMarkets!AE14</f>
        <v>0</v>
      </c>
      <c r="E14" s="456" t="n">
        <f aca="false">+OCCMarkets!AF14</f>
        <v>0</v>
      </c>
      <c r="F14" s="456" t="n">
        <f aca="false">+OCCMarkets!AG14</f>
        <v>0</v>
      </c>
      <c r="G14" s="456" t="n">
        <f aca="false">+OCCMarkets!AH14</f>
        <v>-32</v>
      </c>
      <c r="H14" s="456" t="n">
        <f aca="false">+OCCMarkets!AI14</f>
        <v>-456</v>
      </c>
      <c r="I14" s="423" t="n">
        <f aca="false">+OCCMarkets!AJ14</f>
        <v>9190</v>
      </c>
      <c r="J14" s="423" t="n">
        <f aca="false">+OCCMarkets!AK14</f>
        <v>0</v>
      </c>
      <c r="K14" s="423" t="n">
        <f aca="false">+OCCMarkets!AL14</f>
        <v>981</v>
      </c>
      <c r="L14" s="423" t="n">
        <f aca="false">+OCCMarkets!AM14</f>
        <v>0</v>
      </c>
      <c r="M14" s="423" t="n">
        <f aca="false">+OCCMarkets!AN14</f>
        <v>981</v>
      </c>
      <c r="N14" s="423" t="n">
        <f aca="false">+OCCMarkets!AO14</f>
        <v>-8209</v>
      </c>
      <c r="O14" s="423" t="n">
        <f aca="false">+OCCMarkets!AP14</f>
        <v>34386</v>
      </c>
      <c r="P14" s="457" t="n">
        <f aca="false">+OCCMarkets!AQ14</f>
        <v>0</v>
      </c>
      <c r="Q14" s="457" t="n">
        <f aca="false">+OCCMarkets!AR14</f>
        <v>0</v>
      </c>
      <c r="R14" s="457" t="n">
        <f aca="false">+OCCMarkets!AS14</f>
        <v>0</v>
      </c>
      <c r="S14" s="457" t="n">
        <f aca="false">+OCCMarkets!AT14</f>
        <v>0</v>
      </c>
      <c r="T14" s="457" t="n">
        <f aca="false">+OCCMarkets!AU14</f>
        <v>0</v>
      </c>
      <c r="U14" s="457" t="n">
        <f aca="false">+OCCMarkets!AV14</f>
        <v>0</v>
      </c>
      <c r="V14" s="457" t="n">
        <f aca="false">+OCCMarkets!AW14</f>
        <v>0</v>
      </c>
      <c r="W14" s="458" t="n">
        <f aca="false">+OCCMarkets!AX14</f>
        <v>37</v>
      </c>
      <c r="X14" s="458" t="n">
        <f aca="false">+OCCMarkets!AY14</f>
        <v>0</v>
      </c>
      <c r="Y14" s="458" t="n">
        <f aca="false">+OCCMarkets!AZ14</f>
        <v>0</v>
      </c>
      <c r="Z14" s="458" t="n">
        <f aca="false">+OCCMarkets!BA14</f>
        <v>0</v>
      </c>
      <c r="AA14" s="458" t="n">
        <f aca="false">+OCCMarkets!BB14</f>
        <v>0</v>
      </c>
      <c r="AB14" s="458" t="n">
        <f aca="false">+OCCMarkets!BC14</f>
        <v>-37</v>
      </c>
      <c r="AC14" s="458" t="n">
        <f aca="false">+OCCMarkets!BD14</f>
        <v>-83</v>
      </c>
      <c r="AD14" s="459" t="n">
        <f aca="false">+OCCMarkets!BE14</f>
        <v>26</v>
      </c>
      <c r="AE14" s="459" t="n">
        <f aca="false">+OCCMarkets!BF14</f>
        <v>0</v>
      </c>
      <c r="AF14" s="459" t="n">
        <f aca="false">+OCCMarkets!BG14</f>
        <v>0</v>
      </c>
      <c r="AG14" s="459" t="n">
        <f aca="false">+OCCMarkets!BH14</f>
        <v>0</v>
      </c>
      <c r="AH14" s="459" t="n">
        <f aca="false">+OCCMarkets!BI14</f>
        <v>0</v>
      </c>
      <c r="AI14" s="459" t="n">
        <f aca="false">+OCCMarkets!BJ14</f>
        <v>-26</v>
      </c>
      <c r="AJ14" s="459" t="n">
        <f aca="false">+OCCMarkets!BK14</f>
        <v>447</v>
      </c>
      <c r="AL14" s="419" t="n">
        <f aca="false">+B14+I14+P14+W14+AD14</f>
        <v>9285</v>
      </c>
      <c r="AM14" s="419" t="n">
        <f aca="false">+F14+M14+T14+AA14+AH14</f>
        <v>981</v>
      </c>
      <c r="AN14" s="419" t="n">
        <f aca="false">+AM14-AL14</f>
        <v>-8304</v>
      </c>
      <c r="AO14" s="419" t="n">
        <f aca="false">+H14+O14+V14+AC14+AJ14</f>
        <v>34294</v>
      </c>
      <c r="BB14" s="427"/>
      <c r="BC14" s="427"/>
      <c r="BD14" s="427"/>
      <c r="BE14" s="427"/>
      <c r="BF14" s="427"/>
      <c r="BG14" s="427"/>
      <c r="BH14" s="427"/>
      <c r="BI14" s="427"/>
      <c r="BJ14" s="427"/>
      <c r="BK14" s="427"/>
      <c r="BL14" s="427"/>
      <c r="BM14" s="427"/>
      <c r="BN14" s="427"/>
      <c r="BO14" s="427"/>
      <c r="BP14" s="427"/>
      <c r="BQ14" s="427"/>
      <c r="BR14" s="427"/>
      <c r="BS14" s="427"/>
      <c r="BT14" s="427"/>
      <c r="BU14" s="427"/>
      <c r="BV14" s="427"/>
      <c r="BW14" s="427"/>
      <c r="BX14" s="427"/>
      <c r="BY14" s="427"/>
      <c r="BZ14" s="427"/>
      <c r="CA14" s="427"/>
      <c r="CB14" s="427"/>
      <c r="CC14" s="427"/>
      <c r="CD14" s="427"/>
      <c r="CE14" s="427"/>
      <c r="CF14" s="427"/>
      <c r="CG14" s="427"/>
      <c r="CH14" s="427"/>
      <c r="CI14" s="427"/>
      <c r="CJ14" s="427"/>
      <c r="CK14" s="427"/>
      <c r="CL14" s="427"/>
      <c r="CM14" s="427"/>
      <c r="CN14" s="427"/>
      <c r="CO14" s="427"/>
      <c r="CP14" s="427"/>
      <c r="CQ14" s="427"/>
      <c r="CR14" s="427"/>
      <c r="CS14" s="427"/>
      <c r="CT14" s="427"/>
      <c r="CU14" s="427"/>
      <c r="CV14" s="427"/>
      <c r="CW14" s="427"/>
      <c r="CX14" s="427"/>
      <c r="CY14" s="427"/>
      <c r="CZ14" s="427"/>
      <c r="DA14" s="427"/>
      <c r="DB14" s="427"/>
      <c r="DC14" s="427"/>
      <c r="DD14" s="427"/>
    </row>
    <row r="15" customFormat="false" ht="12.75" hidden="false" customHeight="false" outlineLevel="0" collapsed="false">
      <c r="A15" s="381" t="n">
        <f aca="false">+BaseloadMarkets!A15</f>
        <v>36717</v>
      </c>
      <c r="B15" s="456" t="n">
        <f aca="false">+OCCMarkets!AC15</f>
        <v>167</v>
      </c>
      <c r="C15" s="456" t="n">
        <f aca="false">+OCCMarkets!AD15</f>
        <v>0</v>
      </c>
      <c r="D15" s="456" t="n">
        <f aca="false">+OCCMarkets!AE15</f>
        <v>0</v>
      </c>
      <c r="E15" s="456" t="n">
        <f aca="false">+OCCMarkets!AF15</f>
        <v>0</v>
      </c>
      <c r="F15" s="456" t="n">
        <f aca="false">+OCCMarkets!AG15</f>
        <v>0</v>
      </c>
      <c r="G15" s="456" t="n">
        <f aca="false">+OCCMarkets!AH15</f>
        <v>-167</v>
      </c>
      <c r="H15" s="456" t="n">
        <f aca="false">+OCCMarkets!AI15</f>
        <v>-623</v>
      </c>
      <c r="I15" s="423" t="n">
        <f aca="false">+OCCMarkets!AJ15</f>
        <v>9413</v>
      </c>
      <c r="J15" s="423" t="n">
        <f aca="false">+OCCMarkets!AK15</f>
        <v>0</v>
      </c>
      <c r="K15" s="423" t="n">
        <f aca="false">+OCCMarkets!AL15</f>
        <v>981</v>
      </c>
      <c r="L15" s="423" t="n">
        <f aca="false">+OCCMarkets!AM15</f>
        <v>0</v>
      </c>
      <c r="M15" s="423" t="n">
        <f aca="false">+OCCMarkets!AN15</f>
        <v>981</v>
      </c>
      <c r="N15" s="423" t="n">
        <f aca="false">+OCCMarkets!AO15</f>
        <v>-8432</v>
      </c>
      <c r="O15" s="423" t="n">
        <f aca="false">+OCCMarkets!AP15</f>
        <v>25954</v>
      </c>
      <c r="P15" s="457" t="n">
        <f aca="false">+OCCMarkets!AQ15</f>
        <v>0</v>
      </c>
      <c r="Q15" s="457" t="n">
        <f aca="false">+OCCMarkets!AR15</f>
        <v>0</v>
      </c>
      <c r="R15" s="457" t="n">
        <f aca="false">+OCCMarkets!AS15</f>
        <v>0</v>
      </c>
      <c r="S15" s="457" t="n">
        <f aca="false">+OCCMarkets!AT15</f>
        <v>0</v>
      </c>
      <c r="T15" s="457" t="n">
        <f aca="false">+OCCMarkets!AU15</f>
        <v>0</v>
      </c>
      <c r="U15" s="457" t="n">
        <f aca="false">+OCCMarkets!AV15</f>
        <v>0</v>
      </c>
      <c r="V15" s="457" t="n">
        <f aca="false">+OCCMarkets!AW15</f>
        <v>0</v>
      </c>
      <c r="W15" s="458" t="n">
        <f aca="false">+OCCMarkets!AX15</f>
        <v>207</v>
      </c>
      <c r="X15" s="458" t="n">
        <f aca="false">+OCCMarkets!AY15</f>
        <v>0</v>
      </c>
      <c r="Y15" s="458" t="n">
        <f aca="false">+OCCMarkets!AZ15</f>
        <v>0</v>
      </c>
      <c r="Z15" s="458" t="n">
        <f aca="false">+OCCMarkets!BA15</f>
        <v>0</v>
      </c>
      <c r="AA15" s="458" t="n">
        <f aca="false">+OCCMarkets!BB15</f>
        <v>0</v>
      </c>
      <c r="AB15" s="458" t="n">
        <f aca="false">+OCCMarkets!BC15</f>
        <v>-207</v>
      </c>
      <c r="AC15" s="458" t="n">
        <f aca="false">+OCCMarkets!BD15</f>
        <v>-290</v>
      </c>
      <c r="AD15" s="459" t="n">
        <f aca="false">+OCCMarkets!BE15</f>
        <v>227</v>
      </c>
      <c r="AE15" s="459" t="n">
        <f aca="false">+OCCMarkets!BF15</f>
        <v>0</v>
      </c>
      <c r="AF15" s="459" t="n">
        <f aca="false">+OCCMarkets!BG15</f>
        <v>0</v>
      </c>
      <c r="AG15" s="459" t="n">
        <f aca="false">+OCCMarkets!BH15</f>
        <v>0</v>
      </c>
      <c r="AH15" s="459" t="n">
        <f aca="false">+OCCMarkets!BI15</f>
        <v>0</v>
      </c>
      <c r="AI15" s="459" t="n">
        <f aca="false">+OCCMarkets!BJ15</f>
        <v>-227</v>
      </c>
      <c r="AJ15" s="459" t="n">
        <f aca="false">+OCCMarkets!BK15</f>
        <v>220</v>
      </c>
      <c r="AL15" s="419" t="n">
        <f aca="false">+B15+I15+P15+W15+AD15</f>
        <v>10014</v>
      </c>
      <c r="AM15" s="419" t="n">
        <f aca="false">+F15+M15+T15+AA15+AH15</f>
        <v>981</v>
      </c>
      <c r="AN15" s="419" t="n">
        <f aca="false">+AM15-AL15</f>
        <v>-9033</v>
      </c>
      <c r="AO15" s="419" t="n">
        <f aca="false">+H15+O15+V15+AC15+AJ15</f>
        <v>25261</v>
      </c>
      <c r="BB15" s="427"/>
      <c r="BC15" s="427"/>
      <c r="BD15" s="427"/>
      <c r="BE15" s="427"/>
      <c r="BF15" s="427"/>
      <c r="BG15" s="427"/>
      <c r="BH15" s="427"/>
      <c r="BI15" s="427"/>
      <c r="BJ15" s="427"/>
      <c r="BK15" s="427"/>
      <c r="BL15" s="427"/>
      <c r="BM15" s="427"/>
      <c r="BN15" s="427"/>
      <c r="BO15" s="427"/>
      <c r="BP15" s="427"/>
      <c r="BQ15" s="427"/>
      <c r="BR15" s="427"/>
      <c r="BS15" s="427"/>
      <c r="BT15" s="427"/>
      <c r="BU15" s="427"/>
      <c r="BV15" s="427"/>
      <c r="BW15" s="427"/>
      <c r="BX15" s="427"/>
      <c r="BY15" s="427"/>
      <c r="BZ15" s="427"/>
      <c r="CA15" s="427"/>
      <c r="CB15" s="427"/>
      <c r="CC15" s="427"/>
      <c r="CD15" s="427"/>
      <c r="CE15" s="427"/>
      <c r="CF15" s="427"/>
      <c r="CG15" s="427"/>
      <c r="CH15" s="427"/>
      <c r="CI15" s="427"/>
      <c r="CJ15" s="427"/>
      <c r="CK15" s="427"/>
      <c r="CL15" s="427"/>
      <c r="CM15" s="427"/>
      <c r="CN15" s="427"/>
      <c r="CO15" s="427"/>
      <c r="CP15" s="427"/>
      <c r="CQ15" s="427"/>
      <c r="CR15" s="427"/>
      <c r="CS15" s="427"/>
      <c r="CT15" s="427"/>
      <c r="CU15" s="427"/>
      <c r="CV15" s="427"/>
      <c r="CW15" s="427"/>
      <c r="CX15" s="427"/>
      <c r="CY15" s="427"/>
      <c r="CZ15" s="427"/>
      <c r="DA15" s="427"/>
      <c r="DB15" s="427"/>
      <c r="DC15" s="427"/>
      <c r="DD15" s="427"/>
    </row>
    <row r="16" customFormat="false" ht="12.75" hidden="false" customHeight="false" outlineLevel="0" collapsed="false">
      <c r="A16" s="381" t="n">
        <f aca="false">+BaseloadMarkets!A16</f>
        <v>36718</v>
      </c>
      <c r="B16" s="456" t="n">
        <f aca="false">+OCCMarkets!AC16</f>
        <v>178</v>
      </c>
      <c r="C16" s="456" t="n">
        <f aca="false">+OCCMarkets!AD16</f>
        <v>0</v>
      </c>
      <c r="D16" s="456" t="n">
        <f aca="false">+OCCMarkets!AE16</f>
        <v>0</v>
      </c>
      <c r="E16" s="456" t="n">
        <f aca="false">+OCCMarkets!AF16</f>
        <v>0</v>
      </c>
      <c r="F16" s="456" t="n">
        <f aca="false">+OCCMarkets!AG16</f>
        <v>0</v>
      </c>
      <c r="G16" s="456" t="n">
        <f aca="false">+OCCMarkets!AH16</f>
        <v>-178</v>
      </c>
      <c r="H16" s="456" t="n">
        <f aca="false">+OCCMarkets!AI16</f>
        <v>-801</v>
      </c>
      <c r="I16" s="423" t="n">
        <f aca="false">+OCCMarkets!AJ16</f>
        <v>9551</v>
      </c>
      <c r="J16" s="423" t="n">
        <f aca="false">+OCCMarkets!AK16</f>
        <v>3817</v>
      </c>
      <c r="K16" s="423" t="n">
        <f aca="false">+OCCMarkets!AL16</f>
        <v>1823</v>
      </c>
      <c r="L16" s="423" t="n">
        <f aca="false">+OCCMarkets!AM16</f>
        <v>8975</v>
      </c>
      <c r="M16" s="423" t="n">
        <f aca="false">+OCCMarkets!AN16</f>
        <v>14615</v>
      </c>
      <c r="N16" s="423" t="n">
        <f aca="false">+OCCMarkets!AO16</f>
        <v>5064</v>
      </c>
      <c r="O16" s="423" t="n">
        <f aca="false">+OCCMarkets!AP16</f>
        <v>31018</v>
      </c>
      <c r="P16" s="457" t="n">
        <f aca="false">+OCCMarkets!AQ16</f>
        <v>0</v>
      </c>
      <c r="Q16" s="457" t="n">
        <f aca="false">+OCCMarkets!AR16</f>
        <v>0</v>
      </c>
      <c r="R16" s="457" t="n">
        <f aca="false">+OCCMarkets!AS16</f>
        <v>0</v>
      </c>
      <c r="S16" s="457" t="n">
        <f aca="false">+OCCMarkets!AT16</f>
        <v>0</v>
      </c>
      <c r="T16" s="457" t="n">
        <f aca="false">+OCCMarkets!AU16</f>
        <v>0</v>
      </c>
      <c r="U16" s="457" t="n">
        <f aca="false">+OCCMarkets!AV16</f>
        <v>0</v>
      </c>
      <c r="V16" s="457" t="n">
        <f aca="false">+OCCMarkets!AW16</f>
        <v>0</v>
      </c>
      <c r="W16" s="458" t="n">
        <f aca="false">+OCCMarkets!AX16</f>
        <v>202</v>
      </c>
      <c r="X16" s="458" t="n">
        <f aca="false">+OCCMarkets!AY16</f>
        <v>0</v>
      </c>
      <c r="Y16" s="458" t="n">
        <f aca="false">+OCCMarkets!AZ16</f>
        <v>0</v>
      </c>
      <c r="Z16" s="458" t="n">
        <f aca="false">+OCCMarkets!BA16</f>
        <v>0</v>
      </c>
      <c r="AA16" s="458" t="n">
        <f aca="false">+OCCMarkets!BB16</f>
        <v>0</v>
      </c>
      <c r="AB16" s="458" t="n">
        <f aca="false">+OCCMarkets!BC16</f>
        <v>-202</v>
      </c>
      <c r="AC16" s="458" t="n">
        <f aca="false">+OCCMarkets!BD16</f>
        <v>-492</v>
      </c>
      <c r="AD16" s="459" t="n">
        <f aca="false">+OCCMarkets!BE16</f>
        <v>325</v>
      </c>
      <c r="AE16" s="459" t="n">
        <f aca="false">+OCCMarkets!BF16</f>
        <v>0</v>
      </c>
      <c r="AF16" s="459" t="n">
        <f aca="false">+OCCMarkets!BG16</f>
        <v>0</v>
      </c>
      <c r="AG16" s="459" t="n">
        <f aca="false">+OCCMarkets!BH16</f>
        <v>0</v>
      </c>
      <c r="AH16" s="459" t="n">
        <f aca="false">+OCCMarkets!BI16</f>
        <v>0</v>
      </c>
      <c r="AI16" s="459" t="n">
        <f aca="false">+OCCMarkets!BJ16</f>
        <v>-325</v>
      </c>
      <c r="AJ16" s="459" t="n">
        <f aca="false">+OCCMarkets!BK16</f>
        <v>-105</v>
      </c>
      <c r="AL16" s="419" t="n">
        <f aca="false">+B16+I16+P16+W16+AD16</f>
        <v>10256</v>
      </c>
      <c r="AM16" s="419" t="n">
        <f aca="false">+F16+M16+T16+AA16+AH16</f>
        <v>14615</v>
      </c>
      <c r="AN16" s="419" t="n">
        <f aca="false">+AM16-AL16</f>
        <v>4359</v>
      </c>
      <c r="AO16" s="419" t="n">
        <f aca="false">+H16+O16+V16+AC16+AJ16</f>
        <v>29620</v>
      </c>
      <c r="BB16" s="427"/>
      <c r="BC16" s="427"/>
      <c r="BD16" s="427"/>
      <c r="BE16" s="427"/>
      <c r="BF16" s="427"/>
      <c r="BG16" s="427"/>
      <c r="BH16" s="427"/>
      <c r="BI16" s="427"/>
      <c r="BJ16" s="427"/>
      <c r="BK16" s="427"/>
      <c r="BL16" s="427"/>
      <c r="BM16" s="427"/>
      <c r="BN16" s="427"/>
      <c r="BO16" s="427"/>
      <c r="BP16" s="427"/>
      <c r="BQ16" s="427"/>
      <c r="BR16" s="427"/>
      <c r="BS16" s="427"/>
      <c r="BT16" s="427"/>
      <c r="BU16" s="427"/>
      <c r="BV16" s="427"/>
      <c r="BW16" s="427"/>
      <c r="BX16" s="427"/>
      <c r="BY16" s="427"/>
      <c r="BZ16" s="427"/>
      <c r="CA16" s="427"/>
      <c r="CB16" s="427"/>
      <c r="CC16" s="427"/>
      <c r="CD16" s="427"/>
      <c r="CE16" s="427"/>
      <c r="CF16" s="427"/>
      <c r="CG16" s="427"/>
      <c r="CH16" s="427"/>
      <c r="CI16" s="427"/>
      <c r="CJ16" s="427"/>
      <c r="CK16" s="427"/>
      <c r="CL16" s="427"/>
      <c r="CM16" s="427"/>
      <c r="CN16" s="427"/>
      <c r="CO16" s="427"/>
      <c r="CP16" s="427"/>
      <c r="CQ16" s="427"/>
      <c r="CR16" s="427"/>
      <c r="CS16" s="427"/>
      <c r="CT16" s="427"/>
      <c r="CU16" s="427"/>
      <c r="CV16" s="427"/>
      <c r="CW16" s="427"/>
      <c r="CX16" s="427"/>
      <c r="CY16" s="427"/>
      <c r="CZ16" s="427"/>
      <c r="DA16" s="427"/>
      <c r="DB16" s="427"/>
      <c r="DC16" s="427"/>
      <c r="DD16" s="427"/>
    </row>
    <row r="17" customFormat="false" ht="12.75" hidden="false" customHeight="false" outlineLevel="0" collapsed="false">
      <c r="A17" s="381" t="n">
        <f aca="false">+BaseloadMarkets!A17</f>
        <v>36719</v>
      </c>
      <c r="B17" s="456" t="n">
        <f aca="false">+OCCMarkets!AC17</f>
        <v>181</v>
      </c>
      <c r="C17" s="456" t="n">
        <f aca="false">+OCCMarkets!AD17</f>
        <v>0</v>
      </c>
      <c r="D17" s="456" t="n">
        <f aca="false">+OCCMarkets!AE17</f>
        <v>0</v>
      </c>
      <c r="E17" s="456" t="n">
        <f aca="false">+OCCMarkets!AF17</f>
        <v>0</v>
      </c>
      <c r="F17" s="456" t="n">
        <f aca="false">+OCCMarkets!AG17</f>
        <v>0</v>
      </c>
      <c r="G17" s="456" t="n">
        <f aca="false">+OCCMarkets!AH17</f>
        <v>-181</v>
      </c>
      <c r="H17" s="456" t="n">
        <f aca="false">+OCCMarkets!AI17</f>
        <v>-982</v>
      </c>
      <c r="I17" s="423" t="n">
        <f aca="false">+OCCMarkets!AJ17</f>
        <v>9646</v>
      </c>
      <c r="J17" s="423" t="n">
        <f aca="false">+OCCMarkets!AK17</f>
        <v>5705</v>
      </c>
      <c r="K17" s="423" t="n">
        <f aca="false">+OCCMarkets!AL17</f>
        <v>980</v>
      </c>
      <c r="L17" s="423" t="n">
        <f aca="false">+OCCMarkets!AM17</f>
        <v>0</v>
      </c>
      <c r="M17" s="423" t="n">
        <f aca="false">+OCCMarkets!AN17</f>
        <v>6685</v>
      </c>
      <c r="N17" s="423" t="n">
        <f aca="false">+OCCMarkets!AO17</f>
        <v>-2961</v>
      </c>
      <c r="O17" s="423" t="n">
        <f aca="false">+OCCMarkets!AP17</f>
        <v>28057</v>
      </c>
      <c r="P17" s="457" t="n">
        <f aca="false">+OCCMarkets!AQ17</f>
        <v>0</v>
      </c>
      <c r="Q17" s="457" t="n">
        <f aca="false">+OCCMarkets!AR17</f>
        <v>0</v>
      </c>
      <c r="R17" s="457" t="n">
        <f aca="false">+OCCMarkets!AS17</f>
        <v>0</v>
      </c>
      <c r="S17" s="457" t="n">
        <f aca="false">+OCCMarkets!AT17</f>
        <v>0</v>
      </c>
      <c r="T17" s="457" t="n">
        <f aca="false">+OCCMarkets!AU17</f>
        <v>0</v>
      </c>
      <c r="U17" s="457" t="n">
        <f aca="false">+OCCMarkets!AV17</f>
        <v>0</v>
      </c>
      <c r="V17" s="457" t="n">
        <f aca="false">+OCCMarkets!AW17</f>
        <v>0</v>
      </c>
      <c r="W17" s="458" t="n">
        <f aca="false">+OCCMarkets!AX17</f>
        <v>200</v>
      </c>
      <c r="X17" s="458" t="n">
        <f aca="false">+OCCMarkets!AY17</f>
        <v>0</v>
      </c>
      <c r="Y17" s="458" t="n">
        <f aca="false">+OCCMarkets!AZ17</f>
        <v>0</v>
      </c>
      <c r="Z17" s="458" t="n">
        <f aca="false">+OCCMarkets!BA17</f>
        <v>0</v>
      </c>
      <c r="AA17" s="458" t="n">
        <f aca="false">+OCCMarkets!BB17</f>
        <v>0</v>
      </c>
      <c r="AB17" s="458" t="n">
        <f aca="false">+OCCMarkets!BC17</f>
        <v>-200</v>
      </c>
      <c r="AC17" s="458" t="n">
        <f aca="false">+OCCMarkets!BD17</f>
        <v>-692</v>
      </c>
      <c r="AD17" s="459" t="n">
        <f aca="false">+OCCMarkets!BE17</f>
        <v>288</v>
      </c>
      <c r="AE17" s="459" t="n">
        <f aca="false">+OCCMarkets!BF17</f>
        <v>0</v>
      </c>
      <c r="AF17" s="459" t="n">
        <f aca="false">+OCCMarkets!BG17</f>
        <v>0</v>
      </c>
      <c r="AG17" s="459" t="n">
        <f aca="false">+OCCMarkets!BH17</f>
        <v>0</v>
      </c>
      <c r="AH17" s="459" t="n">
        <f aca="false">+OCCMarkets!BI17</f>
        <v>0</v>
      </c>
      <c r="AI17" s="459" t="n">
        <f aca="false">+OCCMarkets!BJ17</f>
        <v>-288</v>
      </c>
      <c r="AJ17" s="459" t="n">
        <f aca="false">+OCCMarkets!BK17</f>
        <v>-393</v>
      </c>
      <c r="AL17" s="419" t="n">
        <f aca="false">+B17+I17+P17+W17+AD17</f>
        <v>10315</v>
      </c>
      <c r="AM17" s="419" t="n">
        <f aca="false">+F17+M17+T17+AA17+AH17</f>
        <v>6685</v>
      </c>
      <c r="AN17" s="419" t="n">
        <f aca="false">+AM17-AL17</f>
        <v>-3630</v>
      </c>
      <c r="AO17" s="419" t="n">
        <f aca="false">+H17+O17+V17+AC17+AJ17</f>
        <v>25990</v>
      </c>
      <c r="BB17" s="427"/>
      <c r="BC17" s="427"/>
      <c r="BD17" s="427"/>
      <c r="BE17" s="427"/>
      <c r="BF17" s="427"/>
      <c r="BG17" s="427"/>
      <c r="BH17" s="427"/>
      <c r="BI17" s="427"/>
      <c r="BJ17" s="427"/>
      <c r="BK17" s="427"/>
      <c r="BL17" s="427"/>
      <c r="BM17" s="427"/>
      <c r="BN17" s="427"/>
      <c r="BO17" s="427"/>
      <c r="BP17" s="427"/>
      <c r="BQ17" s="427"/>
      <c r="BR17" s="427"/>
      <c r="BS17" s="427"/>
      <c r="BT17" s="427"/>
      <c r="BU17" s="427"/>
      <c r="BV17" s="427"/>
      <c r="BW17" s="427"/>
      <c r="BX17" s="427"/>
      <c r="BY17" s="427"/>
      <c r="BZ17" s="427"/>
      <c r="CA17" s="427"/>
      <c r="CB17" s="427"/>
      <c r="CC17" s="427"/>
      <c r="CD17" s="427"/>
      <c r="CE17" s="427"/>
      <c r="CF17" s="427"/>
      <c r="CG17" s="427"/>
      <c r="CH17" s="427"/>
      <c r="CI17" s="427"/>
      <c r="CJ17" s="427"/>
      <c r="CK17" s="427"/>
      <c r="CL17" s="427"/>
      <c r="CM17" s="427"/>
      <c r="CN17" s="427"/>
      <c r="CO17" s="427"/>
      <c r="CP17" s="427"/>
      <c r="CQ17" s="427"/>
      <c r="CR17" s="427"/>
      <c r="CS17" s="427"/>
      <c r="CT17" s="427"/>
      <c r="CU17" s="427"/>
      <c r="CV17" s="427"/>
      <c r="CW17" s="427"/>
      <c r="CX17" s="427"/>
      <c r="CY17" s="427"/>
      <c r="CZ17" s="427"/>
      <c r="DA17" s="427"/>
      <c r="DB17" s="427"/>
      <c r="DC17" s="427"/>
      <c r="DD17" s="427"/>
    </row>
    <row r="18" customFormat="false" ht="12.75" hidden="false" customHeight="false" outlineLevel="0" collapsed="false">
      <c r="A18" s="381" t="n">
        <f aca="false">+BaseloadMarkets!A18</f>
        <v>36720</v>
      </c>
      <c r="B18" s="456" t="n">
        <f aca="false">+OCCMarkets!AC18</f>
        <v>177</v>
      </c>
      <c r="C18" s="456" t="n">
        <f aca="false">+OCCMarkets!AD18</f>
        <v>361</v>
      </c>
      <c r="D18" s="456" t="n">
        <f aca="false">+OCCMarkets!AE18</f>
        <v>0</v>
      </c>
      <c r="E18" s="456" t="n">
        <f aca="false">+OCCMarkets!AF18</f>
        <v>0</v>
      </c>
      <c r="F18" s="456" t="n">
        <f aca="false">+OCCMarkets!AG18</f>
        <v>361</v>
      </c>
      <c r="G18" s="456" t="n">
        <f aca="false">+OCCMarkets!AH18</f>
        <v>184</v>
      </c>
      <c r="H18" s="456" t="n">
        <f aca="false">+OCCMarkets!AI18</f>
        <v>-798</v>
      </c>
      <c r="I18" s="423" t="n">
        <f aca="false">+OCCMarkets!AJ18</f>
        <v>9422</v>
      </c>
      <c r="J18" s="423" t="n">
        <f aca="false">+OCCMarkets!AK18</f>
        <v>27197</v>
      </c>
      <c r="K18" s="423" t="n">
        <f aca="false">+OCCMarkets!AL18</f>
        <v>1503</v>
      </c>
      <c r="L18" s="423" t="n">
        <f aca="false">+OCCMarkets!AM18</f>
        <v>10000</v>
      </c>
      <c r="M18" s="423" t="n">
        <f aca="false">+OCCMarkets!AN18</f>
        <v>38700</v>
      </c>
      <c r="N18" s="423" t="n">
        <f aca="false">+OCCMarkets!AO18</f>
        <v>29278</v>
      </c>
      <c r="O18" s="423" t="n">
        <f aca="false">+OCCMarkets!AP18</f>
        <v>57335</v>
      </c>
      <c r="P18" s="457" t="n">
        <f aca="false">+OCCMarkets!AQ18</f>
        <v>0</v>
      </c>
      <c r="Q18" s="457" t="n">
        <f aca="false">+OCCMarkets!AR18</f>
        <v>0</v>
      </c>
      <c r="R18" s="457" t="n">
        <f aca="false">+OCCMarkets!AS18</f>
        <v>0</v>
      </c>
      <c r="S18" s="457" t="n">
        <f aca="false">+OCCMarkets!AT18</f>
        <v>0</v>
      </c>
      <c r="T18" s="457" t="n">
        <f aca="false">+OCCMarkets!AU18</f>
        <v>0</v>
      </c>
      <c r="U18" s="457" t="n">
        <f aca="false">+OCCMarkets!AV18</f>
        <v>0</v>
      </c>
      <c r="V18" s="457" t="n">
        <f aca="false">+OCCMarkets!AW18</f>
        <v>0</v>
      </c>
      <c r="W18" s="458" t="n">
        <f aca="false">+OCCMarkets!AX18</f>
        <v>204</v>
      </c>
      <c r="X18" s="458" t="n">
        <f aca="false">+OCCMarkets!AY18</f>
        <v>886</v>
      </c>
      <c r="Y18" s="458" t="n">
        <f aca="false">+OCCMarkets!AZ18</f>
        <v>0</v>
      </c>
      <c r="Z18" s="458" t="n">
        <f aca="false">+OCCMarkets!BA18</f>
        <v>0</v>
      </c>
      <c r="AA18" s="458" t="n">
        <f aca="false">+OCCMarkets!BB18</f>
        <v>886</v>
      </c>
      <c r="AB18" s="458" t="n">
        <f aca="false">+OCCMarkets!BC18</f>
        <v>682</v>
      </c>
      <c r="AC18" s="458" t="n">
        <f aca="false">+OCCMarkets!BD18</f>
        <v>-10</v>
      </c>
      <c r="AD18" s="459" t="n">
        <f aca="false">+OCCMarkets!BE18</f>
        <v>308</v>
      </c>
      <c r="AE18" s="459" t="n">
        <f aca="false">+OCCMarkets!BF18</f>
        <v>904</v>
      </c>
      <c r="AF18" s="459" t="n">
        <f aca="false">+OCCMarkets!BG18</f>
        <v>0</v>
      </c>
      <c r="AG18" s="459" t="n">
        <f aca="false">+OCCMarkets!BH18</f>
        <v>0</v>
      </c>
      <c r="AH18" s="459" t="n">
        <f aca="false">+OCCMarkets!BI18</f>
        <v>904</v>
      </c>
      <c r="AI18" s="459" t="n">
        <f aca="false">+OCCMarkets!BJ18</f>
        <v>596</v>
      </c>
      <c r="AJ18" s="459" t="n">
        <f aca="false">+OCCMarkets!BK18</f>
        <v>203</v>
      </c>
      <c r="AL18" s="419" t="n">
        <f aca="false">+B18+I18+P18+W18+AD18</f>
        <v>10111</v>
      </c>
      <c r="AM18" s="419" t="n">
        <f aca="false">+F18+M18+T18+AA18+AH18</f>
        <v>40851</v>
      </c>
      <c r="AN18" s="419" t="n">
        <f aca="false">+AM18-AL18</f>
        <v>30740</v>
      </c>
      <c r="AO18" s="419" t="n">
        <f aca="false">+H18+O18+V18+AC18+AJ18</f>
        <v>56730</v>
      </c>
      <c r="BB18" s="427"/>
      <c r="BC18" s="427"/>
      <c r="BD18" s="427"/>
      <c r="BE18" s="427"/>
      <c r="BF18" s="427"/>
      <c r="BG18" s="427"/>
      <c r="BH18" s="427"/>
      <c r="BI18" s="427"/>
      <c r="BJ18" s="427"/>
      <c r="BK18" s="427"/>
      <c r="BL18" s="427"/>
      <c r="BM18" s="427"/>
      <c r="BN18" s="427"/>
      <c r="BO18" s="427"/>
      <c r="BP18" s="427"/>
      <c r="BQ18" s="427"/>
      <c r="BR18" s="427"/>
      <c r="BS18" s="427"/>
      <c r="BT18" s="427"/>
      <c r="BU18" s="427"/>
      <c r="BV18" s="427"/>
      <c r="BW18" s="427"/>
      <c r="BX18" s="427"/>
      <c r="BY18" s="427"/>
      <c r="BZ18" s="427"/>
      <c r="CA18" s="427"/>
      <c r="CB18" s="427"/>
      <c r="CC18" s="427"/>
      <c r="CD18" s="427"/>
      <c r="CE18" s="427"/>
      <c r="CF18" s="427"/>
      <c r="CG18" s="427"/>
      <c r="CH18" s="427"/>
      <c r="CI18" s="427"/>
      <c r="CJ18" s="427"/>
      <c r="CK18" s="427"/>
      <c r="CL18" s="427"/>
      <c r="CM18" s="427"/>
      <c r="CN18" s="427"/>
      <c r="CO18" s="427"/>
      <c r="CP18" s="427"/>
      <c r="CQ18" s="427"/>
      <c r="CR18" s="427"/>
      <c r="CS18" s="427"/>
      <c r="CT18" s="427"/>
      <c r="CU18" s="427"/>
      <c r="CV18" s="427"/>
      <c r="CW18" s="427"/>
      <c r="CX18" s="427"/>
      <c r="CY18" s="427"/>
      <c r="CZ18" s="427"/>
      <c r="DA18" s="427"/>
      <c r="DB18" s="427"/>
      <c r="DC18" s="427"/>
      <c r="DD18" s="427"/>
    </row>
    <row r="19" customFormat="false" ht="12.75" hidden="false" customHeight="false" outlineLevel="0" collapsed="false">
      <c r="A19" s="381" t="n">
        <f aca="false">+BaseloadMarkets!A19</f>
        <v>36721</v>
      </c>
      <c r="B19" s="456" t="n">
        <f aca="false">+OCCMarkets!AC19</f>
        <v>157</v>
      </c>
      <c r="C19" s="456" t="n">
        <f aca="false">+OCCMarkets!AD19</f>
        <v>1397</v>
      </c>
      <c r="D19" s="456" t="n">
        <f aca="false">+OCCMarkets!AE19</f>
        <v>0</v>
      </c>
      <c r="E19" s="456" t="n">
        <f aca="false">+OCCMarkets!AF19</f>
        <v>0</v>
      </c>
      <c r="F19" s="456" t="n">
        <f aca="false">+OCCMarkets!AG19</f>
        <v>1397</v>
      </c>
      <c r="G19" s="456" t="n">
        <f aca="false">+OCCMarkets!AH19</f>
        <v>1240</v>
      </c>
      <c r="H19" s="456" t="n">
        <f aca="false">+OCCMarkets!AI19</f>
        <v>442</v>
      </c>
      <c r="I19" s="423" t="n">
        <f aca="false">+OCCMarkets!AJ19</f>
        <v>8534</v>
      </c>
      <c r="J19" s="423" t="n">
        <f aca="false">+OCCMarkets!AK19</f>
        <v>2259</v>
      </c>
      <c r="K19" s="423" t="n">
        <f aca="false">+OCCMarkets!AL19</f>
        <v>10980</v>
      </c>
      <c r="L19" s="423" t="n">
        <f aca="false">+OCCMarkets!AM19</f>
        <v>0</v>
      </c>
      <c r="M19" s="423" t="n">
        <f aca="false">+OCCMarkets!AN19</f>
        <v>13239</v>
      </c>
      <c r="N19" s="423" t="n">
        <f aca="false">+OCCMarkets!AO19</f>
        <v>4705</v>
      </c>
      <c r="O19" s="423" t="n">
        <f aca="false">+OCCMarkets!AP19</f>
        <v>62040</v>
      </c>
      <c r="P19" s="457" t="n">
        <f aca="false">+OCCMarkets!AQ19</f>
        <v>0</v>
      </c>
      <c r="Q19" s="457" t="n">
        <f aca="false">+OCCMarkets!AR19</f>
        <v>0</v>
      </c>
      <c r="R19" s="457" t="n">
        <f aca="false">+OCCMarkets!AS19</f>
        <v>0</v>
      </c>
      <c r="S19" s="457" t="n">
        <f aca="false">+OCCMarkets!AT19</f>
        <v>0</v>
      </c>
      <c r="T19" s="457" t="n">
        <f aca="false">+OCCMarkets!AU19</f>
        <v>0</v>
      </c>
      <c r="U19" s="457" t="n">
        <f aca="false">+OCCMarkets!AV19</f>
        <v>0</v>
      </c>
      <c r="V19" s="457" t="n">
        <f aca="false">+OCCMarkets!AW19</f>
        <v>0</v>
      </c>
      <c r="W19" s="458" t="n">
        <f aca="false">+OCCMarkets!AX19</f>
        <v>213</v>
      </c>
      <c r="X19" s="458" t="n">
        <f aca="false">+OCCMarkets!AY19</f>
        <v>1397</v>
      </c>
      <c r="Y19" s="458" t="n">
        <f aca="false">+OCCMarkets!AZ19</f>
        <v>0</v>
      </c>
      <c r="Z19" s="458" t="n">
        <f aca="false">+OCCMarkets!BA19</f>
        <v>0</v>
      </c>
      <c r="AA19" s="458" t="n">
        <f aca="false">+OCCMarkets!BB19</f>
        <v>1397</v>
      </c>
      <c r="AB19" s="458" t="n">
        <f aca="false">+OCCMarkets!BC19</f>
        <v>1184</v>
      </c>
      <c r="AC19" s="458" t="n">
        <f aca="false">+OCCMarkets!BD19</f>
        <v>1174</v>
      </c>
      <c r="AD19" s="459" t="n">
        <f aca="false">+OCCMarkets!BE19</f>
        <v>286</v>
      </c>
      <c r="AE19" s="459" t="n">
        <f aca="false">+OCCMarkets!BF19</f>
        <v>1862</v>
      </c>
      <c r="AF19" s="459" t="n">
        <f aca="false">+OCCMarkets!BG19</f>
        <v>0</v>
      </c>
      <c r="AG19" s="459" t="n">
        <f aca="false">+OCCMarkets!BH19</f>
        <v>0</v>
      </c>
      <c r="AH19" s="459" t="n">
        <f aca="false">+OCCMarkets!BI19</f>
        <v>1862</v>
      </c>
      <c r="AI19" s="459" t="n">
        <f aca="false">+OCCMarkets!BJ19</f>
        <v>1576</v>
      </c>
      <c r="AJ19" s="459" t="n">
        <f aca="false">+OCCMarkets!BK19</f>
        <v>1779</v>
      </c>
      <c r="AL19" s="419" t="n">
        <f aca="false">+B19+I19+P19+W19+AD19</f>
        <v>9190</v>
      </c>
      <c r="AM19" s="419" t="n">
        <f aca="false">+F19+M19+T19+AA19+AH19</f>
        <v>17895</v>
      </c>
      <c r="AN19" s="419" t="n">
        <f aca="false">+AM19-AL19</f>
        <v>8705</v>
      </c>
      <c r="AO19" s="419" t="n">
        <f aca="false">+H19+O19+V19+AC19+AJ19</f>
        <v>65435</v>
      </c>
      <c r="BB19" s="427"/>
      <c r="BC19" s="427"/>
      <c r="BD19" s="427"/>
      <c r="BE19" s="427"/>
      <c r="BF19" s="427"/>
      <c r="BG19" s="427"/>
      <c r="BH19" s="427"/>
      <c r="BI19" s="427"/>
      <c r="BJ19" s="427"/>
      <c r="BK19" s="427"/>
      <c r="BL19" s="427"/>
      <c r="BM19" s="427"/>
      <c r="BN19" s="427"/>
      <c r="BO19" s="427"/>
      <c r="BP19" s="427"/>
      <c r="BQ19" s="427"/>
      <c r="BR19" s="427"/>
      <c r="BS19" s="427"/>
      <c r="BT19" s="427"/>
      <c r="BU19" s="427"/>
      <c r="BV19" s="427"/>
      <c r="BW19" s="427"/>
      <c r="BX19" s="427"/>
      <c r="BY19" s="427"/>
      <c r="BZ19" s="427"/>
      <c r="CA19" s="427"/>
      <c r="CB19" s="427"/>
      <c r="CC19" s="427"/>
      <c r="CD19" s="427"/>
      <c r="CE19" s="427"/>
      <c r="CF19" s="427"/>
      <c r="CG19" s="427"/>
      <c r="CH19" s="427"/>
      <c r="CI19" s="427"/>
      <c r="CJ19" s="427"/>
      <c r="CK19" s="427"/>
      <c r="CL19" s="427"/>
      <c r="CM19" s="427"/>
      <c r="CN19" s="427"/>
      <c r="CO19" s="427"/>
      <c r="CP19" s="427"/>
      <c r="CQ19" s="427"/>
      <c r="CR19" s="427"/>
      <c r="CS19" s="427"/>
      <c r="CT19" s="427"/>
      <c r="CU19" s="427"/>
      <c r="CV19" s="427"/>
      <c r="CW19" s="427"/>
      <c r="CX19" s="427"/>
      <c r="CY19" s="427"/>
      <c r="CZ19" s="427"/>
      <c r="DA19" s="427"/>
      <c r="DB19" s="427"/>
      <c r="DC19" s="427"/>
      <c r="DD19" s="427"/>
    </row>
    <row r="20" customFormat="false" ht="12.75" hidden="false" customHeight="false" outlineLevel="0" collapsed="false">
      <c r="A20" s="381" t="n">
        <f aca="false">+BaseloadMarkets!A20</f>
        <v>36722</v>
      </c>
      <c r="B20" s="456" t="n">
        <f aca="false">+OCCMarkets!AC20</f>
        <v>170</v>
      </c>
      <c r="C20" s="456" t="n">
        <f aca="false">+OCCMarkets!AD20</f>
        <v>0</v>
      </c>
      <c r="D20" s="456" t="n">
        <f aca="false">+OCCMarkets!AE20</f>
        <v>0</v>
      </c>
      <c r="E20" s="456" t="n">
        <f aca="false">+OCCMarkets!AF20</f>
        <v>0</v>
      </c>
      <c r="F20" s="456" t="n">
        <f aca="false">+OCCMarkets!AG20</f>
        <v>0</v>
      </c>
      <c r="G20" s="456" t="n">
        <f aca="false">+OCCMarkets!AH20</f>
        <v>-170</v>
      </c>
      <c r="H20" s="456" t="n">
        <f aca="false">+OCCMarkets!AI20</f>
        <v>272</v>
      </c>
      <c r="I20" s="423" t="n">
        <f aca="false">+OCCMarkets!AJ20</f>
        <v>6025</v>
      </c>
      <c r="J20" s="423" t="n">
        <f aca="false">+OCCMarkets!AK20</f>
        <v>8469</v>
      </c>
      <c r="K20" s="423" t="n">
        <f aca="false">+OCCMarkets!AL20</f>
        <v>980</v>
      </c>
      <c r="L20" s="423" t="n">
        <f aca="false">+OCCMarkets!AM20</f>
        <v>0</v>
      </c>
      <c r="M20" s="423" t="n">
        <f aca="false">+OCCMarkets!AN20</f>
        <v>9449</v>
      </c>
      <c r="N20" s="423" t="n">
        <f aca="false">+OCCMarkets!AO20</f>
        <v>3424</v>
      </c>
      <c r="O20" s="423" t="n">
        <f aca="false">+OCCMarkets!AP20</f>
        <v>65464</v>
      </c>
      <c r="P20" s="457" t="n">
        <f aca="false">+OCCMarkets!AQ20</f>
        <v>0</v>
      </c>
      <c r="Q20" s="457" t="n">
        <f aca="false">+OCCMarkets!AR20</f>
        <v>0</v>
      </c>
      <c r="R20" s="457" t="n">
        <f aca="false">+OCCMarkets!AS20</f>
        <v>0</v>
      </c>
      <c r="S20" s="457" t="n">
        <f aca="false">+OCCMarkets!AT20</f>
        <v>0</v>
      </c>
      <c r="T20" s="457" t="n">
        <f aca="false">+OCCMarkets!AU20</f>
        <v>0</v>
      </c>
      <c r="U20" s="457" t="n">
        <f aca="false">+OCCMarkets!AV20</f>
        <v>0</v>
      </c>
      <c r="V20" s="457" t="n">
        <f aca="false">+OCCMarkets!AW20</f>
        <v>0</v>
      </c>
      <c r="W20" s="458" t="n">
        <f aca="false">+OCCMarkets!AX20</f>
        <v>31</v>
      </c>
      <c r="X20" s="458" t="n">
        <f aca="false">+OCCMarkets!AY20</f>
        <v>0</v>
      </c>
      <c r="Y20" s="458" t="n">
        <f aca="false">+OCCMarkets!AZ20</f>
        <v>0</v>
      </c>
      <c r="Z20" s="458" t="n">
        <f aca="false">+OCCMarkets!BA20</f>
        <v>0</v>
      </c>
      <c r="AA20" s="458" t="n">
        <f aca="false">+OCCMarkets!BB20</f>
        <v>0</v>
      </c>
      <c r="AB20" s="458" t="n">
        <f aca="false">+OCCMarkets!BC20</f>
        <v>-31</v>
      </c>
      <c r="AC20" s="458" t="n">
        <f aca="false">+OCCMarkets!BD20</f>
        <v>1143</v>
      </c>
      <c r="AD20" s="459" t="n">
        <f aca="false">+OCCMarkets!BE20</f>
        <v>132</v>
      </c>
      <c r="AE20" s="459" t="n">
        <f aca="false">+OCCMarkets!BF20</f>
        <v>0</v>
      </c>
      <c r="AF20" s="459" t="n">
        <f aca="false">+OCCMarkets!BG20</f>
        <v>0</v>
      </c>
      <c r="AG20" s="459" t="n">
        <f aca="false">+OCCMarkets!BH20</f>
        <v>0</v>
      </c>
      <c r="AH20" s="459" t="n">
        <f aca="false">+OCCMarkets!BI20</f>
        <v>0</v>
      </c>
      <c r="AI20" s="459" t="n">
        <f aca="false">+OCCMarkets!BJ20</f>
        <v>-132</v>
      </c>
      <c r="AJ20" s="459" t="n">
        <f aca="false">+OCCMarkets!BK20</f>
        <v>1647</v>
      </c>
      <c r="AL20" s="419" t="n">
        <f aca="false">+B20+I20+P20+W20+AD20</f>
        <v>6358</v>
      </c>
      <c r="AM20" s="419" t="n">
        <f aca="false">+F20+M20+T20+AA20+AH20</f>
        <v>9449</v>
      </c>
      <c r="AN20" s="419" t="n">
        <f aca="false">+AM20-AL20</f>
        <v>3091</v>
      </c>
      <c r="AO20" s="419" t="n">
        <f aca="false">+H20+O20+V20+AC20+AJ20</f>
        <v>68526</v>
      </c>
      <c r="BB20" s="427"/>
      <c r="BC20" s="427"/>
      <c r="BD20" s="427"/>
      <c r="BE20" s="427"/>
      <c r="BF20" s="427"/>
      <c r="BG20" s="427"/>
      <c r="BH20" s="427"/>
      <c r="BI20" s="427"/>
      <c r="BJ20" s="427"/>
      <c r="BK20" s="427"/>
      <c r="BL20" s="427"/>
      <c r="BM20" s="427"/>
      <c r="BN20" s="427"/>
      <c r="BO20" s="427"/>
      <c r="BP20" s="427"/>
      <c r="BQ20" s="427"/>
      <c r="BR20" s="427"/>
      <c r="BS20" s="427"/>
      <c r="BT20" s="427"/>
      <c r="BU20" s="427"/>
      <c r="BV20" s="427"/>
      <c r="BW20" s="427"/>
      <c r="BX20" s="427"/>
      <c r="BY20" s="427"/>
      <c r="BZ20" s="427"/>
      <c r="CA20" s="427"/>
      <c r="CB20" s="427"/>
      <c r="CC20" s="427"/>
      <c r="CD20" s="427"/>
      <c r="CE20" s="427"/>
      <c r="CF20" s="427"/>
      <c r="CG20" s="427"/>
      <c r="CH20" s="427"/>
      <c r="CI20" s="427"/>
      <c r="CJ20" s="427"/>
      <c r="CK20" s="427"/>
      <c r="CL20" s="427"/>
      <c r="CM20" s="427"/>
      <c r="CN20" s="427"/>
      <c r="CO20" s="427"/>
      <c r="CP20" s="427"/>
      <c r="CQ20" s="427"/>
      <c r="CR20" s="427"/>
      <c r="CS20" s="427"/>
      <c r="CT20" s="427"/>
      <c r="CU20" s="427"/>
      <c r="CV20" s="427"/>
      <c r="CW20" s="427"/>
      <c r="CX20" s="427"/>
      <c r="CY20" s="427"/>
      <c r="CZ20" s="427"/>
      <c r="DA20" s="427"/>
      <c r="DB20" s="427"/>
      <c r="DC20" s="427"/>
      <c r="DD20" s="427"/>
    </row>
    <row r="21" customFormat="false" ht="12.75" hidden="false" customHeight="false" outlineLevel="0" collapsed="false">
      <c r="A21" s="381" t="n">
        <f aca="false">+BaseloadMarkets!A21</f>
        <v>36723</v>
      </c>
      <c r="B21" s="456" t="n">
        <f aca="false">+OCCMarkets!AC21</f>
        <v>28</v>
      </c>
      <c r="C21" s="456" t="n">
        <f aca="false">+OCCMarkets!AD21</f>
        <v>0</v>
      </c>
      <c r="D21" s="456" t="n">
        <f aca="false">+OCCMarkets!AE21</f>
        <v>0</v>
      </c>
      <c r="E21" s="456" t="n">
        <f aca="false">+OCCMarkets!AF21</f>
        <v>0</v>
      </c>
      <c r="F21" s="456" t="n">
        <f aca="false">+OCCMarkets!AG21</f>
        <v>0</v>
      </c>
      <c r="G21" s="456" t="n">
        <f aca="false">+OCCMarkets!AH21</f>
        <v>-28</v>
      </c>
      <c r="H21" s="456" t="n">
        <f aca="false">+OCCMarkets!AI21</f>
        <v>244</v>
      </c>
      <c r="I21" s="423" t="n">
        <f aca="false">+OCCMarkets!AJ21</f>
        <v>9078</v>
      </c>
      <c r="J21" s="423" t="n">
        <f aca="false">+OCCMarkets!AK21</f>
        <v>8139</v>
      </c>
      <c r="K21" s="423" t="n">
        <f aca="false">+OCCMarkets!AL21</f>
        <v>980</v>
      </c>
      <c r="L21" s="423" t="n">
        <f aca="false">+OCCMarkets!AM21</f>
        <v>0</v>
      </c>
      <c r="M21" s="423" t="n">
        <f aca="false">+OCCMarkets!AN21</f>
        <v>9119</v>
      </c>
      <c r="N21" s="423" t="n">
        <f aca="false">+OCCMarkets!AO21</f>
        <v>41</v>
      </c>
      <c r="O21" s="423" t="n">
        <f aca="false">+OCCMarkets!AP21</f>
        <v>65505</v>
      </c>
      <c r="P21" s="457" t="n">
        <f aca="false">+OCCMarkets!AQ21</f>
        <v>0</v>
      </c>
      <c r="Q21" s="457" t="n">
        <f aca="false">+OCCMarkets!AR21</f>
        <v>0</v>
      </c>
      <c r="R21" s="457" t="n">
        <f aca="false">+OCCMarkets!AS21</f>
        <v>0</v>
      </c>
      <c r="S21" s="457" t="n">
        <f aca="false">+OCCMarkets!AT21</f>
        <v>0</v>
      </c>
      <c r="T21" s="457" t="n">
        <f aca="false">+OCCMarkets!AU21</f>
        <v>0</v>
      </c>
      <c r="U21" s="457" t="n">
        <f aca="false">+OCCMarkets!AV21</f>
        <v>0</v>
      </c>
      <c r="V21" s="457" t="n">
        <f aca="false">+OCCMarkets!AW21</f>
        <v>0</v>
      </c>
      <c r="W21" s="458" t="n">
        <f aca="false">+OCCMarkets!AX21</f>
        <v>0</v>
      </c>
      <c r="X21" s="458" t="n">
        <f aca="false">+OCCMarkets!AY21</f>
        <v>0</v>
      </c>
      <c r="Y21" s="458" t="n">
        <f aca="false">+OCCMarkets!AZ21</f>
        <v>0</v>
      </c>
      <c r="Z21" s="458" t="n">
        <f aca="false">+OCCMarkets!BA21</f>
        <v>0</v>
      </c>
      <c r="AA21" s="458" t="n">
        <f aca="false">+OCCMarkets!BB21</f>
        <v>0</v>
      </c>
      <c r="AB21" s="458" t="n">
        <f aca="false">+OCCMarkets!BC21</f>
        <v>0</v>
      </c>
      <c r="AC21" s="458" t="n">
        <f aca="false">+OCCMarkets!BD21</f>
        <v>1143</v>
      </c>
      <c r="AD21" s="459" t="n">
        <f aca="false">+OCCMarkets!BE21</f>
        <v>25</v>
      </c>
      <c r="AE21" s="459" t="n">
        <f aca="false">+OCCMarkets!BF21</f>
        <v>0</v>
      </c>
      <c r="AF21" s="459" t="n">
        <f aca="false">+OCCMarkets!BG21</f>
        <v>0</v>
      </c>
      <c r="AG21" s="459" t="n">
        <f aca="false">+OCCMarkets!BH21</f>
        <v>0</v>
      </c>
      <c r="AH21" s="459" t="n">
        <f aca="false">+OCCMarkets!BI21</f>
        <v>0</v>
      </c>
      <c r="AI21" s="459" t="n">
        <f aca="false">+OCCMarkets!BJ21</f>
        <v>-25</v>
      </c>
      <c r="AJ21" s="459" t="n">
        <f aca="false">+OCCMarkets!BK21</f>
        <v>1622</v>
      </c>
      <c r="AL21" s="419" t="n">
        <f aca="false">+B21+I21+P21+W21+AD21</f>
        <v>9131</v>
      </c>
      <c r="AM21" s="419" t="n">
        <f aca="false">+F21+M21+T21+AA21+AH21</f>
        <v>9119</v>
      </c>
      <c r="AN21" s="419" t="n">
        <f aca="false">+AM21-AL21</f>
        <v>-12</v>
      </c>
      <c r="AO21" s="419" t="n">
        <f aca="false">+H21+O21+V21+AC21+AJ21</f>
        <v>68514</v>
      </c>
      <c r="BB21" s="427"/>
      <c r="BC21" s="427"/>
      <c r="BD21" s="427"/>
      <c r="BE21" s="427"/>
      <c r="BF21" s="427"/>
      <c r="BG21" s="427"/>
      <c r="BH21" s="427"/>
      <c r="BI21" s="427"/>
      <c r="BJ21" s="427"/>
      <c r="BK21" s="427"/>
      <c r="BL21" s="427"/>
      <c r="BM21" s="427"/>
      <c r="BN21" s="427"/>
      <c r="BO21" s="427"/>
      <c r="BP21" s="427"/>
      <c r="BQ21" s="427"/>
      <c r="BR21" s="427"/>
      <c r="BS21" s="427"/>
      <c r="BT21" s="427"/>
      <c r="BU21" s="427"/>
      <c r="BV21" s="427"/>
      <c r="BW21" s="427"/>
      <c r="BX21" s="427"/>
      <c r="BY21" s="427"/>
      <c r="BZ21" s="427"/>
      <c r="CA21" s="427"/>
      <c r="CB21" s="427"/>
      <c r="CC21" s="427"/>
      <c r="CD21" s="427"/>
      <c r="CE21" s="427"/>
      <c r="CF21" s="427"/>
      <c r="CG21" s="427"/>
      <c r="CH21" s="427"/>
      <c r="CI21" s="427"/>
      <c r="CJ21" s="427"/>
      <c r="CK21" s="427"/>
      <c r="CL21" s="427"/>
      <c r="CM21" s="427"/>
      <c r="CN21" s="427"/>
      <c r="CO21" s="427"/>
      <c r="CP21" s="427"/>
      <c r="CQ21" s="427"/>
      <c r="CR21" s="427"/>
      <c r="CS21" s="427"/>
      <c r="CT21" s="427"/>
      <c r="CU21" s="427"/>
      <c r="CV21" s="427"/>
      <c r="CW21" s="427"/>
      <c r="CX21" s="427"/>
      <c r="CY21" s="427"/>
      <c r="CZ21" s="427"/>
      <c r="DA21" s="427"/>
      <c r="DB21" s="427"/>
      <c r="DC21" s="427"/>
      <c r="DD21" s="427"/>
    </row>
    <row r="22" customFormat="false" ht="12.75" hidden="false" customHeight="false" outlineLevel="0" collapsed="false">
      <c r="A22" s="381" t="n">
        <f aca="false">+BaseloadMarkets!A22</f>
        <v>36724</v>
      </c>
      <c r="B22" s="456" t="n">
        <f aca="false">+OCCMarkets!AC22</f>
        <v>96</v>
      </c>
      <c r="C22" s="456" t="n">
        <f aca="false">+OCCMarkets!AD22</f>
        <v>0</v>
      </c>
      <c r="D22" s="456" t="n">
        <f aca="false">+OCCMarkets!AE22</f>
        <v>0</v>
      </c>
      <c r="E22" s="456" t="n">
        <f aca="false">+OCCMarkets!AF22</f>
        <v>0</v>
      </c>
      <c r="F22" s="456" t="n">
        <f aca="false">+OCCMarkets!AG22</f>
        <v>0</v>
      </c>
      <c r="G22" s="456" t="n">
        <f aca="false">+OCCMarkets!AH22</f>
        <v>-96</v>
      </c>
      <c r="H22" s="456" t="n">
        <f aca="false">+OCCMarkets!AI22</f>
        <v>148</v>
      </c>
      <c r="I22" s="423" t="n">
        <f aca="false">+OCCMarkets!AJ22</f>
        <v>9378</v>
      </c>
      <c r="J22" s="423" t="n">
        <f aca="false">+OCCMarkets!AK22</f>
        <v>7989</v>
      </c>
      <c r="K22" s="423" t="n">
        <f aca="false">+OCCMarkets!AL22</f>
        <v>980</v>
      </c>
      <c r="L22" s="423" t="n">
        <f aca="false">+OCCMarkets!AM22</f>
        <v>0</v>
      </c>
      <c r="M22" s="423" t="n">
        <f aca="false">+OCCMarkets!AN22</f>
        <v>8969</v>
      </c>
      <c r="N22" s="423" t="n">
        <f aca="false">+OCCMarkets!AO22</f>
        <v>-409</v>
      </c>
      <c r="O22" s="423" t="n">
        <f aca="false">+OCCMarkets!AP22</f>
        <v>65096</v>
      </c>
      <c r="P22" s="457" t="n">
        <f aca="false">+OCCMarkets!AQ22</f>
        <v>0</v>
      </c>
      <c r="Q22" s="457" t="n">
        <f aca="false">+OCCMarkets!AR22</f>
        <v>0</v>
      </c>
      <c r="R22" s="457" t="n">
        <f aca="false">+OCCMarkets!AS22</f>
        <v>0</v>
      </c>
      <c r="S22" s="457" t="n">
        <f aca="false">+OCCMarkets!AT22</f>
        <v>0</v>
      </c>
      <c r="T22" s="457" t="n">
        <f aca="false">+OCCMarkets!AU22</f>
        <v>0</v>
      </c>
      <c r="U22" s="457" t="n">
        <f aca="false">+OCCMarkets!AV22</f>
        <v>0</v>
      </c>
      <c r="V22" s="457" t="n">
        <f aca="false">+OCCMarkets!AW22</f>
        <v>0</v>
      </c>
      <c r="W22" s="458" t="n">
        <f aca="false">+OCCMarkets!AX22</f>
        <v>135</v>
      </c>
      <c r="X22" s="458" t="n">
        <f aca="false">+OCCMarkets!AY22</f>
        <v>0</v>
      </c>
      <c r="Y22" s="458" t="n">
        <f aca="false">+OCCMarkets!AZ22</f>
        <v>0</v>
      </c>
      <c r="Z22" s="458" t="n">
        <f aca="false">+OCCMarkets!BA22</f>
        <v>0</v>
      </c>
      <c r="AA22" s="458" t="n">
        <f aca="false">+OCCMarkets!BB22</f>
        <v>0</v>
      </c>
      <c r="AB22" s="458" t="n">
        <f aca="false">+OCCMarkets!BC22</f>
        <v>-135</v>
      </c>
      <c r="AC22" s="458" t="n">
        <f aca="false">+OCCMarkets!BD22</f>
        <v>1008</v>
      </c>
      <c r="AD22" s="459" t="n">
        <f aca="false">+OCCMarkets!BE22</f>
        <v>246</v>
      </c>
      <c r="AE22" s="459" t="n">
        <f aca="false">+OCCMarkets!BF22</f>
        <v>0</v>
      </c>
      <c r="AF22" s="459" t="n">
        <f aca="false">+OCCMarkets!BG22</f>
        <v>0</v>
      </c>
      <c r="AG22" s="459" t="n">
        <f aca="false">+OCCMarkets!BH22</f>
        <v>0</v>
      </c>
      <c r="AH22" s="459" t="n">
        <f aca="false">+OCCMarkets!BI22</f>
        <v>0</v>
      </c>
      <c r="AI22" s="459" t="n">
        <f aca="false">+OCCMarkets!BJ22</f>
        <v>-246</v>
      </c>
      <c r="AJ22" s="459" t="n">
        <f aca="false">+OCCMarkets!BK22</f>
        <v>1376</v>
      </c>
      <c r="AL22" s="419" t="n">
        <f aca="false">+B22+I22+P22+W22+AD22</f>
        <v>9855</v>
      </c>
      <c r="AM22" s="419" t="n">
        <f aca="false">+F22+M22+T22+AA22+AH22</f>
        <v>8969</v>
      </c>
      <c r="AN22" s="419" t="n">
        <f aca="false">+AM22-AL22</f>
        <v>-886</v>
      </c>
      <c r="AO22" s="419" t="n">
        <f aca="false">+H22+O22+V22+AC22+AJ22</f>
        <v>67628</v>
      </c>
      <c r="BB22" s="427"/>
      <c r="BC22" s="427"/>
      <c r="BD22" s="427"/>
      <c r="BE22" s="427"/>
      <c r="BF22" s="427"/>
      <c r="BG22" s="427"/>
      <c r="BH22" s="427"/>
      <c r="BI22" s="427"/>
      <c r="BJ22" s="427"/>
      <c r="BK22" s="427"/>
      <c r="BL22" s="427"/>
      <c r="BM22" s="427"/>
      <c r="BN22" s="427"/>
      <c r="BO22" s="427"/>
      <c r="BP22" s="427"/>
      <c r="BQ22" s="427"/>
      <c r="BR22" s="427"/>
      <c r="BS22" s="427"/>
      <c r="BT22" s="427"/>
      <c r="BU22" s="427"/>
      <c r="BV22" s="427"/>
      <c r="BW22" s="427"/>
      <c r="BX22" s="427"/>
      <c r="BY22" s="427"/>
      <c r="BZ22" s="427"/>
      <c r="CA22" s="427"/>
      <c r="CB22" s="427"/>
      <c r="CC22" s="427"/>
      <c r="CD22" s="427"/>
      <c r="CE22" s="427"/>
      <c r="CF22" s="427"/>
      <c r="CG22" s="427"/>
      <c r="CH22" s="427"/>
      <c r="CI22" s="427"/>
      <c r="CJ22" s="427"/>
      <c r="CK22" s="427"/>
      <c r="CL22" s="427"/>
      <c r="CM22" s="427"/>
      <c r="CN22" s="427"/>
      <c r="CO22" s="427"/>
      <c r="CP22" s="427"/>
      <c r="CQ22" s="427"/>
      <c r="CR22" s="427"/>
      <c r="CS22" s="427"/>
      <c r="CT22" s="427"/>
      <c r="CU22" s="427"/>
      <c r="CV22" s="427"/>
      <c r="CW22" s="427"/>
      <c r="CX22" s="427"/>
      <c r="CY22" s="427"/>
      <c r="CZ22" s="427"/>
      <c r="DA22" s="427"/>
      <c r="DB22" s="427"/>
      <c r="DC22" s="427"/>
      <c r="DD22" s="427"/>
    </row>
    <row r="23" customFormat="false" ht="12.75" hidden="false" customHeight="false" outlineLevel="0" collapsed="false">
      <c r="A23" s="381" t="n">
        <f aca="false">+BaseloadMarkets!A23</f>
        <v>36725</v>
      </c>
      <c r="B23" s="456" t="n">
        <f aca="false">+OCCMarkets!AC23</f>
        <v>173</v>
      </c>
      <c r="C23" s="456" t="n">
        <f aca="false">+OCCMarkets!AD23</f>
        <v>0</v>
      </c>
      <c r="D23" s="456" t="n">
        <f aca="false">+OCCMarkets!AE23</f>
        <v>0</v>
      </c>
      <c r="E23" s="456" t="n">
        <f aca="false">+OCCMarkets!AF23</f>
        <v>0</v>
      </c>
      <c r="F23" s="456" t="n">
        <f aca="false">+OCCMarkets!AG23</f>
        <v>0</v>
      </c>
      <c r="G23" s="456" t="n">
        <f aca="false">+OCCMarkets!AH23</f>
        <v>-173</v>
      </c>
      <c r="H23" s="456" t="n">
        <f aca="false">+OCCMarkets!AI23</f>
        <v>-25</v>
      </c>
      <c r="I23" s="423" t="n">
        <f aca="false">+OCCMarkets!AJ23</f>
        <v>9444</v>
      </c>
      <c r="J23" s="423" t="n">
        <f aca="false">+OCCMarkets!AK23</f>
        <v>2259</v>
      </c>
      <c r="K23" s="423" t="n">
        <f aca="false">+OCCMarkets!AL23</f>
        <v>8528</v>
      </c>
      <c r="L23" s="423" t="n">
        <f aca="false">+OCCMarkets!AM23</f>
        <v>0</v>
      </c>
      <c r="M23" s="423" t="n">
        <f aca="false">+OCCMarkets!AN23</f>
        <v>10787</v>
      </c>
      <c r="N23" s="423" t="n">
        <f aca="false">+OCCMarkets!AO23</f>
        <v>1343</v>
      </c>
      <c r="O23" s="423" t="n">
        <f aca="false">+OCCMarkets!AP23</f>
        <v>66439</v>
      </c>
      <c r="P23" s="457" t="n">
        <f aca="false">+OCCMarkets!AQ23</f>
        <v>0</v>
      </c>
      <c r="Q23" s="457" t="n">
        <f aca="false">+OCCMarkets!AR23</f>
        <v>0</v>
      </c>
      <c r="R23" s="457" t="n">
        <f aca="false">+OCCMarkets!AS23</f>
        <v>0</v>
      </c>
      <c r="S23" s="457" t="n">
        <f aca="false">+OCCMarkets!AT23</f>
        <v>0</v>
      </c>
      <c r="T23" s="457" t="n">
        <f aca="false">+OCCMarkets!AU23</f>
        <v>0</v>
      </c>
      <c r="U23" s="457" t="n">
        <f aca="false">+OCCMarkets!AV23</f>
        <v>0</v>
      </c>
      <c r="V23" s="457" t="n">
        <f aca="false">+OCCMarkets!AW23</f>
        <v>0</v>
      </c>
      <c r="W23" s="458" t="n">
        <f aca="false">+OCCMarkets!AX23</f>
        <v>197</v>
      </c>
      <c r="X23" s="458" t="n">
        <f aca="false">+OCCMarkets!AY23</f>
        <v>0</v>
      </c>
      <c r="Y23" s="458" t="n">
        <f aca="false">+OCCMarkets!AZ23</f>
        <v>0</v>
      </c>
      <c r="Z23" s="458" t="n">
        <f aca="false">+OCCMarkets!BA23</f>
        <v>0</v>
      </c>
      <c r="AA23" s="458" t="n">
        <f aca="false">+OCCMarkets!BB23</f>
        <v>0</v>
      </c>
      <c r="AB23" s="458" t="n">
        <f aca="false">+OCCMarkets!BC23</f>
        <v>-197</v>
      </c>
      <c r="AC23" s="458" t="n">
        <f aca="false">+OCCMarkets!BD23</f>
        <v>811</v>
      </c>
      <c r="AD23" s="459" t="n">
        <f aca="false">+OCCMarkets!BE23</f>
        <v>306</v>
      </c>
      <c r="AE23" s="459" t="n">
        <f aca="false">+OCCMarkets!BF23</f>
        <v>0</v>
      </c>
      <c r="AF23" s="459" t="n">
        <f aca="false">+OCCMarkets!BG23</f>
        <v>0</v>
      </c>
      <c r="AG23" s="459" t="n">
        <f aca="false">+OCCMarkets!BH23</f>
        <v>0</v>
      </c>
      <c r="AH23" s="459" t="n">
        <f aca="false">+OCCMarkets!BI23</f>
        <v>0</v>
      </c>
      <c r="AI23" s="459" t="n">
        <f aca="false">+OCCMarkets!BJ23</f>
        <v>-306</v>
      </c>
      <c r="AJ23" s="459" t="n">
        <f aca="false">+OCCMarkets!BK23</f>
        <v>1070</v>
      </c>
      <c r="AL23" s="419" t="n">
        <f aca="false">+B23+I23+P23+W23+AD23</f>
        <v>10120</v>
      </c>
      <c r="AM23" s="419" t="n">
        <f aca="false">+F23+M23+T23+AA23+AH23</f>
        <v>10787</v>
      </c>
      <c r="AN23" s="419" t="n">
        <f aca="false">+AM23-AL23</f>
        <v>667</v>
      </c>
      <c r="AO23" s="419" t="n">
        <f aca="false">+H23+O23+V23+AC23+AJ23</f>
        <v>68295</v>
      </c>
      <c r="BB23" s="427"/>
      <c r="BC23" s="427"/>
      <c r="BD23" s="427"/>
      <c r="BE23" s="427"/>
      <c r="BF23" s="427"/>
      <c r="BG23" s="427"/>
      <c r="BH23" s="427"/>
      <c r="BI23" s="427"/>
      <c r="BJ23" s="427"/>
      <c r="BK23" s="427"/>
      <c r="BL23" s="427"/>
      <c r="BM23" s="427"/>
      <c r="BN23" s="427"/>
      <c r="BO23" s="427"/>
      <c r="BP23" s="427"/>
      <c r="BQ23" s="427"/>
      <c r="BR23" s="427"/>
      <c r="BS23" s="427"/>
      <c r="BT23" s="427"/>
      <c r="BU23" s="427"/>
      <c r="BV23" s="427"/>
      <c r="BW23" s="427"/>
      <c r="BX23" s="427"/>
      <c r="BY23" s="427"/>
      <c r="BZ23" s="427"/>
      <c r="CA23" s="427"/>
      <c r="CB23" s="427"/>
      <c r="CC23" s="427"/>
      <c r="CD23" s="427"/>
      <c r="CE23" s="427"/>
      <c r="CF23" s="427"/>
      <c r="CG23" s="427"/>
      <c r="CH23" s="427"/>
      <c r="CI23" s="427"/>
      <c r="CJ23" s="427"/>
      <c r="CK23" s="427"/>
      <c r="CL23" s="427"/>
      <c r="CM23" s="427"/>
      <c r="CN23" s="427"/>
      <c r="CO23" s="427"/>
      <c r="CP23" s="427"/>
      <c r="CQ23" s="427"/>
      <c r="CR23" s="427"/>
      <c r="CS23" s="427"/>
      <c r="CT23" s="427"/>
      <c r="CU23" s="427"/>
      <c r="CV23" s="427"/>
      <c r="CW23" s="427"/>
      <c r="CX23" s="427"/>
      <c r="CY23" s="427"/>
      <c r="CZ23" s="427"/>
      <c r="DA23" s="427"/>
      <c r="DB23" s="427"/>
      <c r="DC23" s="427"/>
      <c r="DD23" s="427"/>
    </row>
    <row r="24" customFormat="false" ht="12.75" hidden="false" customHeight="false" outlineLevel="0" collapsed="false">
      <c r="A24" s="381" t="n">
        <f aca="false">+BaseloadMarkets!A24</f>
        <v>36726</v>
      </c>
      <c r="B24" s="456" t="n">
        <f aca="false">+OCCMarkets!AC24</f>
        <v>132</v>
      </c>
      <c r="C24" s="456" t="n">
        <f aca="false">+OCCMarkets!AD24</f>
        <v>0</v>
      </c>
      <c r="D24" s="456" t="n">
        <f aca="false">+OCCMarkets!AE24</f>
        <v>0</v>
      </c>
      <c r="E24" s="456" t="n">
        <f aca="false">+OCCMarkets!AF24</f>
        <v>0</v>
      </c>
      <c r="F24" s="456" t="n">
        <f aca="false">+OCCMarkets!AG24</f>
        <v>0</v>
      </c>
      <c r="G24" s="456" t="n">
        <f aca="false">+OCCMarkets!AH24</f>
        <v>-132</v>
      </c>
      <c r="H24" s="456" t="n">
        <f aca="false">+OCCMarkets!AI24</f>
        <v>-157</v>
      </c>
      <c r="I24" s="423" t="n">
        <f aca="false">+OCCMarkets!AJ24</f>
        <v>9446</v>
      </c>
      <c r="J24" s="423" t="n">
        <f aca="false">+OCCMarkets!AK24</f>
        <v>0</v>
      </c>
      <c r="K24" s="423" t="n">
        <f aca="false">+OCCMarkets!AL24</f>
        <v>980</v>
      </c>
      <c r="L24" s="423" t="n">
        <f aca="false">+OCCMarkets!AM24</f>
        <v>0</v>
      </c>
      <c r="M24" s="423" t="n">
        <f aca="false">+OCCMarkets!AN24</f>
        <v>980</v>
      </c>
      <c r="N24" s="423" t="n">
        <f aca="false">+OCCMarkets!AO24</f>
        <v>-8466</v>
      </c>
      <c r="O24" s="423" t="n">
        <f aca="false">+OCCMarkets!AP24</f>
        <v>57973</v>
      </c>
      <c r="P24" s="457" t="n">
        <f aca="false">+OCCMarkets!AQ24</f>
        <v>0</v>
      </c>
      <c r="Q24" s="457" t="n">
        <f aca="false">+OCCMarkets!AR24</f>
        <v>0</v>
      </c>
      <c r="R24" s="457" t="n">
        <f aca="false">+OCCMarkets!AS24</f>
        <v>0</v>
      </c>
      <c r="S24" s="457" t="n">
        <f aca="false">+OCCMarkets!AT24</f>
        <v>0</v>
      </c>
      <c r="T24" s="457" t="n">
        <f aca="false">+OCCMarkets!AU24</f>
        <v>0</v>
      </c>
      <c r="U24" s="457" t="n">
        <f aca="false">+OCCMarkets!AV24</f>
        <v>0</v>
      </c>
      <c r="V24" s="457" t="n">
        <f aca="false">+OCCMarkets!AW24</f>
        <v>0</v>
      </c>
      <c r="W24" s="458" t="n">
        <f aca="false">+OCCMarkets!AX24</f>
        <v>186</v>
      </c>
      <c r="X24" s="458" t="n">
        <f aca="false">+OCCMarkets!AY24</f>
        <v>0</v>
      </c>
      <c r="Y24" s="458" t="n">
        <f aca="false">+OCCMarkets!AZ24</f>
        <v>0</v>
      </c>
      <c r="Z24" s="458" t="n">
        <f aca="false">+OCCMarkets!BA24</f>
        <v>0</v>
      </c>
      <c r="AA24" s="458" t="n">
        <f aca="false">+OCCMarkets!BB24</f>
        <v>0</v>
      </c>
      <c r="AB24" s="458" t="n">
        <f aca="false">+OCCMarkets!BC24</f>
        <v>-186</v>
      </c>
      <c r="AC24" s="458" t="n">
        <f aca="false">+OCCMarkets!BD24</f>
        <v>625</v>
      </c>
      <c r="AD24" s="459" t="n">
        <f aca="false">+OCCMarkets!BE24</f>
        <v>262</v>
      </c>
      <c r="AE24" s="459" t="n">
        <f aca="false">+OCCMarkets!BF24</f>
        <v>0</v>
      </c>
      <c r="AF24" s="459" t="n">
        <f aca="false">+OCCMarkets!BG24</f>
        <v>0</v>
      </c>
      <c r="AG24" s="459" t="n">
        <f aca="false">+OCCMarkets!BH24</f>
        <v>0</v>
      </c>
      <c r="AH24" s="459" t="n">
        <f aca="false">+OCCMarkets!BI24</f>
        <v>0</v>
      </c>
      <c r="AI24" s="459" t="n">
        <f aca="false">+OCCMarkets!BJ24</f>
        <v>-262</v>
      </c>
      <c r="AJ24" s="459" t="n">
        <f aca="false">+OCCMarkets!BK24</f>
        <v>808</v>
      </c>
      <c r="AL24" s="419" t="n">
        <f aca="false">+B24+I24+P24+W24+AD24</f>
        <v>10026</v>
      </c>
      <c r="AM24" s="419" t="n">
        <f aca="false">+F24+M24+T24+AA24+AH24</f>
        <v>980</v>
      </c>
      <c r="AN24" s="419" t="n">
        <f aca="false">+AM24-AL24</f>
        <v>-9046</v>
      </c>
      <c r="AO24" s="419" t="n">
        <f aca="false">+H24+O24+V24+AC24+AJ24</f>
        <v>59249</v>
      </c>
      <c r="BB24" s="427"/>
      <c r="BC24" s="427"/>
      <c r="BD24" s="427"/>
      <c r="BE24" s="427"/>
      <c r="BF24" s="427"/>
      <c r="BG24" s="427"/>
      <c r="BH24" s="427"/>
      <c r="BI24" s="427"/>
      <c r="BJ24" s="427"/>
      <c r="BK24" s="427"/>
      <c r="BL24" s="427"/>
      <c r="BM24" s="427"/>
      <c r="BN24" s="427"/>
      <c r="BO24" s="427"/>
      <c r="BP24" s="427"/>
      <c r="BQ24" s="427"/>
      <c r="BR24" s="427"/>
      <c r="BS24" s="427"/>
      <c r="BT24" s="427"/>
      <c r="BU24" s="427"/>
      <c r="BV24" s="427"/>
      <c r="BW24" s="427"/>
      <c r="BX24" s="427"/>
      <c r="BY24" s="427"/>
      <c r="BZ24" s="427"/>
      <c r="CA24" s="427"/>
      <c r="CB24" s="427"/>
      <c r="CC24" s="427"/>
      <c r="CD24" s="427"/>
      <c r="CE24" s="427"/>
      <c r="CF24" s="427"/>
      <c r="CG24" s="427"/>
      <c r="CH24" s="427"/>
      <c r="CI24" s="427"/>
      <c r="CJ24" s="427"/>
      <c r="CK24" s="427"/>
      <c r="CL24" s="427"/>
      <c r="CM24" s="427"/>
      <c r="CN24" s="427"/>
      <c r="CO24" s="427"/>
      <c r="CP24" s="427"/>
      <c r="CQ24" s="427"/>
      <c r="CR24" s="427"/>
      <c r="CS24" s="427"/>
      <c r="CT24" s="427"/>
      <c r="CU24" s="427"/>
      <c r="CV24" s="427"/>
      <c r="CW24" s="427"/>
      <c r="CX24" s="427"/>
      <c r="CY24" s="427"/>
      <c r="CZ24" s="427"/>
      <c r="DA24" s="427"/>
      <c r="DB24" s="427"/>
      <c r="DC24" s="427"/>
      <c r="DD24" s="427"/>
    </row>
    <row r="25" customFormat="false" ht="12.75" hidden="false" customHeight="false" outlineLevel="0" collapsed="false">
      <c r="A25" s="381" t="n">
        <f aca="false">+BaseloadMarkets!A25</f>
        <v>36727</v>
      </c>
      <c r="B25" s="456" t="n">
        <f aca="false">+OCCMarkets!AC25</f>
        <v>174</v>
      </c>
      <c r="C25" s="456" t="n">
        <f aca="false">+OCCMarkets!AD25</f>
        <v>0</v>
      </c>
      <c r="D25" s="456" t="n">
        <f aca="false">+OCCMarkets!AE25</f>
        <v>0</v>
      </c>
      <c r="E25" s="456" t="n">
        <f aca="false">+OCCMarkets!AF25</f>
        <v>0</v>
      </c>
      <c r="F25" s="456" t="n">
        <f aca="false">+OCCMarkets!AG25</f>
        <v>0</v>
      </c>
      <c r="G25" s="456" t="n">
        <f aca="false">+OCCMarkets!AH25</f>
        <v>-174</v>
      </c>
      <c r="H25" s="456" t="n">
        <f aca="false">+OCCMarkets!AI25</f>
        <v>-331</v>
      </c>
      <c r="I25" s="423" t="n">
        <f aca="false">+OCCMarkets!AJ25</f>
        <v>9798</v>
      </c>
      <c r="J25" s="423" t="n">
        <f aca="false">+OCCMarkets!AK25</f>
        <v>0</v>
      </c>
      <c r="K25" s="423" t="n">
        <f aca="false">+OCCMarkets!AL25</f>
        <v>1514</v>
      </c>
      <c r="L25" s="423" t="n">
        <f aca="false">+OCCMarkets!AM25</f>
        <v>0</v>
      </c>
      <c r="M25" s="423" t="n">
        <f aca="false">+OCCMarkets!AN25</f>
        <v>1514</v>
      </c>
      <c r="N25" s="423" t="n">
        <f aca="false">+OCCMarkets!AO25</f>
        <v>-8284</v>
      </c>
      <c r="O25" s="423" t="n">
        <f aca="false">+OCCMarkets!AP25</f>
        <v>49689</v>
      </c>
      <c r="P25" s="457" t="n">
        <f aca="false">+OCCMarkets!AQ25</f>
        <v>0</v>
      </c>
      <c r="Q25" s="457" t="n">
        <f aca="false">+OCCMarkets!AR25</f>
        <v>0</v>
      </c>
      <c r="R25" s="457" t="n">
        <f aca="false">+OCCMarkets!AS25</f>
        <v>0</v>
      </c>
      <c r="S25" s="457" t="n">
        <f aca="false">+OCCMarkets!AT25</f>
        <v>0</v>
      </c>
      <c r="T25" s="457" t="n">
        <f aca="false">+OCCMarkets!AU25</f>
        <v>0</v>
      </c>
      <c r="U25" s="457" t="n">
        <f aca="false">+OCCMarkets!AV25</f>
        <v>0</v>
      </c>
      <c r="V25" s="457" t="n">
        <f aca="false">+OCCMarkets!AW25</f>
        <v>0</v>
      </c>
      <c r="W25" s="458" t="n">
        <f aca="false">+OCCMarkets!AX25</f>
        <v>202</v>
      </c>
      <c r="X25" s="458" t="n">
        <f aca="false">+OCCMarkets!AY25</f>
        <v>0</v>
      </c>
      <c r="Y25" s="458" t="n">
        <f aca="false">+OCCMarkets!AZ25</f>
        <v>0</v>
      </c>
      <c r="Z25" s="458" t="n">
        <f aca="false">+OCCMarkets!BA25</f>
        <v>0</v>
      </c>
      <c r="AA25" s="458" t="n">
        <f aca="false">+OCCMarkets!BB25</f>
        <v>0</v>
      </c>
      <c r="AB25" s="458" t="n">
        <f aca="false">+OCCMarkets!BC25</f>
        <v>-202</v>
      </c>
      <c r="AC25" s="458" t="n">
        <f aca="false">+OCCMarkets!BD25</f>
        <v>423</v>
      </c>
      <c r="AD25" s="459" t="n">
        <f aca="false">+OCCMarkets!BE25</f>
        <v>300</v>
      </c>
      <c r="AE25" s="459" t="n">
        <f aca="false">+OCCMarkets!BF25</f>
        <v>0</v>
      </c>
      <c r="AF25" s="459" t="n">
        <f aca="false">+OCCMarkets!BG25</f>
        <v>0</v>
      </c>
      <c r="AG25" s="459" t="n">
        <f aca="false">+OCCMarkets!BH25</f>
        <v>0</v>
      </c>
      <c r="AH25" s="459" t="n">
        <f aca="false">+OCCMarkets!BI25</f>
        <v>0</v>
      </c>
      <c r="AI25" s="459" t="n">
        <f aca="false">+OCCMarkets!BJ25</f>
        <v>-300</v>
      </c>
      <c r="AJ25" s="459" t="n">
        <f aca="false">+OCCMarkets!BK25</f>
        <v>508</v>
      </c>
      <c r="AL25" s="419" t="n">
        <f aca="false">+B25+I25+P25+W25+AD25</f>
        <v>10474</v>
      </c>
      <c r="AM25" s="419" t="n">
        <f aca="false">+F25+M25+T25+AA25+AH25</f>
        <v>1514</v>
      </c>
      <c r="AN25" s="419" t="n">
        <f aca="false">+AM25-AL25</f>
        <v>-8960</v>
      </c>
      <c r="AO25" s="419" t="n">
        <f aca="false">+H25+O25+V25+AC25+AJ25</f>
        <v>50289</v>
      </c>
      <c r="BB25" s="427"/>
      <c r="BC25" s="427"/>
      <c r="BD25" s="427"/>
      <c r="BE25" s="427"/>
      <c r="BF25" s="427"/>
      <c r="BG25" s="427"/>
      <c r="BH25" s="427"/>
      <c r="BI25" s="427"/>
      <c r="BJ25" s="427"/>
      <c r="BK25" s="427"/>
      <c r="BL25" s="427"/>
      <c r="BM25" s="427"/>
      <c r="BN25" s="427"/>
      <c r="BO25" s="427"/>
      <c r="BP25" s="427"/>
      <c r="BQ25" s="427"/>
      <c r="BR25" s="427"/>
      <c r="BS25" s="427"/>
      <c r="BT25" s="427"/>
      <c r="BU25" s="427"/>
      <c r="BV25" s="427"/>
      <c r="BW25" s="427"/>
      <c r="BX25" s="427"/>
      <c r="BY25" s="427"/>
      <c r="BZ25" s="427"/>
      <c r="CA25" s="427"/>
      <c r="CB25" s="427"/>
      <c r="CC25" s="427"/>
      <c r="CD25" s="427"/>
      <c r="CE25" s="427"/>
      <c r="CF25" s="427"/>
      <c r="CG25" s="427"/>
      <c r="CH25" s="427"/>
      <c r="CI25" s="427"/>
      <c r="CJ25" s="427"/>
      <c r="CK25" s="427"/>
      <c r="CL25" s="427"/>
      <c r="CM25" s="427"/>
      <c r="CN25" s="427"/>
      <c r="CO25" s="427"/>
      <c r="CP25" s="427"/>
      <c r="CQ25" s="427"/>
      <c r="CR25" s="427"/>
      <c r="CS25" s="427"/>
      <c r="CT25" s="427"/>
      <c r="CU25" s="427"/>
      <c r="CV25" s="427"/>
      <c r="CW25" s="427"/>
      <c r="CX25" s="427"/>
      <c r="CY25" s="427"/>
      <c r="CZ25" s="427"/>
      <c r="DA25" s="427"/>
      <c r="DB25" s="427"/>
      <c r="DC25" s="427"/>
      <c r="DD25" s="427"/>
    </row>
    <row r="26" customFormat="false" ht="12.75" hidden="false" customHeight="false" outlineLevel="0" collapsed="false">
      <c r="A26" s="381" t="n">
        <f aca="false">+BaseloadMarkets!A26</f>
        <v>36728</v>
      </c>
      <c r="B26" s="456" t="n">
        <f aca="false">+OCCMarkets!AC26</f>
        <v>178</v>
      </c>
      <c r="C26" s="456" t="n">
        <f aca="false">+OCCMarkets!AD26</f>
        <v>1289</v>
      </c>
      <c r="D26" s="456" t="n">
        <f aca="false">+OCCMarkets!AE26</f>
        <v>0</v>
      </c>
      <c r="E26" s="456" t="n">
        <f aca="false">+OCCMarkets!AF26</f>
        <v>0</v>
      </c>
      <c r="F26" s="456" t="n">
        <f aca="false">+OCCMarkets!AG26</f>
        <v>1289</v>
      </c>
      <c r="G26" s="456" t="n">
        <f aca="false">+OCCMarkets!AH26</f>
        <v>1111</v>
      </c>
      <c r="H26" s="456" t="n">
        <f aca="false">+OCCMarkets!AI26</f>
        <v>780</v>
      </c>
      <c r="I26" s="423" t="n">
        <f aca="false">+OCCMarkets!AJ26</f>
        <v>9740</v>
      </c>
      <c r="J26" s="423" t="n">
        <f aca="false">+OCCMarkets!AK26</f>
        <v>1289</v>
      </c>
      <c r="K26" s="423" t="n">
        <f aca="false">+OCCMarkets!AL26</f>
        <v>980</v>
      </c>
      <c r="L26" s="423" t="n">
        <f aca="false">+OCCMarkets!AM26</f>
        <v>0</v>
      </c>
      <c r="M26" s="423" t="n">
        <f aca="false">+OCCMarkets!AN26</f>
        <v>2269</v>
      </c>
      <c r="N26" s="423" t="n">
        <f aca="false">+OCCMarkets!AO26</f>
        <v>-7471</v>
      </c>
      <c r="O26" s="423" t="n">
        <f aca="false">+OCCMarkets!AP26</f>
        <v>42218</v>
      </c>
      <c r="P26" s="457" t="n">
        <f aca="false">+OCCMarkets!AQ26</f>
        <v>0</v>
      </c>
      <c r="Q26" s="457" t="n">
        <f aca="false">+OCCMarkets!AR26</f>
        <v>0</v>
      </c>
      <c r="R26" s="457" t="n">
        <f aca="false">+OCCMarkets!AS26</f>
        <v>0</v>
      </c>
      <c r="S26" s="457" t="n">
        <f aca="false">+OCCMarkets!AT26</f>
        <v>0</v>
      </c>
      <c r="T26" s="457" t="n">
        <f aca="false">+OCCMarkets!AU26</f>
        <v>0</v>
      </c>
      <c r="U26" s="457" t="n">
        <f aca="false">+OCCMarkets!AV26</f>
        <v>0</v>
      </c>
      <c r="V26" s="457" t="n">
        <f aca="false">+OCCMarkets!AW26</f>
        <v>0</v>
      </c>
      <c r="W26" s="458" t="n">
        <f aca="false">+OCCMarkets!AX26</f>
        <v>198</v>
      </c>
      <c r="X26" s="458" t="n">
        <f aca="false">+OCCMarkets!AY26</f>
        <v>1289</v>
      </c>
      <c r="Y26" s="458" t="n">
        <f aca="false">+OCCMarkets!AZ26</f>
        <v>0</v>
      </c>
      <c r="Z26" s="458" t="n">
        <f aca="false">+OCCMarkets!BA26</f>
        <v>0</v>
      </c>
      <c r="AA26" s="458" t="n">
        <f aca="false">+OCCMarkets!BB26</f>
        <v>1289</v>
      </c>
      <c r="AB26" s="458" t="n">
        <f aca="false">+OCCMarkets!BC26</f>
        <v>1091</v>
      </c>
      <c r="AC26" s="458" t="n">
        <f aca="false">+OCCMarkets!BD26</f>
        <v>1514</v>
      </c>
      <c r="AD26" s="459" t="n">
        <f aca="false">+OCCMarkets!BE26</f>
        <v>298</v>
      </c>
      <c r="AE26" s="459" t="n">
        <f aca="false">+OCCMarkets!BF26</f>
        <v>1289</v>
      </c>
      <c r="AF26" s="459" t="n">
        <f aca="false">+OCCMarkets!BG26</f>
        <v>0</v>
      </c>
      <c r="AG26" s="459" t="n">
        <f aca="false">+OCCMarkets!BH26</f>
        <v>0</v>
      </c>
      <c r="AH26" s="459" t="n">
        <f aca="false">+OCCMarkets!BI26</f>
        <v>1289</v>
      </c>
      <c r="AI26" s="459" t="n">
        <f aca="false">+OCCMarkets!BJ26</f>
        <v>991</v>
      </c>
      <c r="AJ26" s="459" t="n">
        <f aca="false">+OCCMarkets!BK26</f>
        <v>1499</v>
      </c>
      <c r="AL26" s="419" t="n">
        <f aca="false">+B26+I26+P26+W26+AD26</f>
        <v>10414</v>
      </c>
      <c r="AM26" s="419" t="n">
        <f aca="false">+F26+M26+T26+AA26+AH26</f>
        <v>6136</v>
      </c>
      <c r="AN26" s="419" t="n">
        <f aca="false">+AM26-AL26</f>
        <v>-4278</v>
      </c>
      <c r="AO26" s="419" t="n">
        <f aca="false">+H26+O26+V26+AC26+AJ26</f>
        <v>46011</v>
      </c>
      <c r="BB26" s="427"/>
      <c r="BC26" s="427"/>
      <c r="BD26" s="427"/>
      <c r="BE26" s="427"/>
      <c r="BF26" s="427"/>
      <c r="BG26" s="427"/>
      <c r="BH26" s="427"/>
      <c r="BI26" s="427"/>
      <c r="BJ26" s="427"/>
      <c r="BK26" s="427"/>
      <c r="BL26" s="427"/>
      <c r="BM26" s="427"/>
      <c r="BN26" s="427"/>
      <c r="BO26" s="427"/>
      <c r="BP26" s="427"/>
      <c r="BQ26" s="427"/>
      <c r="BR26" s="427"/>
      <c r="BS26" s="427"/>
      <c r="BT26" s="427"/>
      <c r="BU26" s="427"/>
      <c r="BV26" s="427"/>
      <c r="BW26" s="427"/>
      <c r="BX26" s="427"/>
      <c r="BY26" s="427"/>
      <c r="BZ26" s="427"/>
      <c r="CA26" s="427"/>
      <c r="CB26" s="427"/>
      <c r="CC26" s="427"/>
      <c r="CD26" s="427"/>
      <c r="CE26" s="427"/>
      <c r="CF26" s="427"/>
      <c r="CG26" s="427"/>
      <c r="CH26" s="427"/>
      <c r="CI26" s="427"/>
      <c r="CJ26" s="427"/>
      <c r="CK26" s="427"/>
      <c r="CL26" s="427"/>
      <c r="CM26" s="427"/>
      <c r="CN26" s="427"/>
      <c r="CO26" s="427"/>
      <c r="CP26" s="427"/>
      <c r="CQ26" s="427"/>
      <c r="CR26" s="427"/>
      <c r="CS26" s="427"/>
      <c r="CT26" s="427"/>
      <c r="CU26" s="427"/>
      <c r="CV26" s="427"/>
      <c r="CW26" s="427"/>
      <c r="CX26" s="427"/>
      <c r="CY26" s="427"/>
      <c r="CZ26" s="427"/>
      <c r="DA26" s="427"/>
      <c r="DB26" s="427"/>
      <c r="DC26" s="427"/>
      <c r="DD26" s="427"/>
    </row>
    <row r="27" customFormat="false" ht="12.75" hidden="false" customHeight="false" outlineLevel="0" collapsed="false">
      <c r="A27" s="381" t="n">
        <f aca="false">+BaseloadMarkets!A27</f>
        <v>36729</v>
      </c>
      <c r="B27" s="456" t="n">
        <f aca="false">+OCCMarkets!AC27</f>
        <v>193.9</v>
      </c>
      <c r="C27" s="456" t="n">
        <f aca="false">+OCCMarkets!AD27</f>
        <v>0</v>
      </c>
      <c r="D27" s="456" t="n">
        <f aca="false">+OCCMarkets!AE27</f>
        <v>0</v>
      </c>
      <c r="E27" s="456" t="n">
        <f aca="false">+OCCMarkets!AF27</f>
        <v>0</v>
      </c>
      <c r="F27" s="456" t="n">
        <f aca="false">+OCCMarkets!AG27</f>
        <v>0</v>
      </c>
      <c r="G27" s="456" t="n">
        <f aca="false">+OCCMarkets!AH27</f>
        <v>-193.9</v>
      </c>
      <c r="H27" s="456" t="n">
        <f aca="false">+OCCMarkets!AI27</f>
        <v>586.1</v>
      </c>
      <c r="I27" s="423" t="n">
        <f aca="false">+OCCMarkets!AJ27</f>
        <v>9232.3</v>
      </c>
      <c r="J27" s="423" t="n">
        <f aca="false">+OCCMarkets!AK27</f>
        <v>0</v>
      </c>
      <c r="K27" s="423" t="n">
        <f aca="false">+OCCMarkets!AL27</f>
        <v>9253</v>
      </c>
      <c r="L27" s="423" t="n">
        <f aca="false">+OCCMarkets!AM27</f>
        <v>0</v>
      </c>
      <c r="M27" s="423" t="n">
        <f aca="false">+OCCMarkets!AN27</f>
        <v>9253</v>
      </c>
      <c r="N27" s="423" t="n">
        <f aca="false">+OCCMarkets!AO27</f>
        <v>20.7000000000007</v>
      </c>
      <c r="O27" s="423" t="n">
        <f aca="false">+OCCMarkets!AP27</f>
        <v>42238.7</v>
      </c>
      <c r="P27" s="457" t="n">
        <f aca="false">+OCCMarkets!AQ27</f>
        <v>0</v>
      </c>
      <c r="Q27" s="457" t="n">
        <f aca="false">+OCCMarkets!AR27</f>
        <v>0</v>
      </c>
      <c r="R27" s="457" t="n">
        <f aca="false">+OCCMarkets!AS27</f>
        <v>0</v>
      </c>
      <c r="S27" s="457" t="n">
        <f aca="false">+OCCMarkets!AT27</f>
        <v>0</v>
      </c>
      <c r="T27" s="457" t="n">
        <f aca="false">+OCCMarkets!AU27</f>
        <v>0</v>
      </c>
      <c r="U27" s="457" t="n">
        <f aca="false">+OCCMarkets!AV27</f>
        <v>0</v>
      </c>
      <c r="V27" s="457" t="n">
        <f aca="false">+OCCMarkets!AW27</f>
        <v>0</v>
      </c>
      <c r="W27" s="458" t="n">
        <f aca="false">+OCCMarkets!AX27</f>
        <v>25.9</v>
      </c>
      <c r="X27" s="458" t="n">
        <f aca="false">+OCCMarkets!AY27</f>
        <v>0</v>
      </c>
      <c r="Y27" s="458" t="n">
        <f aca="false">+OCCMarkets!AZ27</f>
        <v>0</v>
      </c>
      <c r="Z27" s="458" t="n">
        <f aca="false">+OCCMarkets!BA27</f>
        <v>0</v>
      </c>
      <c r="AA27" s="458" t="n">
        <f aca="false">+OCCMarkets!BB27</f>
        <v>0</v>
      </c>
      <c r="AB27" s="458" t="n">
        <f aca="false">+OCCMarkets!BC27</f>
        <v>-25.9</v>
      </c>
      <c r="AC27" s="458" t="n">
        <f aca="false">+OCCMarkets!BD27</f>
        <v>1488.1</v>
      </c>
      <c r="AD27" s="459" t="n">
        <f aca="false">+OCCMarkets!BE27</f>
        <v>168</v>
      </c>
      <c r="AE27" s="459" t="n">
        <f aca="false">+OCCMarkets!BF27</f>
        <v>0</v>
      </c>
      <c r="AF27" s="459" t="n">
        <f aca="false">+OCCMarkets!BG27</f>
        <v>0</v>
      </c>
      <c r="AG27" s="459" t="n">
        <f aca="false">+OCCMarkets!BH27</f>
        <v>0</v>
      </c>
      <c r="AH27" s="459" t="n">
        <f aca="false">+OCCMarkets!BI27</f>
        <v>0</v>
      </c>
      <c r="AI27" s="459" t="n">
        <f aca="false">+OCCMarkets!BJ27</f>
        <v>-168</v>
      </c>
      <c r="AJ27" s="459" t="n">
        <f aca="false">+OCCMarkets!BK27</f>
        <v>1331</v>
      </c>
      <c r="AL27" s="419" t="n">
        <f aca="false">+B27+I27+P27+W27+AD27</f>
        <v>9620.1</v>
      </c>
      <c r="AM27" s="419" t="n">
        <f aca="false">+F27+M27+T27+AA27+AH27</f>
        <v>9253</v>
      </c>
      <c r="AN27" s="419" t="n">
        <f aca="false">+AM27-AL27</f>
        <v>-367.099999999999</v>
      </c>
      <c r="AO27" s="419" t="n">
        <f aca="false">+H27+O27+V27+AC27+AJ27</f>
        <v>45643.9</v>
      </c>
      <c r="BB27" s="427"/>
      <c r="BC27" s="427"/>
      <c r="BD27" s="427"/>
      <c r="BE27" s="427"/>
      <c r="BF27" s="427"/>
      <c r="BG27" s="427"/>
      <c r="BH27" s="427"/>
      <c r="BI27" s="427"/>
      <c r="BJ27" s="427"/>
      <c r="BK27" s="427"/>
      <c r="BL27" s="427"/>
      <c r="BM27" s="427"/>
      <c r="BN27" s="427"/>
      <c r="BO27" s="427"/>
      <c r="BP27" s="427"/>
      <c r="BQ27" s="427"/>
      <c r="BR27" s="427"/>
      <c r="BS27" s="427"/>
      <c r="BT27" s="427"/>
      <c r="BU27" s="427"/>
      <c r="BV27" s="427"/>
      <c r="BW27" s="427"/>
      <c r="BX27" s="427"/>
      <c r="BY27" s="427"/>
      <c r="BZ27" s="427"/>
      <c r="CA27" s="427"/>
      <c r="CB27" s="427"/>
      <c r="CC27" s="427"/>
      <c r="CD27" s="427"/>
      <c r="CE27" s="427"/>
      <c r="CF27" s="427"/>
      <c r="CG27" s="427"/>
      <c r="CH27" s="427"/>
      <c r="CI27" s="427"/>
      <c r="CJ27" s="427"/>
      <c r="CK27" s="427"/>
      <c r="CL27" s="427"/>
      <c r="CM27" s="427"/>
      <c r="CN27" s="427"/>
      <c r="CO27" s="427"/>
      <c r="CP27" s="427"/>
      <c r="CQ27" s="427"/>
      <c r="CR27" s="427"/>
      <c r="CS27" s="427"/>
      <c r="CT27" s="427"/>
      <c r="CU27" s="427"/>
      <c r="CV27" s="427"/>
      <c r="CW27" s="427"/>
      <c r="CX27" s="427"/>
      <c r="CY27" s="427"/>
      <c r="CZ27" s="427"/>
      <c r="DA27" s="427"/>
      <c r="DB27" s="427"/>
      <c r="DC27" s="427"/>
      <c r="DD27" s="427"/>
    </row>
    <row r="28" customFormat="false" ht="12.75" hidden="false" customHeight="false" outlineLevel="0" collapsed="false">
      <c r="A28" s="381" t="n">
        <f aca="false">+BaseloadMarkets!A28</f>
        <v>36730</v>
      </c>
      <c r="B28" s="456" t="n">
        <f aca="false">+OCCMarkets!AC28</f>
        <v>27</v>
      </c>
      <c r="C28" s="456" t="n">
        <f aca="false">+OCCMarkets!AD28</f>
        <v>0</v>
      </c>
      <c r="D28" s="456" t="n">
        <f aca="false">+OCCMarkets!AE28</f>
        <v>0</v>
      </c>
      <c r="E28" s="456" t="n">
        <f aca="false">+OCCMarkets!AF28</f>
        <v>0</v>
      </c>
      <c r="F28" s="456" t="n">
        <f aca="false">+OCCMarkets!AG28</f>
        <v>0</v>
      </c>
      <c r="G28" s="456" t="n">
        <f aca="false">+OCCMarkets!AH28</f>
        <v>-27</v>
      </c>
      <c r="H28" s="456" t="n">
        <f aca="false">+OCCMarkets!AI28</f>
        <v>559.1</v>
      </c>
      <c r="I28" s="423" t="n">
        <f aca="false">+OCCMarkets!AJ28</f>
        <v>9146.6</v>
      </c>
      <c r="J28" s="423" t="n">
        <f aca="false">+OCCMarkets!AK28</f>
        <v>0</v>
      </c>
      <c r="K28" s="423" t="n">
        <f aca="false">+OCCMarkets!AL28</f>
        <v>12662</v>
      </c>
      <c r="L28" s="423" t="n">
        <f aca="false">+OCCMarkets!AM28</f>
        <v>0</v>
      </c>
      <c r="M28" s="423" t="n">
        <f aca="false">+OCCMarkets!AN28</f>
        <v>12662</v>
      </c>
      <c r="N28" s="423" t="n">
        <f aca="false">+OCCMarkets!AO28</f>
        <v>3515.4</v>
      </c>
      <c r="O28" s="423" t="n">
        <f aca="false">+OCCMarkets!AP28</f>
        <v>45754.1</v>
      </c>
      <c r="P28" s="457" t="n">
        <f aca="false">+OCCMarkets!AQ28</f>
        <v>0</v>
      </c>
      <c r="Q28" s="457" t="n">
        <f aca="false">+OCCMarkets!AR28</f>
        <v>0</v>
      </c>
      <c r="R28" s="457" t="n">
        <f aca="false">+OCCMarkets!AS28</f>
        <v>0</v>
      </c>
      <c r="S28" s="457" t="n">
        <f aca="false">+OCCMarkets!AT28</f>
        <v>0</v>
      </c>
      <c r="T28" s="457" t="n">
        <f aca="false">+OCCMarkets!AU28</f>
        <v>0</v>
      </c>
      <c r="U28" s="457" t="n">
        <f aca="false">+OCCMarkets!AV28</f>
        <v>0</v>
      </c>
      <c r="V28" s="457" t="n">
        <f aca="false">+OCCMarkets!AW28</f>
        <v>0</v>
      </c>
      <c r="W28" s="458" t="n">
        <f aca="false">+OCCMarkets!AX28</f>
        <v>23.2</v>
      </c>
      <c r="X28" s="458" t="n">
        <f aca="false">+OCCMarkets!AY28</f>
        <v>0</v>
      </c>
      <c r="Y28" s="458" t="n">
        <f aca="false">+OCCMarkets!AZ28</f>
        <v>0</v>
      </c>
      <c r="Z28" s="458" t="n">
        <f aca="false">+OCCMarkets!BA28</f>
        <v>0</v>
      </c>
      <c r="AA28" s="458" t="n">
        <f aca="false">+OCCMarkets!BB28</f>
        <v>0</v>
      </c>
      <c r="AB28" s="458" t="n">
        <f aca="false">+OCCMarkets!BC28</f>
        <v>-23.2</v>
      </c>
      <c r="AC28" s="458" t="n">
        <f aca="false">+OCCMarkets!BD28</f>
        <v>1464.9</v>
      </c>
      <c r="AD28" s="459" t="n">
        <f aca="false">+OCCMarkets!BE28</f>
        <v>0</v>
      </c>
      <c r="AE28" s="459" t="n">
        <f aca="false">+OCCMarkets!BF28</f>
        <v>0</v>
      </c>
      <c r="AF28" s="459" t="n">
        <f aca="false">+OCCMarkets!BG28</f>
        <v>0</v>
      </c>
      <c r="AG28" s="459" t="n">
        <f aca="false">+OCCMarkets!BH28</f>
        <v>0</v>
      </c>
      <c r="AH28" s="459" t="n">
        <f aca="false">+OCCMarkets!BI28</f>
        <v>0</v>
      </c>
      <c r="AI28" s="459" t="n">
        <f aca="false">+OCCMarkets!BJ28</f>
        <v>0</v>
      </c>
      <c r="AJ28" s="459" t="n">
        <f aca="false">+OCCMarkets!BK28</f>
        <v>1331</v>
      </c>
      <c r="AL28" s="419" t="n">
        <f aca="false">+B28+I28+P28+W28+AD28</f>
        <v>9196.8</v>
      </c>
      <c r="AM28" s="419" t="n">
        <f aca="false">+F28+M28+T28+AA28+AH28</f>
        <v>12662</v>
      </c>
      <c r="AN28" s="419" t="n">
        <f aca="false">+AM28-AL28</f>
        <v>3465.2</v>
      </c>
      <c r="AO28" s="419" t="n">
        <f aca="false">+H28+O28+V28+AC28+AJ28</f>
        <v>49109.1</v>
      </c>
      <c r="BB28" s="427"/>
      <c r="BC28" s="427"/>
      <c r="BD28" s="427"/>
      <c r="BE28" s="427"/>
      <c r="BF28" s="427"/>
      <c r="BG28" s="427"/>
      <c r="BH28" s="427"/>
      <c r="BI28" s="427"/>
      <c r="BJ28" s="427"/>
      <c r="BK28" s="427"/>
      <c r="BL28" s="427"/>
      <c r="BM28" s="427"/>
      <c r="BN28" s="427"/>
      <c r="BO28" s="427"/>
      <c r="BP28" s="427"/>
      <c r="BQ28" s="427"/>
      <c r="BR28" s="427"/>
      <c r="BS28" s="427"/>
      <c r="BT28" s="427"/>
      <c r="BU28" s="427"/>
      <c r="BV28" s="427"/>
      <c r="BW28" s="427"/>
      <c r="BX28" s="427"/>
      <c r="BY28" s="427"/>
      <c r="BZ28" s="427"/>
      <c r="CA28" s="427"/>
      <c r="CB28" s="427"/>
      <c r="CC28" s="427"/>
      <c r="CD28" s="427"/>
      <c r="CE28" s="427"/>
      <c r="CF28" s="427"/>
      <c r="CG28" s="427"/>
      <c r="CH28" s="427"/>
      <c r="CI28" s="427"/>
      <c r="CJ28" s="427"/>
      <c r="CK28" s="427"/>
      <c r="CL28" s="427"/>
      <c r="CM28" s="427"/>
      <c r="CN28" s="427"/>
      <c r="CO28" s="427"/>
      <c r="CP28" s="427"/>
      <c r="CQ28" s="427"/>
      <c r="CR28" s="427"/>
      <c r="CS28" s="427"/>
      <c r="CT28" s="427"/>
      <c r="CU28" s="427"/>
      <c r="CV28" s="427"/>
      <c r="CW28" s="427"/>
      <c r="CX28" s="427"/>
      <c r="CY28" s="427"/>
      <c r="CZ28" s="427"/>
      <c r="DA28" s="427"/>
      <c r="DB28" s="427"/>
      <c r="DC28" s="427"/>
      <c r="DD28" s="427"/>
    </row>
    <row r="29" customFormat="false" ht="12.75" hidden="false" customHeight="false" outlineLevel="0" collapsed="false">
      <c r="A29" s="381" t="n">
        <f aca="false">+BaseloadMarkets!A29</f>
        <v>36731</v>
      </c>
      <c r="B29" s="456" t="n">
        <f aca="false">+OCCMarkets!AC29</f>
        <v>143.5</v>
      </c>
      <c r="C29" s="456" t="n">
        <f aca="false">+OCCMarkets!AD29</f>
        <v>0</v>
      </c>
      <c r="D29" s="456" t="n">
        <f aca="false">+OCCMarkets!AE29</f>
        <v>0</v>
      </c>
      <c r="E29" s="456" t="n">
        <f aca="false">+OCCMarkets!AF29</f>
        <v>0</v>
      </c>
      <c r="F29" s="456" t="n">
        <f aca="false">+OCCMarkets!AG29</f>
        <v>0</v>
      </c>
      <c r="G29" s="456" t="n">
        <f aca="false">+OCCMarkets!AH29</f>
        <v>-143.5</v>
      </c>
      <c r="H29" s="456" t="n">
        <f aca="false">+OCCMarkets!AI29</f>
        <v>415.6</v>
      </c>
      <c r="I29" s="423" t="n">
        <f aca="false">+OCCMarkets!AJ29</f>
        <v>9274.1</v>
      </c>
      <c r="J29" s="423" t="n">
        <f aca="false">+OCCMarkets!AK29</f>
        <v>0</v>
      </c>
      <c r="K29" s="423" t="n">
        <f aca="false">+OCCMarkets!AL29</f>
        <v>9891</v>
      </c>
      <c r="L29" s="423" t="n">
        <f aca="false">+OCCMarkets!AM29</f>
        <v>0</v>
      </c>
      <c r="M29" s="423" t="n">
        <f aca="false">+OCCMarkets!AN29</f>
        <v>9891</v>
      </c>
      <c r="N29" s="423" t="n">
        <f aca="false">+OCCMarkets!AO29</f>
        <v>616.9</v>
      </c>
      <c r="O29" s="423" t="n">
        <f aca="false">+OCCMarkets!AP29</f>
        <v>46371</v>
      </c>
      <c r="P29" s="457" t="n">
        <f aca="false">+OCCMarkets!AQ29</f>
        <v>0</v>
      </c>
      <c r="Q29" s="457" t="n">
        <f aca="false">+OCCMarkets!AR29</f>
        <v>0</v>
      </c>
      <c r="R29" s="457" t="n">
        <f aca="false">+OCCMarkets!AS29</f>
        <v>0</v>
      </c>
      <c r="S29" s="457" t="n">
        <f aca="false">+OCCMarkets!AT29</f>
        <v>0</v>
      </c>
      <c r="T29" s="457" t="n">
        <f aca="false">+OCCMarkets!AU29</f>
        <v>0</v>
      </c>
      <c r="U29" s="457" t="n">
        <f aca="false">+OCCMarkets!AV29</f>
        <v>0</v>
      </c>
      <c r="V29" s="457" t="n">
        <f aca="false">+OCCMarkets!AW29</f>
        <v>0</v>
      </c>
      <c r="W29" s="458" t="n">
        <f aca="false">+OCCMarkets!AX29</f>
        <v>191.4</v>
      </c>
      <c r="X29" s="458" t="n">
        <f aca="false">+OCCMarkets!AY29</f>
        <v>0</v>
      </c>
      <c r="Y29" s="458" t="n">
        <f aca="false">+OCCMarkets!AZ29</f>
        <v>0</v>
      </c>
      <c r="Z29" s="458" t="n">
        <f aca="false">+OCCMarkets!BA29</f>
        <v>0</v>
      </c>
      <c r="AA29" s="458" t="n">
        <f aca="false">+OCCMarkets!BB29</f>
        <v>0</v>
      </c>
      <c r="AB29" s="458" t="n">
        <f aca="false">+OCCMarkets!BC29</f>
        <v>-191.4</v>
      </c>
      <c r="AC29" s="458" t="n">
        <f aca="false">+OCCMarkets!BD29</f>
        <v>1273.5</v>
      </c>
      <c r="AD29" s="459" t="n">
        <f aca="false">+OCCMarkets!BE29</f>
        <v>225.5</v>
      </c>
      <c r="AE29" s="459" t="n">
        <f aca="false">+OCCMarkets!BF29</f>
        <v>0</v>
      </c>
      <c r="AF29" s="459" t="n">
        <f aca="false">+OCCMarkets!BG29</f>
        <v>0</v>
      </c>
      <c r="AG29" s="459" t="n">
        <f aca="false">+OCCMarkets!BH29</f>
        <v>0</v>
      </c>
      <c r="AH29" s="459" t="n">
        <f aca="false">+OCCMarkets!BI29</f>
        <v>0</v>
      </c>
      <c r="AI29" s="459" t="n">
        <f aca="false">+OCCMarkets!BJ29</f>
        <v>-225.5</v>
      </c>
      <c r="AJ29" s="459" t="n">
        <f aca="false">+OCCMarkets!BK29</f>
        <v>1105.5</v>
      </c>
      <c r="AL29" s="419" t="n">
        <f aca="false">+B29+I29+P29+W29+AD29</f>
        <v>9834.5</v>
      </c>
      <c r="AM29" s="419" t="n">
        <f aca="false">+F29+M29+T29+AA29+AH29</f>
        <v>9891</v>
      </c>
      <c r="AN29" s="419" t="n">
        <f aca="false">+AM29-AL29</f>
        <v>56.5</v>
      </c>
      <c r="AO29" s="419" t="n">
        <f aca="false">+H29+O29+V29+AC29+AJ29</f>
        <v>49165.6</v>
      </c>
      <c r="BB29" s="427"/>
      <c r="BC29" s="427"/>
      <c r="BD29" s="427"/>
      <c r="BE29" s="427"/>
      <c r="BF29" s="427"/>
      <c r="BG29" s="427"/>
      <c r="BH29" s="427"/>
      <c r="BI29" s="427"/>
      <c r="BJ29" s="427"/>
      <c r="BK29" s="427"/>
      <c r="BL29" s="427"/>
      <c r="BM29" s="427"/>
      <c r="BN29" s="427"/>
      <c r="BO29" s="427"/>
      <c r="BP29" s="427"/>
      <c r="BQ29" s="427"/>
      <c r="BR29" s="427"/>
      <c r="BS29" s="427"/>
      <c r="BT29" s="427"/>
      <c r="BU29" s="427"/>
      <c r="BV29" s="427"/>
      <c r="BW29" s="427"/>
      <c r="BX29" s="427"/>
      <c r="BY29" s="427"/>
      <c r="BZ29" s="427"/>
      <c r="CA29" s="427"/>
      <c r="CB29" s="427"/>
      <c r="CC29" s="427"/>
      <c r="CD29" s="427"/>
      <c r="CE29" s="427"/>
      <c r="CF29" s="427"/>
      <c r="CG29" s="427"/>
      <c r="CH29" s="427"/>
      <c r="CI29" s="427"/>
      <c r="CJ29" s="427"/>
      <c r="CK29" s="427"/>
      <c r="CL29" s="427"/>
      <c r="CM29" s="427"/>
      <c r="CN29" s="427"/>
      <c r="CO29" s="427"/>
      <c r="CP29" s="427"/>
      <c r="CQ29" s="427"/>
      <c r="CR29" s="427"/>
      <c r="CS29" s="427"/>
      <c r="CT29" s="427"/>
      <c r="CU29" s="427"/>
      <c r="CV29" s="427"/>
      <c r="CW29" s="427"/>
      <c r="CX29" s="427"/>
      <c r="CY29" s="427"/>
      <c r="CZ29" s="427"/>
      <c r="DA29" s="427"/>
      <c r="DB29" s="427"/>
      <c r="DC29" s="427"/>
      <c r="DD29" s="427"/>
    </row>
    <row r="30" customFormat="false" ht="12.75" hidden="false" customHeight="false" outlineLevel="0" collapsed="false">
      <c r="A30" s="381" t="n">
        <f aca="false">+BaseloadMarkets!A30</f>
        <v>36732</v>
      </c>
      <c r="B30" s="456" t="n">
        <f aca="false">+OCCMarkets!AC30</f>
        <v>180.6</v>
      </c>
      <c r="C30" s="456" t="n">
        <f aca="false">+OCCMarkets!AD30</f>
        <v>0</v>
      </c>
      <c r="D30" s="456" t="n">
        <f aca="false">+OCCMarkets!AE30</f>
        <v>0</v>
      </c>
      <c r="E30" s="456" t="n">
        <f aca="false">+OCCMarkets!AF30</f>
        <v>0</v>
      </c>
      <c r="F30" s="456" t="n">
        <f aca="false">+OCCMarkets!AG30</f>
        <v>0</v>
      </c>
      <c r="G30" s="456" t="n">
        <f aca="false">+OCCMarkets!AH30</f>
        <v>-180.6</v>
      </c>
      <c r="H30" s="456" t="n">
        <f aca="false">+OCCMarkets!AI30</f>
        <v>235</v>
      </c>
      <c r="I30" s="423" t="n">
        <f aca="false">+OCCMarkets!AJ30</f>
        <v>9303.8</v>
      </c>
      <c r="J30" s="423" t="n">
        <f aca="false">+OCCMarkets!AK30</f>
        <v>3096</v>
      </c>
      <c r="K30" s="423" t="n">
        <f aca="false">+OCCMarkets!AL30</f>
        <v>4267</v>
      </c>
      <c r="L30" s="423" t="n">
        <f aca="false">+OCCMarkets!AM30</f>
        <v>0</v>
      </c>
      <c r="M30" s="423" t="n">
        <f aca="false">+OCCMarkets!AN30</f>
        <v>7363</v>
      </c>
      <c r="N30" s="423" t="n">
        <f aca="false">+OCCMarkets!AO30</f>
        <v>-1940.8</v>
      </c>
      <c r="O30" s="423" t="n">
        <f aca="false">+OCCMarkets!AP30</f>
        <v>44430.2</v>
      </c>
      <c r="P30" s="457" t="n">
        <f aca="false">+OCCMarkets!AQ30</f>
        <v>0</v>
      </c>
      <c r="Q30" s="457" t="n">
        <f aca="false">+OCCMarkets!AR30</f>
        <v>0</v>
      </c>
      <c r="R30" s="457" t="n">
        <f aca="false">+OCCMarkets!AS30</f>
        <v>0</v>
      </c>
      <c r="S30" s="457" t="n">
        <f aca="false">+OCCMarkets!AT30</f>
        <v>0</v>
      </c>
      <c r="T30" s="457" t="n">
        <f aca="false">+OCCMarkets!AU30</f>
        <v>0</v>
      </c>
      <c r="U30" s="457" t="n">
        <f aca="false">+OCCMarkets!AV30</f>
        <v>0</v>
      </c>
      <c r="V30" s="457" t="n">
        <f aca="false">+OCCMarkets!AW30</f>
        <v>0</v>
      </c>
      <c r="W30" s="458" t="n">
        <f aca="false">+OCCMarkets!AX30</f>
        <v>202.7</v>
      </c>
      <c r="X30" s="458" t="n">
        <f aca="false">+OCCMarkets!AY30</f>
        <v>0</v>
      </c>
      <c r="Y30" s="458" t="n">
        <f aca="false">+OCCMarkets!AZ30</f>
        <v>0</v>
      </c>
      <c r="Z30" s="458" t="n">
        <f aca="false">+OCCMarkets!BA30</f>
        <v>0</v>
      </c>
      <c r="AA30" s="458" t="n">
        <f aca="false">+OCCMarkets!BB30</f>
        <v>0</v>
      </c>
      <c r="AB30" s="458" t="n">
        <f aca="false">+OCCMarkets!BC30</f>
        <v>-202.7</v>
      </c>
      <c r="AC30" s="458" t="n">
        <f aca="false">+OCCMarkets!BD30</f>
        <v>1070.8</v>
      </c>
      <c r="AD30" s="459" t="n">
        <f aca="false">+OCCMarkets!BE30</f>
        <v>311.6</v>
      </c>
      <c r="AE30" s="459" t="n">
        <f aca="false">+OCCMarkets!BF30</f>
        <v>0</v>
      </c>
      <c r="AF30" s="459" t="n">
        <f aca="false">+OCCMarkets!BG30</f>
        <v>0</v>
      </c>
      <c r="AG30" s="459" t="n">
        <f aca="false">+OCCMarkets!BH30</f>
        <v>0</v>
      </c>
      <c r="AH30" s="459" t="n">
        <f aca="false">+OCCMarkets!BI30</f>
        <v>0</v>
      </c>
      <c r="AI30" s="459" t="n">
        <f aca="false">+OCCMarkets!BJ30</f>
        <v>-311.6</v>
      </c>
      <c r="AJ30" s="459" t="n">
        <f aca="false">+OCCMarkets!BK30</f>
        <v>793.9</v>
      </c>
      <c r="AL30" s="419" t="n">
        <f aca="false">+B30+I30+P30+W30+AD30</f>
        <v>9998.7</v>
      </c>
      <c r="AM30" s="419" t="n">
        <f aca="false">+F30+M30+T30+AA30+AH30</f>
        <v>7363</v>
      </c>
      <c r="AN30" s="419" t="n">
        <f aca="false">+AM30-AL30</f>
        <v>-2635.7</v>
      </c>
      <c r="AO30" s="419" t="n">
        <f aca="false">+H30+O30+V30+AC30+AJ30</f>
        <v>46529.9</v>
      </c>
      <c r="BB30" s="427"/>
      <c r="BC30" s="427"/>
      <c r="BD30" s="427"/>
      <c r="BE30" s="427"/>
      <c r="BF30" s="427"/>
      <c r="BG30" s="427"/>
      <c r="BH30" s="427"/>
      <c r="BI30" s="427"/>
      <c r="BJ30" s="427"/>
      <c r="BK30" s="427"/>
      <c r="BL30" s="427"/>
      <c r="BM30" s="427"/>
      <c r="BN30" s="427"/>
      <c r="BO30" s="427"/>
      <c r="BP30" s="427"/>
      <c r="BQ30" s="427"/>
      <c r="BR30" s="427"/>
      <c r="BS30" s="427"/>
      <c r="BT30" s="427"/>
      <c r="BU30" s="427"/>
      <c r="BV30" s="427"/>
      <c r="BW30" s="427"/>
      <c r="BX30" s="427"/>
      <c r="BY30" s="427"/>
      <c r="BZ30" s="427"/>
      <c r="CA30" s="427"/>
      <c r="CB30" s="427"/>
      <c r="CC30" s="427"/>
      <c r="CD30" s="427"/>
      <c r="CE30" s="427"/>
      <c r="CF30" s="427"/>
      <c r="CG30" s="427"/>
      <c r="CH30" s="427"/>
      <c r="CI30" s="427"/>
      <c r="CJ30" s="427"/>
      <c r="CK30" s="427"/>
      <c r="CL30" s="427"/>
      <c r="CM30" s="427"/>
      <c r="CN30" s="427"/>
      <c r="CO30" s="427"/>
      <c r="CP30" s="427"/>
      <c r="CQ30" s="427"/>
      <c r="CR30" s="427"/>
      <c r="CS30" s="427"/>
      <c r="CT30" s="427"/>
      <c r="CU30" s="427"/>
      <c r="CV30" s="427"/>
      <c r="CW30" s="427"/>
      <c r="CX30" s="427"/>
      <c r="CY30" s="427"/>
      <c r="CZ30" s="427"/>
      <c r="DA30" s="427"/>
      <c r="DB30" s="427"/>
      <c r="DC30" s="427"/>
      <c r="DD30" s="427"/>
    </row>
    <row r="31" customFormat="false" ht="12.75" hidden="false" customHeight="false" outlineLevel="0" collapsed="false">
      <c r="A31" s="381" t="n">
        <f aca="false">+BaseloadMarkets!A31</f>
        <v>36733</v>
      </c>
      <c r="B31" s="456" t="n">
        <f aca="false">+OCCMarkets!AC31</f>
        <v>189</v>
      </c>
      <c r="C31" s="456" t="n">
        <f aca="false">+OCCMarkets!AD31</f>
        <v>0</v>
      </c>
      <c r="D31" s="456" t="n">
        <f aca="false">+OCCMarkets!AE31</f>
        <v>0</v>
      </c>
      <c r="E31" s="456" t="n">
        <f aca="false">+OCCMarkets!AF31</f>
        <v>0</v>
      </c>
      <c r="F31" s="456" t="n">
        <f aca="false">+OCCMarkets!AG31</f>
        <v>0</v>
      </c>
      <c r="G31" s="456" t="n">
        <f aca="false">+OCCMarkets!AH31</f>
        <v>-189</v>
      </c>
      <c r="H31" s="456" t="n">
        <f aca="false">+OCCMarkets!AI31</f>
        <v>46</v>
      </c>
      <c r="I31" s="423" t="n">
        <f aca="false">+OCCMarkets!AJ31</f>
        <v>9267</v>
      </c>
      <c r="J31" s="423" t="n">
        <f aca="false">+OCCMarkets!AK31</f>
        <v>5434</v>
      </c>
      <c r="K31" s="423" t="n">
        <f aca="false">+OCCMarkets!AL31</f>
        <v>980</v>
      </c>
      <c r="L31" s="423" t="n">
        <f aca="false">+OCCMarkets!AM31</f>
        <v>0</v>
      </c>
      <c r="M31" s="423" t="n">
        <f aca="false">+OCCMarkets!AN31</f>
        <v>6414</v>
      </c>
      <c r="N31" s="423" t="n">
        <f aca="false">+OCCMarkets!AO31</f>
        <v>-2853</v>
      </c>
      <c r="O31" s="423" t="n">
        <f aca="false">+OCCMarkets!AP31</f>
        <v>41577.2</v>
      </c>
      <c r="P31" s="457" t="n">
        <f aca="false">+OCCMarkets!AQ31</f>
        <v>0</v>
      </c>
      <c r="Q31" s="457" t="n">
        <f aca="false">+OCCMarkets!AR31</f>
        <v>0</v>
      </c>
      <c r="R31" s="457" t="n">
        <f aca="false">+OCCMarkets!AS31</f>
        <v>0</v>
      </c>
      <c r="S31" s="457" t="n">
        <f aca="false">+OCCMarkets!AT31</f>
        <v>0</v>
      </c>
      <c r="T31" s="457" t="n">
        <f aca="false">+OCCMarkets!AU31</f>
        <v>0</v>
      </c>
      <c r="U31" s="457" t="n">
        <f aca="false">+OCCMarkets!AV31</f>
        <v>0</v>
      </c>
      <c r="V31" s="457" t="n">
        <f aca="false">+OCCMarkets!AW31</f>
        <v>0</v>
      </c>
      <c r="W31" s="458" t="n">
        <f aca="false">+OCCMarkets!AX31</f>
        <v>200</v>
      </c>
      <c r="X31" s="458" t="n">
        <f aca="false">+OCCMarkets!AY31</f>
        <v>0</v>
      </c>
      <c r="Y31" s="458" t="n">
        <f aca="false">+OCCMarkets!AZ31</f>
        <v>0</v>
      </c>
      <c r="Z31" s="458" t="n">
        <f aca="false">+OCCMarkets!BA31</f>
        <v>0</v>
      </c>
      <c r="AA31" s="458" t="n">
        <f aca="false">+OCCMarkets!BB31</f>
        <v>0</v>
      </c>
      <c r="AB31" s="458" t="n">
        <f aca="false">+OCCMarkets!BC31</f>
        <v>-200</v>
      </c>
      <c r="AC31" s="458" t="n">
        <f aca="false">+OCCMarkets!BD31</f>
        <v>870.8</v>
      </c>
      <c r="AD31" s="459" t="n">
        <f aca="false">+OCCMarkets!BE31</f>
        <v>303</v>
      </c>
      <c r="AE31" s="459" t="n">
        <f aca="false">+OCCMarkets!BF31</f>
        <v>0</v>
      </c>
      <c r="AF31" s="459" t="n">
        <f aca="false">+OCCMarkets!BG31</f>
        <v>0</v>
      </c>
      <c r="AG31" s="459" t="n">
        <f aca="false">+OCCMarkets!BH31</f>
        <v>0</v>
      </c>
      <c r="AH31" s="459" t="n">
        <f aca="false">+OCCMarkets!BI31</f>
        <v>0</v>
      </c>
      <c r="AI31" s="459" t="n">
        <f aca="false">+OCCMarkets!BJ31</f>
        <v>-303</v>
      </c>
      <c r="AJ31" s="459" t="n">
        <f aca="false">+OCCMarkets!BK31</f>
        <v>490.9</v>
      </c>
      <c r="AL31" s="419" t="n">
        <f aca="false">+B31+I31+P31+W31+AD31</f>
        <v>9959</v>
      </c>
      <c r="AM31" s="419" t="n">
        <f aca="false">+F31+M31+T31+AA31+AH31</f>
        <v>6414</v>
      </c>
      <c r="AN31" s="419" t="n">
        <f aca="false">+AM31-AL31</f>
        <v>-3545</v>
      </c>
      <c r="AO31" s="419" t="n">
        <f aca="false">+H31+O31+V31+AC31+AJ31</f>
        <v>42984.9</v>
      </c>
      <c r="BB31" s="427"/>
      <c r="BC31" s="427"/>
      <c r="BD31" s="427"/>
      <c r="BE31" s="427"/>
      <c r="BF31" s="427"/>
      <c r="BG31" s="427"/>
      <c r="BH31" s="427"/>
      <c r="BI31" s="427"/>
      <c r="BJ31" s="427"/>
      <c r="BK31" s="427"/>
      <c r="BL31" s="427"/>
      <c r="BM31" s="427"/>
      <c r="BN31" s="427"/>
      <c r="BO31" s="427"/>
      <c r="BP31" s="427"/>
      <c r="BQ31" s="427"/>
      <c r="BR31" s="427"/>
      <c r="BS31" s="427"/>
      <c r="BT31" s="427"/>
      <c r="BU31" s="427"/>
      <c r="BV31" s="427"/>
      <c r="BW31" s="427"/>
      <c r="BX31" s="427"/>
      <c r="BY31" s="427"/>
      <c r="BZ31" s="427"/>
      <c r="CA31" s="427"/>
      <c r="CB31" s="427"/>
      <c r="CC31" s="427"/>
      <c r="CD31" s="427"/>
      <c r="CE31" s="427"/>
      <c r="CF31" s="427"/>
      <c r="CG31" s="427"/>
      <c r="CH31" s="427"/>
      <c r="CI31" s="427"/>
      <c r="CJ31" s="427"/>
      <c r="CK31" s="427"/>
      <c r="CL31" s="427"/>
      <c r="CM31" s="427"/>
      <c r="CN31" s="427"/>
      <c r="CO31" s="427"/>
      <c r="CP31" s="427"/>
      <c r="CQ31" s="427"/>
      <c r="CR31" s="427"/>
      <c r="CS31" s="427"/>
      <c r="CT31" s="427"/>
      <c r="CU31" s="427"/>
      <c r="CV31" s="427"/>
      <c r="CW31" s="427"/>
      <c r="CX31" s="427"/>
      <c r="CY31" s="427"/>
      <c r="CZ31" s="427"/>
      <c r="DA31" s="427"/>
      <c r="DB31" s="427"/>
      <c r="DC31" s="427"/>
      <c r="DD31" s="427"/>
    </row>
    <row r="32" customFormat="false" ht="12.75" hidden="false" customHeight="false" outlineLevel="0" collapsed="false">
      <c r="A32" s="381" t="n">
        <f aca="false">+BaseloadMarkets!A32</f>
        <v>36734</v>
      </c>
      <c r="B32" s="456" t="n">
        <f aca="false">+OCCMarkets!AC32</f>
        <v>183</v>
      </c>
      <c r="C32" s="456" t="n">
        <f aca="false">+OCCMarkets!AD32</f>
        <v>0</v>
      </c>
      <c r="D32" s="456" t="n">
        <f aca="false">+OCCMarkets!AE32</f>
        <v>0</v>
      </c>
      <c r="E32" s="456" t="n">
        <f aca="false">+OCCMarkets!AF32</f>
        <v>0</v>
      </c>
      <c r="F32" s="456" t="n">
        <f aca="false">+OCCMarkets!AG32</f>
        <v>0</v>
      </c>
      <c r="G32" s="456" t="n">
        <f aca="false">+OCCMarkets!AH32</f>
        <v>-183</v>
      </c>
      <c r="H32" s="456" t="n">
        <f aca="false">+OCCMarkets!AI32</f>
        <v>-137</v>
      </c>
      <c r="I32" s="423" t="n">
        <f aca="false">+OCCMarkets!AJ32</f>
        <v>9338</v>
      </c>
      <c r="J32" s="423" t="n">
        <f aca="false">+OCCMarkets!AK32</f>
        <v>9338</v>
      </c>
      <c r="K32" s="423" t="n">
        <f aca="false">+OCCMarkets!AL32</f>
        <v>2784</v>
      </c>
      <c r="L32" s="423" t="n">
        <f aca="false">+OCCMarkets!AM32</f>
        <v>0</v>
      </c>
      <c r="M32" s="423" t="n">
        <f aca="false">+OCCMarkets!AN32</f>
        <v>12122</v>
      </c>
      <c r="N32" s="423" t="n">
        <f aca="false">+OCCMarkets!AO32</f>
        <v>2784</v>
      </c>
      <c r="O32" s="423" t="n">
        <f aca="false">+OCCMarkets!AP32</f>
        <v>44361.2</v>
      </c>
      <c r="P32" s="457" t="n">
        <f aca="false">+OCCMarkets!AQ32</f>
        <v>0</v>
      </c>
      <c r="Q32" s="457" t="n">
        <f aca="false">+OCCMarkets!AR32</f>
        <v>0</v>
      </c>
      <c r="R32" s="457" t="n">
        <f aca="false">+OCCMarkets!AS32</f>
        <v>0</v>
      </c>
      <c r="S32" s="457" t="n">
        <f aca="false">+OCCMarkets!AT32</f>
        <v>0</v>
      </c>
      <c r="T32" s="457" t="n">
        <f aca="false">+OCCMarkets!AU32</f>
        <v>0</v>
      </c>
      <c r="U32" s="457" t="n">
        <f aca="false">+OCCMarkets!AV32</f>
        <v>0</v>
      </c>
      <c r="V32" s="457" t="n">
        <f aca="false">+OCCMarkets!AW32</f>
        <v>0</v>
      </c>
      <c r="W32" s="458" t="n">
        <f aca="false">+OCCMarkets!AX32</f>
        <v>204</v>
      </c>
      <c r="X32" s="458" t="n">
        <f aca="false">+OCCMarkets!AY32</f>
        <v>0</v>
      </c>
      <c r="Y32" s="458" t="n">
        <f aca="false">+OCCMarkets!AZ32</f>
        <v>0</v>
      </c>
      <c r="Z32" s="458" t="n">
        <f aca="false">+OCCMarkets!BA32</f>
        <v>0</v>
      </c>
      <c r="AA32" s="458" t="n">
        <f aca="false">+OCCMarkets!BB32</f>
        <v>0</v>
      </c>
      <c r="AB32" s="458" t="n">
        <f aca="false">+OCCMarkets!BC32</f>
        <v>-204</v>
      </c>
      <c r="AC32" s="458" t="n">
        <f aca="false">+OCCMarkets!BD32</f>
        <v>666.8</v>
      </c>
      <c r="AD32" s="459" t="n">
        <f aca="false">+OCCMarkets!BE32</f>
        <v>287</v>
      </c>
      <c r="AE32" s="459" t="n">
        <f aca="false">+OCCMarkets!BF32</f>
        <v>0</v>
      </c>
      <c r="AF32" s="459" t="n">
        <f aca="false">+OCCMarkets!BG32</f>
        <v>0</v>
      </c>
      <c r="AG32" s="459" t="n">
        <f aca="false">+OCCMarkets!BH32</f>
        <v>0</v>
      </c>
      <c r="AH32" s="459" t="n">
        <f aca="false">+OCCMarkets!BI32</f>
        <v>0</v>
      </c>
      <c r="AI32" s="459" t="n">
        <f aca="false">+OCCMarkets!BJ32</f>
        <v>-287</v>
      </c>
      <c r="AJ32" s="459" t="n">
        <f aca="false">+OCCMarkets!BK32</f>
        <v>203.9</v>
      </c>
      <c r="AL32" s="419" t="n">
        <f aca="false">+B32+I32+P32+W32+AD32</f>
        <v>10012</v>
      </c>
      <c r="AM32" s="419" t="n">
        <f aca="false">+F32+M32+T32+AA32+AH32</f>
        <v>12122</v>
      </c>
      <c r="AN32" s="419" t="n">
        <f aca="false">+AM32-AL32</f>
        <v>2110</v>
      </c>
      <c r="AO32" s="419" t="n">
        <f aca="false">+H32+O32+V32+AC32+AJ32</f>
        <v>45094.9</v>
      </c>
      <c r="BB32" s="427"/>
      <c r="BC32" s="427"/>
      <c r="BD32" s="427"/>
      <c r="BE32" s="427"/>
      <c r="BF32" s="427"/>
      <c r="BG32" s="427"/>
      <c r="BH32" s="427"/>
      <c r="BI32" s="427"/>
      <c r="BJ32" s="427"/>
      <c r="BK32" s="427"/>
      <c r="BL32" s="427"/>
      <c r="BM32" s="427"/>
      <c r="BN32" s="427"/>
      <c r="BO32" s="427"/>
      <c r="BP32" s="427"/>
      <c r="BQ32" s="427"/>
      <c r="BR32" s="427"/>
      <c r="BS32" s="427"/>
      <c r="BT32" s="427"/>
      <c r="BU32" s="427"/>
      <c r="BV32" s="427"/>
      <c r="BW32" s="427"/>
      <c r="BX32" s="427"/>
      <c r="BY32" s="427"/>
      <c r="BZ32" s="427"/>
      <c r="CA32" s="427"/>
      <c r="CB32" s="427"/>
      <c r="CC32" s="427"/>
      <c r="CD32" s="427"/>
      <c r="CE32" s="427"/>
      <c r="CF32" s="427"/>
      <c r="CG32" s="427"/>
      <c r="CH32" s="427"/>
      <c r="CI32" s="427"/>
      <c r="CJ32" s="427"/>
      <c r="CK32" s="427"/>
      <c r="CL32" s="427"/>
      <c r="CM32" s="427"/>
      <c r="CN32" s="427"/>
      <c r="CO32" s="427"/>
      <c r="CP32" s="427"/>
      <c r="CQ32" s="427"/>
      <c r="CR32" s="427"/>
      <c r="CS32" s="427"/>
      <c r="CT32" s="427"/>
      <c r="CU32" s="427"/>
      <c r="CV32" s="427"/>
      <c r="CW32" s="427"/>
      <c r="CX32" s="427"/>
      <c r="CY32" s="427"/>
      <c r="CZ32" s="427"/>
      <c r="DA32" s="427"/>
      <c r="DB32" s="427"/>
      <c r="DC32" s="427"/>
      <c r="DD32" s="427"/>
    </row>
    <row r="33" customFormat="false" ht="12.75" hidden="false" customHeight="false" outlineLevel="0" collapsed="false">
      <c r="A33" s="381" t="n">
        <f aca="false">+BaseloadMarkets!A33</f>
        <v>36735</v>
      </c>
      <c r="B33" s="456" t="n">
        <f aca="false">+OCCMarkets!AC33</f>
        <v>194</v>
      </c>
      <c r="C33" s="456" t="n">
        <f aca="false">+OCCMarkets!AD33</f>
        <v>0</v>
      </c>
      <c r="D33" s="456" t="n">
        <f aca="false">+OCCMarkets!AE33</f>
        <v>0</v>
      </c>
      <c r="E33" s="456" t="n">
        <f aca="false">+OCCMarkets!AF33</f>
        <v>0</v>
      </c>
      <c r="F33" s="456" t="n">
        <f aca="false">+OCCMarkets!AG33</f>
        <v>0</v>
      </c>
      <c r="G33" s="456" t="n">
        <f aca="false">+OCCMarkets!AH33</f>
        <v>-194</v>
      </c>
      <c r="H33" s="456" t="n">
        <f aca="false">+OCCMarkets!AI33</f>
        <v>-331</v>
      </c>
      <c r="I33" s="423" t="n">
        <f aca="false">+OCCMarkets!AJ33</f>
        <v>9493</v>
      </c>
      <c r="J33" s="423" t="n">
        <f aca="false">+OCCMarkets!AK33</f>
        <v>11643</v>
      </c>
      <c r="K33" s="423" t="n">
        <f aca="false">+OCCMarkets!AL33</f>
        <v>11053</v>
      </c>
      <c r="L33" s="423" t="n">
        <f aca="false">+OCCMarkets!AM33</f>
        <v>0</v>
      </c>
      <c r="M33" s="423" t="n">
        <f aca="false">+OCCMarkets!AN33</f>
        <v>22696</v>
      </c>
      <c r="N33" s="423" t="n">
        <f aca="false">+OCCMarkets!AO33</f>
        <v>13203</v>
      </c>
      <c r="O33" s="423" t="n">
        <f aca="false">+OCCMarkets!AP33</f>
        <v>57564.2</v>
      </c>
      <c r="P33" s="457" t="n">
        <f aca="false">+OCCMarkets!AQ33</f>
        <v>0</v>
      </c>
      <c r="Q33" s="457" t="n">
        <f aca="false">+OCCMarkets!AR33</f>
        <v>0</v>
      </c>
      <c r="R33" s="457" t="n">
        <f aca="false">+OCCMarkets!AS33</f>
        <v>0</v>
      </c>
      <c r="S33" s="457" t="n">
        <f aca="false">+OCCMarkets!AT33</f>
        <v>0</v>
      </c>
      <c r="T33" s="457" t="n">
        <f aca="false">+OCCMarkets!AU33</f>
        <v>0</v>
      </c>
      <c r="U33" s="457" t="n">
        <f aca="false">+OCCMarkets!AV33</f>
        <v>0</v>
      </c>
      <c r="V33" s="457" t="n">
        <f aca="false">+OCCMarkets!AW33</f>
        <v>0</v>
      </c>
      <c r="W33" s="458" t="n">
        <f aca="false">+OCCMarkets!AX33</f>
        <v>198</v>
      </c>
      <c r="X33" s="458" t="n">
        <f aca="false">+OCCMarkets!AY33</f>
        <v>0</v>
      </c>
      <c r="Y33" s="458" t="n">
        <f aca="false">+OCCMarkets!AZ33</f>
        <v>0</v>
      </c>
      <c r="Z33" s="458" t="n">
        <f aca="false">+OCCMarkets!BA33</f>
        <v>0</v>
      </c>
      <c r="AA33" s="458" t="n">
        <f aca="false">+OCCMarkets!BB33</f>
        <v>0</v>
      </c>
      <c r="AB33" s="458" t="n">
        <f aca="false">+OCCMarkets!BC33</f>
        <v>-198</v>
      </c>
      <c r="AC33" s="458" t="n">
        <f aca="false">+OCCMarkets!BD33</f>
        <v>468.8</v>
      </c>
      <c r="AD33" s="459" t="n">
        <f aca="false">+OCCMarkets!BE33</f>
        <v>313</v>
      </c>
      <c r="AE33" s="459" t="n">
        <f aca="false">+OCCMarkets!BF33</f>
        <v>0</v>
      </c>
      <c r="AF33" s="459" t="n">
        <f aca="false">+OCCMarkets!BG33</f>
        <v>0</v>
      </c>
      <c r="AG33" s="459" t="n">
        <f aca="false">+OCCMarkets!BH33</f>
        <v>0</v>
      </c>
      <c r="AH33" s="459" t="n">
        <f aca="false">+OCCMarkets!BI33</f>
        <v>0</v>
      </c>
      <c r="AI33" s="459" t="n">
        <f aca="false">+OCCMarkets!BJ33</f>
        <v>-313</v>
      </c>
      <c r="AJ33" s="459" t="n">
        <f aca="false">+OCCMarkets!BK33</f>
        <v>-109.1</v>
      </c>
      <c r="AL33" s="419" t="n">
        <f aca="false">+B33+I33+P33+W33+AD33</f>
        <v>10198</v>
      </c>
      <c r="AM33" s="419" t="n">
        <f aca="false">+F33+M33+T33+AA33+AH33</f>
        <v>22696</v>
      </c>
      <c r="AN33" s="419" t="n">
        <f aca="false">+AM33-AL33</f>
        <v>12498</v>
      </c>
      <c r="AO33" s="419" t="n">
        <f aca="false">+H33+O33+V33+AC33+AJ33</f>
        <v>57592.9</v>
      </c>
      <c r="BB33" s="427"/>
      <c r="BC33" s="427"/>
      <c r="BD33" s="427"/>
      <c r="BE33" s="427"/>
      <c r="BF33" s="427"/>
      <c r="BG33" s="427"/>
      <c r="BH33" s="427"/>
      <c r="BI33" s="427"/>
      <c r="BJ33" s="427"/>
      <c r="BK33" s="427"/>
      <c r="BL33" s="427"/>
      <c r="BM33" s="427"/>
      <c r="BN33" s="427"/>
      <c r="BO33" s="427"/>
      <c r="BP33" s="427"/>
      <c r="BQ33" s="427"/>
      <c r="BR33" s="427"/>
      <c r="BS33" s="427"/>
      <c r="BT33" s="427"/>
      <c r="BU33" s="427"/>
      <c r="BV33" s="427"/>
      <c r="BW33" s="427"/>
      <c r="BX33" s="427"/>
      <c r="BY33" s="427"/>
      <c r="BZ33" s="427"/>
      <c r="CA33" s="427"/>
      <c r="CB33" s="427"/>
      <c r="CC33" s="427"/>
      <c r="CD33" s="427"/>
      <c r="CE33" s="427"/>
      <c r="CF33" s="427"/>
      <c r="CG33" s="427"/>
      <c r="CH33" s="427"/>
      <c r="CI33" s="427"/>
      <c r="CJ33" s="427"/>
      <c r="CK33" s="427"/>
      <c r="CL33" s="427"/>
      <c r="CM33" s="427"/>
      <c r="CN33" s="427"/>
      <c r="CO33" s="427"/>
      <c r="CP33" s="427"/>
      <c r="CQ33" s="427"/>
      <c r="CR33" s="427"/>
      <c r="CS33" s="427"/>
      <c r="CT33" s="427"/>
      <c r="CU33" s="427"/>
      <c r="CV33" s="427"/>
      <c r="CW33" s="427"/>
      <c r="CX33" s="427"/>
      <c r="CY33" s="427"/>
      <c r="CZ33" s="427"/>
      <c r="DA33" s="427"/>
      <c r="DB33" s="427"/>
      <c r="DC33" s="427"/>
      <c r="DD33" s="427"/>
    </row>
    <row r="34" customFormat="false" ht="12.75" hidden="false" customHeight="false" outlineLevel="0" collapsed="false">
      <c r="A34" s="381" t="n">
        <f aca="false">+BaseloadMarkets!A34</f>
        <v>36736</v>
      </c>
      <c r="B34" s="456" t="n">
        <f aca="false">+OCCMarkets!AC34</f>
        <v>158</v>
      </c>
      <c r="C34" s="456" t="n">
        <f aca="false">+OCCMarkets!AD34</f>
        <v>277</v>
      </c>
      <c r="D34" s="456" t="n">
        <f aca="false">+OCCMarkets!AE34</f>
        <v>541</v>
      </c>
      <c r="E34" s="456" t="n">
        <f aca="false">+OCCMarkets!AF34</f>
        <v>0</v>
      </c>
      <c r="F34" s="456" t="n">
        <f aca="false">+OCCMarkets!AG34</f>
        <v>818</v>
      </c>
      <c r="G34" s="456" t="n">
        <f aca="false">+OCCMarkets!AH34</f>
        <v>660</v>
      </c>
      <c r="H34" s="456" t="n">
        <f aca="false">+OCCMarkets!AI34</f>
        <v>329</v>
      </c>
      <c r="I34" s="423" t="n">
        <f aca="false">+OCCMarkets!AJ34</f>
        <v>9183</v>
      </c>
      <c r="J34" s="423" t="n">
        <f aca="false">+OCCMarkets!AK34</f>
        <v>0</v>
      </c>
      <c r="K34" s="423" t="n">
        <f aca="false">+OCCMarkets!AL34</f>
        <v>0</v>
      </c>
      <c r="L34" s="423" t="n">
        <f aca="false">+OCCMarkets!AM34</f>
        <v>0</v>
      </c>
      <c r="M34" s="423" t="n">
        <f aca="false">+OCCMarkets!AN34</f>
        <v>0</v>
      </c>
      <c r="N34" s="423" t="n">
        <f aca="false">+OCCMarkets!AO34</f>
        <v>-9183</v>
      </c>
      <c r="O34" s="423" t="n">
        <f aca="false">+OCCMarkets!AP34</f>
        <v>48381.2</v>
      </c>
      <c r="P34" s="457" t="n">
        <f aca="false">+OCCMarkets!AQ34</f>
        <v>0</v>
      </c>
      <c r="Q34" s="457" t="n">
        <f aca="false">+OCCMarkets!AR34</f>
        <v>0</v>
      </c>
      <c r="R34" s="457" t="n">
        <f aca="false">+OCCMarkets!AS34</f>
        <v>0</v>
      </c>
      <c r="S34" s="457" t="n">
        <f aca="false">+OCCMarkets!AT34</f>
        <v>0</v>
      </c>
      <c r="T34" s="457" t="n">
        <f aca="false">+OCCMarkets!AU34</f>
        <v>0</v>
      </c>
      <c r="U34" s="457" t="n">
        <f aca="false">+OCCMarkets!AV34</f>
        <v>0</v>
      </c>
      <c r="V34" s="457" t="n">
        <f aca="false">+OCCMarkets!AW34</f>
        <v>0</v>
      </c>
      <c r="W34" s="458" t="n">
        <f aca="false">+OCCMarkets!AX34</f>
        <v>26</v>
      </c>
      <c r="X34" s="458" t="n">
        <f aca="false">+OCCMarkets!AY34</f>
        <v>67</v>
      </c>
      <c r="Y34" s="458" t="n">
        <f aca="false">+OCCMarkets!AZ34</f>
        <v>541</v>
      </c>
      <c r="Z34" s="458" t="n">
        <f aca="false">+OCCMarkets!BA34</f>
        <v>0</v>
      </c>
      <c r="AA34" s="458" t="n">
        <f aca="false">+OCCMarkets!BB34</f>
        <v>608</v>
      </c>
      <c r="AB34" s="458" t="n">
        <f aca="false">+OCCMarkets!BC34</f>
        <v>582</v>
      </c>
      <c r="AC34" s="458" t="n">
        <f aca="false">+OCCMarkets!BD34</f>
        <v>1050.8</v>
      </c>
      <c r="AD34" s="459" t="n">
        <f aca="false">+OCCMarkets!BE34</f>
        <v>500</v>
      </c>
      <c r="AE34" s="459" t="n">
        <f aca="false">+OCCMarkets!BF34</f>
        <v>277</v>
      </c>
      <c r="AF34" s="459" t="n">
        <f aca="false">+OCCMarkets!BG34</f>
        <v>541</v>
      </c>
      <c r="AG34" s="459" t="n">
        <f aca="false">+OCCMarkets!BH34</f>
        <v>0</v>
      </c>
      <c r="AH34" s="459" t="n">
        <f aca="false">+OCCMarkets!BI34</f>
        <v>818</v>
      </c>
      <c r="AI34" s="459" t="n">
        <f aca="false">+OCCMarkets!BJ34</f>
        <v>318</v>
      </c>
      <c r="AJ34" s="459" t="n">
        <f aca="false">+OCCMarkets!BK34</f>
        <v>208.9</v>
      </c>
      <c r="AL34" s="419" t="n">
        <f aca="false">+B34+I34+P34+W34+AD34</f>
        <v>9867</v>
      </c>
      <c r="AM34" s="419" t="n">
        <f aca="false">+F34+M34+T34+AA34+AH34</f>
        <v>2244</v>
      </c>
      <c r="AN34" s="419" t="n">
        <f aca="false">+AM34-AL34</f>
        <v>-7623</v>
      </c>
      <c r="AO34" s="419" t="n">
        <f aca="false">+H34+O34+V34+AC34+AJ34</f>
        <v>49969.9</v>
      </c>
      <c r="BB34" s="427"/>
      <c r="BC34" s="427"/>
      <c r="BD34" s="427"/>
      <c r="BE34" s="427"/>
      <c r="BF34" s="427"/>
      <c r="BG34" s="427"/>
      <c r="BH34" s="427"/>
      <c r="BI34" s="427"/>
      <c r="BJ34" s="427"/>
      <c r="BK34" s="427"/>
      <c r="BL34" s="427"/>
      <c r="BM34" s="427"/>
      <c r="BN34" s="427"/>
      <c r="BO34" s="427"/>
      <c r="BP34" s="427"/>
      <c r="BQ34" s="427"/>
      <c r="BR34" s="427"/>
      <c r="BS34" s="427"/>
      <c r="BT34" s="427"/>
      <c r="BU34" s="427"/>
      <c r="BV34" s="427"/>
      <c r="BW34" s="427"/>
      <c r="BX34" s="427"/>
      <c r="BY34" s="427"/>
      <c r="BZ34" s="427"/>
      <c r="CA34" s="427"/>
      <c r="CB34" s="427"/>
      <c r="CC34" s="427"/>
      <c r="CD34" s="427"/>
      <c r="CE34" s="427"/>
      <c r="CF34" s="427"/>
      <c r="CG34" s="427"/>
      <c r="CH34" s="427"/>
      <c r="CI34" s="427"/>
      <c r="CJ34" s="427"/>
      <c r="CK34" s="427"/>
      <c r="CL34" s="427"/>
      <c r="CM34" s="427"/>
      <c r="CN34" s="427"/>
      <c r="CO34" s="427"/>
      <c r="CP34" s="427"/>
      <c r="CQ34" s="427"/>
      <c r="CR34" s="427"/>
      <c r="CS34" s="427"/>
      <c r="CT34" s="427"/>
      <c r="CU34" s="427"/>
      <c r="CV34" s="427"/>
      <c r="CW34" s="427"/>
      <c r="CX34" s="427"/>
      <c r="CY34" s="427"/>
      <c r="CZ34" s="427"/>
      <c r="DA34" s="427"/>
      <c r="DB34" s="427"/>
      <c r="DC34" s="427"/>
      <c r="DD34" s="427"/>
    </row>
    <row r="35" customFormat="false" ht="12.75" hidden="false" customHeight="false" outlineLevel="0" collapsed="false">
      <c r="A35" s="381" t="n">
        <f aca="false">+BaseloadMarkets!A35</f>
        <v>36737</v>
      </c>
      <c r="B35" s="456" t="n">
        <f aca="false">+OCCMarkets!AC35</f>
        <v>38</v>
      </c>
      <c r="C35" s="456" t="n">
        <f aca="false">+OCCMarkets!AD35</f>
        <v>296</v>
      </c>
      <c r="D35" s="456" t="n">
        <f aca="false">+OCCMarkets!AE35</f>
        <v>1000</v>
      </c>
      <c r="E35" s="456" t="n">
        <f aca="false">+OCCMarkets!AF35</f>
        <v>0</v>
      </c>
      <c r="F35" s="456" t="n">
        <f aca="false">+OCCMarkets!AG35</f>
        <v>1296</v>
      </c>
      <c r="G35" s="456" t="n">
        <f aca="false">+OCCMarkets!AH35</f>
        <v>1258</v>
      </c>
      <c r="H35" s="456" t="n">
        <f aca="false">+OCCMarkets!AI35</f>
        <v>1587</v>
      </c>
      <c r="I35" s="423" t="n">
        <f aca="false">+OCCMarkets!AJ35</f>
        <v>8858</v>
      </c>
      <c r="J35" s="423" t="n">
        <f aca="false">+OCCMarkets!AK35</f>
        <v>0</v>
      </c>
      <c r="K35" s="423" t="n">
        <f aca="false">+OCCMarkets!AL35</f>
        <v>5950</v>
      </c>
      <c r="L35" s="423" t="n">
        <f aca="false">+OCCMarkets!AM35</f>
        <v>0</v>
      </c>
      <c r="M35" s="423" t="n">
        <f aca="false">+OCCMarkets!AN35</f>
        <v>5950</v>
      </c>
      <c r="N35" s="423" t="n">
        <f aca="false">+OCCMarkets!AO35</f>
        <v>-2908</v>
      </c>
      <c r="O35" s="423" t="n">
        <f aca="false">+OCCMarkets!AP35</f>
        <v>45473.2</v>
      </c>
      <c r="P35" s="457" t="n">
        <f aca="false">+OCCMarkets!AQ35</f>
        <v>0</v>
      </c>
      <c r="Q35" s="457" t="n">
        <f aca="false">+OCCMarkets!AR35</f>
        <v>0</v>
      </c>
      <c r="R35" s="457" t="n">
        <f aca="false">+OCCMarkets!AS35</f>
        <v>0</v>
      </c>
      <c r="S35" s="457" t="n">
        <f aca="false">+OCCMarkets!AT35</f>
        <v>0</v>
      </c>
      <c r="T35" s="457" t="n">
        <f aca="false">+OCCMarkets!AU35</f>
        <v>0</v>
      </c>
      <c r="U35" s="457" t="n">
        <f aca="false">+OCCMarkets!AV35</f>
        <v>0</v>
      </c>
      <c r="V35" s="457" t="n">
        <f aca="false">+OCCMarkets!AW35</f>
        <v>0</v>
      </c>
      <c r="W35" s="458" t="n">
        <f aca="false">+OCCMarkets!AX35</f>
        <v>0</v>
      </c>
      <c r="X35" s="458" t="n">
        <f aca="false">+OCCMarkets!AY35</f>
        <v>71</v>
      </c>
      <c r="Y35" s="458" t="n">
        <f aca="false">+OCCMarkets!AZ35</f>
        <v>1000</v>
      </c>
      <c r="Z35" s="458" t="n">
        <f aca="false">+OCCMarkets!BA35</f>
        <v>0</v>
      </c>
      <c r="AA35" s="458" t="n">
        <f aca="false">+OCCMarkets!BB35</f>
        <v>1071</v>
      </c>
      <c r="AB35" s="458" t="n">
        <f aca="false">+OCCMarkets!BC35</f>
        <v>1071</v>
      </c>
      <c r="AC35" s="458" t="n">
        <f aca="false">+OCCMarkets!BD35</f>
        <v>2121.8</v>
      </c>
      <c r="AD35" s="459" t="n">
        <f aca="false">+OCCMarkets!BE35</f>
        <v>500</v>
      </c>
      <c r="AE35" s="459" t="n">
        <f aca="false">+OCCMarkets!BF35</f>
        <v>296</v>
      </c>
      <c r="AF35" s="459" t="n">
        <f aca="false">+OCCMarkets!BG35</f>
        <v>1000</v>
      </c>
      <c r="AG35" s="459" t="n">
        <f aca="false">+OCCMarkets!BH35</f>
        <v>0</v>
      </c>
      <c r="AH35" s="459" t="n">
        <f aca="false">+OCCMarkets!BI35</f>
        <v>1296</v>
      </c>
      <c r="AI35" s="459" t="n">
        <f aca="false">+OCCMarkets!BJ35</f>
        <v>796</v>
      </c>
      <c r="AJ35" s="459" t="n">
        <f aca="false">+OCCMarkets!BK35</f>
        <v>1004.9</v>
      </c>
      <c r="AL35" s="419" t="n">
        <f aca="false">+B35+I35+P35+W35+AD35</f>
        <v>9396</v>
      </c>
      <c r="AM35" s="419" t="n">
        <f aca="false">+F35+M35+T35+AA35+AH35</f>
        <v>9613</v>
      </c>
      <c r="AN35" s="419" t="n">
        <f aca="false">+AM35-AL35</f>
        <v>217</v>
      </c>
      <c r="AO35" s="419" t="n">
        <f aca="false">+H35+O35+V35+AC35+AJ35</f>
        <v>50186.9</v>
      </c>
      <c r="BB35" s="427"/>
      <c r="BC35" s="427"/>
      <c r="BD35" s="427"/>
      <c r="BE35" s="427"/>
      <c r="BF35" s="427"/>
      <c r="BG35" s="427"/>
      <c r="BH35" s="427"/>
      <c r="BI35" s="427"/>
      <c r="BJ35" s="427"/>
      <c r="BK35" s="427"/>
      <c r="BL35" s="427"/>
      <c r="BM35" s="427"/>
      <c r="BN35" s="427"/>
      <c r="BO35" s="427"/>
      <c r="BP35" s="427"/>
      <c r="BQ35" s="427"/>
      <c r="BR35" s="427"/>
      <c r="BS35" s="427"/>
      <c r="BT35" s="427"/>
      <c r="BU35" s="427"/>
      <c r="BV35" s="427"/>
      <c r="BW35" s="427"/>
      <c r="BX35" s="427"/>
      <c r="BY35" s="427"/>
      <c r="BZ35" s="427"/>
      <c r="CA35" s="427"/>
      <c r="CB35" s="427"/>
      <c r="CC35" s="427"/>
      <c r="CD35" s="427"/>
      <c r="CE35" s="427"/>
      <c r="CF35" s="427"/>
      <c r="CG35" s="427"/>
      <c r="CH35" s="427"/>
      <c r="CI35" s="427"/>
      <c r="CJ35" s="427"/>
      <c r="CK35" s="427"/>
      <c r="CL35" s="427"/>
      <c r="CM35" s="427"/>
      <c r="CN35" s="427"/>
      <c r="CO35" s="427"/>
      <c r="CP35" s="427"/>
      <c r="CQ35" s="427"/>
      <c r="CR35" s="427"/>
      <c r="CS35" s="427"/>
      <c r="CT35" s="427"/>
      <c r="CU35" s="427"/>
      <c r="CV35" s="427"/>
      <c r="CW35" s="427"/>
      <c r="CX35" s="427"/>
      <c r="CY35" s="427"/>
      <c r="CZ35" s="427"/>
      <c r="DA35" s="427"/>
      <c r="DB35" s="427"/>
      <c r="DC35" s="427"/>
      <c r="DD35" s="427"/>
    </row>
    <row r="36" customFormat="false" ht="12.75" hidden="false" customHeight="false" outlineLevel="0" collapsed="false">
      <c r="A36" s="381" t="n">
        <f aca="false">+BaseloadMarkets!A36</f>
        <v>36738</v>
      </c>
      <c r="B36" s="456" t="n">
        <f aca="false">+OCCMarkets!AC36</f>
        <v>81</v>
      </c>
      <c r="C36" s="456" t="n">
        <f aca="false">+OCCMarkets!AD36</f>
        <v>297</v>
      </c>
      <c r="D36" s="456" t="n">
        <f aca="false">+OCCMarkets!AE36</f>
        <v>1000</v>
      </c>
      <c r="E36" s="456" t="n">
        <f aca="false">+OCCMarkets!AF36</f>
        <v>0</v>
      </c>
      <c r="F36" s="456" t="n">
        <f aca="false">+OCCMarkets!AG36</f>
        <v>1297</v>
      </c>
      <c r="G36" s="456" t="n">
        <f aca="false">+OCCMarkets!AH36</f>
        <v>1216</v>
      </c>
      <c r="H36" s="456" t="n">
        <f aca="false">+OCCMarkets!AI36</f>
        <v>2803</v>
      </c>
      <c r="I36" s="423" t="n">
        <f aca="false">+OCCMarkets!AJ36</f>
        <v>9078</v>
      </c>
      <c r="J36" s="423" t="n">
        <f aca="false">+OCCMarkets!AK36</f>
        <v>0</v>
      </c>
      <c r="K36" s="423" t="n">
        <f aca="false">+OCCMarkets!AL36</f>
        <v>6603</v>
      </c>
      <c r="L36" s="423" t="n">
        <f aca="false">+OCCMarkets!AM36</f>
        <v>0</v>
      </c>
      <c r="M36" s="423" t="n">
        <f aca="false">+OCCMarkets!AN36</f>
        <v>6603</v>
      </c>
      <c r="N36" s="423" t="n">
        <f aca="false">+OCCMarkets!AO36</f>
        <v>-2475</v>
      </c>
      <c r="O36" s="423" t="n">
        <f aca="false">+OCCMarkets!AP36</f>
        <v>42998.2</v>
      </c>
      <c r="P36" s="457" t="n">
        <f aca="false">+OCCMarkets!AQ36</f>
        <v>0</v>
      </c>
      <c r="Q36" s="457" t="n">
        <f aca="false">+OCCMarkets!AR36</f>
        <v>0</v>
      </c>
      <c r="R36" s="457" t="n">
        <f aca="false">+OCCMarkets!AS36</f>
        <v>0</v>
      </c>
      <c r="S36" s="457" t="n">
        <f aca="false">+OCCMarkets!AT36</f>
        <v>0</v>
      </c>
      <c r="T36" s="457" t="n">
        <f aca="false">+OCCMarkets!AU36</f>
        <v>0</v>
      </c>
      <c r="U36" s="457" t="n">
        <f aca="false">+OCCMarkets!AV36</f>
        <v>0</v>
      </c>
      <c r="V36" s="457" t="n">
        <f aca="false">+OCCMarkets!AW36</f>
        <v>0</v>
      </c>
      <c r="W36" s="458" t="n">
        <f aca="false">+OCCMarkets!AX36</f>
        <v>118</v>
      </c>
      <c r="X36" s="458" t="n">
        <f aca="false">+OCCMarkets!AY36</f>
        <v>71</v>
      </c>
      <c r="Y36" s="458" t="n">
        <f aca="false">+OCCMarkets!AZ36</f>
        <v>1000</v>
      </c>
      <c r="Z36" s="458" t="n">
        <f aca="false">+OCCMarkets!BA36</f>
        <v>0</v>
      </c>
      <c r="AA36" s="458" t="n">
        <f aca="false">+OCCMarkets!BB36</f>
        <v>1071</v>
      </c>
      <c r="AB36" s="458" t="n">
        <f aca="false">+OCCMarkets!BC36</f>
        <v>953</v>
      </c>
      <c r="AC36" s="458" t="n">
        <f aca="false">+OCCMarkets!BD36</f>
        <v>3074.8</v>
      </c>
      <c r="AD36" s="459" t="n">
        <f aca="false">+OCCMarkets!BE36</f>
        <v>500</v>
      </c>
      <c r="AE36" s="459" t="n">
        <f aca="false">+OCCMarkets!BF36</f>
        <v>297</v>
      </c>
      <c r="AF36" s="459" t="n">
        <f aca="false">+OCCMarkets!BG36</f>
        <v>1000</v>
      </c>
      <c r="AG36" s="459" t="n">
        <f aca="false">+OCCMarkets!BH36</f>
        <v>0</v>
      </c>
      <c r="AH36" s="459" t="n">
        <f aca="false">+OCCMarkets!BI36</f>
        <v>1297</v>
      </c>
      <c r="AI36" s="459" t="n">
        <f aca="false">+OCCMarkets!BJ36</f>
        <v>797</v>
      </c>
      <c r="AJ36" s="459" t="n">
        <f aca="false">+OCCMarkets!BK36</f>
        <v>1801.9</v>
      </c>
      <c r="AL36" s="419" t="n">
        <f aca="false">+B36+I36+P36+W36+AD36</f>
        <v>9777</v>
      </c>
      <c r="AM36" s="419" t="n">
        <f aca="false">+F36+M36+T36+AA36+AH36</f>
        <v>10268</v>
      </c>
      <c r="AN36" s="419" t="n">
        <f aca="false">+AM36-AL36</f>
        <v>491</v>
      </c>
      <c r="AO36" s="419" t="n">
        <f aca="false">+H36+O36+V36+AC36+AJ36</f>
        <v>50677.9</v>
      </c>
      <c r="BB36" s="427"/>
      <c r="BC36" s="427"/>
      <c r="BD36" s="427"/>
      <c r="BE36" s="427"/>
      <c r="BF36" s="427"/>
      <c r="BG36" s="427"/>
      <c r="BH36" s="427"/>
      <c r="BI36" s="427"/>
      <c r="BJ36" s="427"/>
      <c r="BK36" s="427"/>
      <c r="BL36" s="427"/>
      <c r="BM36" s="427"/>
      <c r="BN36" s="427"/>
      <c r="BO36" s="427"/>
      <c r="BP36" s="427"/>
      <c r="BQ36" s="427"/>
      <c r="BR36" s="427"/>
      <c r="BS36" s="427"/>
      <c r="BT36" s="427"/>
      <c r="BU36" s="427"/>
      <c r="BV36" s="427"/>
      <c r="BW36" s="427"/>
      <c r="BX36" s="427"/>
      <c r="BY36" s="427"/>
      <c r="BZ36" s="427"/>
      <c r="CA36" s="427"/>
      <c r="CB36" s="427"/>
      <c r="CC36" s="427"/>
      <c r="CD36" s="427"/>
      <c r="CE36" s="427"/>
      <c r="CF36" s="427"/>
      <c r="CG36" s="427"/>
      <c r="CH36" s="427"/>
      <c r="CI36" s="427"/>
      <c r="CJ36" s="427"/>
      <c r="CK36" s="427"/>
      <c r="CL36" s="427"/>
      <c r="CM36" s="427"/>
      <c r="CN36" s="427"/>
      <c r="CO36" s="427"/>
      <c r="CP36" s="427"/>
      <c r="CQ36" s="427"/>
      <c r="CR36" s="427"/>
      <c r="CS36" s="427"/>
      <c r="CT36" s="427"/>
      <c r="CU36" s="427"/>
      <c r="CV36" s="427"/>
      <c r="CW36" s="427"/>
      <c r="CX36" s="427"/>
      <c r="CY36" s="427"/>
      <c r="CZ36" s="427"/>
      <c r="DA36" s="427"/>
      <c r="DB36" s="427"/>
      <c r="DC36" s="427"/>
      <c r="DD36" s="427"/>
    </row>
    <row r="37" customFormat="false" ht="13.5" hidden="false" customHeight="false" outlineLevel="0" collapsed="false">
      <c r="B37" s="460"/>
      <c r="C37" s="460"/>
      <c r="D37" s="460"/>
      <c r="E37" s="460"/>
      <c r="F37" s="460"/>
      <c r="G37" s="460"/>
      <c r="H37" s="460"/>
      <c r="I37" s="428"/>
      <c r="J37" s="428"/>
      <c r="K37" s="428"/>
      <c r="L37" s="428"/>
      <c r="M37" s="428"/>
      <c r="N37" s="428"/>
      <c r="O37" s="428"/>
      <c r="P37" s="457" t="n">
        <f aca="false">+OCCMarkets!AQ37</f>
        <v>0</v>
      </c>
      <c r="Q37" s="457" t="n">
        <f aca="false">+OCCMarkets!AR37</f>
        <v>0</v>
      </c>
      <c r="R37" s="457" t="n">
        <f aca="false">+OCCMarkets!AS37</f>
        <v>0</v>
      </c>
      <c r="S37" s="457" t="n">
        <f aca="false">+OCCMarkets!AT37</f>
        <v>0</v>
      </c>
      <c r="T37" s="457" t="n">
        <f aca="false">+OCCMarkets!AU37</f>
        <v>0</v>
      </c>
      <c r="U37" s="457" t="n">
        <f aca="false">+OCCMarkets!AV37</f>
        <v>0</v>
      </c>
      <c r="V37" s="457" t="n">
        <f aca="false">+OCCMarkets!AW37</f>
        <v>0</v>
      </c>
      <c r="W37" s="461"/>
      <c r="X37" s="461"/>
      <c r="Y37" s="461"/>
      <c r="Z37" s="461"/>
      <c r="AA37" s="461"/>
      <c r="AB37" s="461"/>
      <c r="AC37" s="461"/>
      <c r="AD37" s="462"/>
      <c r="AE37" s="462"/>
      <c r="AF37" s="462"/>
      <c r="AG37" s="462"/>
      <c r="AH37" s="462"/>
      <c r="AI37" s="462"/>
      <c r="AJ37" s="462"/>
    </row>
    <row r="38" customFormat="false" ht="13.5" hidden="false" customHeight="false" outlineLevel="0" collapsed="false">
      <c r="B38" s="463" t="n">
        <f aca="false">SUM(B6:B36)</f>
        <v>4250</v>
      </c>
      <c r="C38" s="463" t="n">
        <f aca="false">SUM(C6:C36)</f>
        <v>4512</v>
      </c>
      <c r="D38" s="463" t="n">
        <f aca="false">SUM(D6:D36)</f>
        <v>2541</v>
      </c>
      <c r="E38" s="463" t="n">
        <f aca="false">SUM(E6:E36)</f>
        <v>0</v>
      </c>
      <c r="F38" s="463" t="n">
        <f aca="false">SUM(F6:F36)</f>
        <v>7053</v>
      </c>
      <c r="G38" s="463" t="n">
        <f aca="false">SUM(G6:G36)</f>
        <v>2803</v>
      </c>
      <c r="H38" s="460"/>
      <c r="I38" s="429" t="n">
        <f aca="false">SUM(I6:I36)</f>
        <v>276982.8</v>
      </c>
      <c r="J38" s="429" t="n">
        <f aca="false">SUM(J6:J36)</f>
        <v>139393</v>
      </c>
      <c r="K38" s="429" t="n">
        <f aca="false">SUM(K6:K36)</f>
        <v>153144</v>
      </c>
      <c r="L38" s="429" t="n">
        <f aca="false">SUM(L6:L36)</f>
        <v>27444</v>
      </c>
      <c r="M38" s="429" t="n">
        <f aca="false">SUM(M6:M36)</f>
        <v>319981</v>
      </c>
      <c r="N38" s="429" t="n">
        <f aca="false">SUM(N6:N36)</f>
        <v>42998.2</v>
      </c>
      <c r="O38" s="428"/>
      <c r="P38" s="464" t="n">
        <f aca="false">SUM(P6:P36)</f>
        <v>0</v>
      </c>
      <c r="Q38" s="464" t="n">
        <f aca="false">SUM(Q6:Q36)</f>
        <v>0</v>
      </c>
      <c r="R38" s="464" t="n">
        <f aca="false">SUM(R6:R36)</f>
        <v>0</v>
      </c>
      <c r="S38" s="464" t="n">
        <f aca="false">SUM(S6:S36)</f>
        <v>0</v>
      </c>
      <c r="T38" s="464" t="n">
        <f aca="false">SUM(T6:T36)</f>
        <v>0</v>
      </c>
      <c r="U38" s="464" t="n">
        <f aca="false">SUM(U6:U36)</f>
        <v>0</v>
      </c>
      <c r="V38" s="465"/>
      <c r="W38" s="466" t="n">
        <f aca="false">SUM(W6:W36)</f>
        <v>3842.2</v>
      </c>
      <c r="X38" s="466" t="n">
        <f aca="false">SUM(X6:X36)</f>
        <v>4376</v>
      </c>
      <c r="Y38" s="466" t="n">
        <f aca="false">SUM(Y6:Y36)</f>
        <v>2541</v>
      </c>
      <c r="Z38" s="466" t="n">
        <f aca="false">SUM(Z6:Z36)</f>
        <v>0</v>
      </c>
      <c r="AA38" s="466" t="n">
        <f aca="false">SUM(AA6:AA36)</f>
        <v>6917</v>
      </c>
      <c r="AB38" s="466" t="n">
        <f aca="false">SUM(AB6:AB36)</f>
        <v>3074.8</v>
      </c>
      <c r="AC38" s="461"/>
      <c r="AD38" s="467" t="n">
        <f aca="false">SUM(AD6:AD36)</f>
        <v>7450.1</v>
      </c>
      <c r="AE38" s="467" t="n">
        <f aca="false">SUM(AE6:AE36)</f>
        <v>6711</v>
      </c>
      <c r="AF38" s="467" t="n">
        <f aca="false">SUM(AF6:AF36)</f>
        <v>2541</v>
      </c>
      <c r="AG38" s="467" t="n">
        <f aca="false">SUM(AG6:AG36)</f>
        <v>0</v>
      </c>
      <c r="AH38" s="467" t="n">
        <f aca="false">SUM(AH6:AH36)</f>
        <v>9252</v>
      </c>
      <c r="AI38" s="467" t="n">
        <f aca="false">SUM(AI6:AI36)</f>
        <v>1801.9</v>
      </c>
      <c r="AJ38" s="462"/>
      <c r="AL38" s="450" t="n">
        <f aca="false">SUM(AL6:AL36)</f>
        <v>292525.1</v>
      </c>
      <c r="AM38" s="450" t="n">
        <f aca="false">SUM(AM6:AM36)</f>
        <v>343203</v>
      </c>
      <c r="AN38" s="450" t="n">
        <f aca="false">SUM(AN6:AN36)</f>
        <v>50677.9</v>
      </c>
    </row>
    <row r="40" customFormat="false" ht="12.75" hidden="false" customHeight="false" outlineLevel="0" collapsed="false">
      <c r="A40" s="33" t="n">
        <v>1</v>
      </c>
      <c r="B40" s="419" t="n">
        <f aca="false">+A40+1</f>
        <v>2</v>
      </c>
      <c r="C40" s="419" t="n">
        <f aca="false">+B40+1</f>
        <v>3</v>
      </c>
      <c r="D40" s="419" t="n">
        <f aca="false">+C40+1</f>
        <v>4</v>
      </c>
      <c r="E40" s="419" t="n">
        <f aca="false">+D40+1</f>
        <v>5</v>
      </c>
      <c r="F40" s="419" t="n">
        <f aca="false">+E40+1</f>
        <v>6</v>
      </c>
      <c r="G40" s="419" t="n">
        <f aca="false">+F40+1</f>
        <v>7</v>
      </c>
      <c r="H40" s="419" t="n">
        <f aca="false">+G40+1</f>
        <v>8</v>
      </c>
      <c r="I40" s="419" t="n">
        <f aca="false">+H40+1</f>
        <v>9</v>
      </c>
      <c r="J40" s="419" t="n">
        <f aca="false">+I40+1</f>
        <v>10</v>
      </c>
      <c r="K40" s="419" t="n">
        <f aca="false">+J40+1</f>
        <v>11</v>
      </c>
      <c r="L40" s="419" t="n">
        <f aca="false">+K40+1</f>
        <v>12</v>
      </c>
      <c r="M40" s="419" t="n">
        <f aca="false">+L40+1</f>
        <v>13</v>
      </c>
      <c r="N40" s="419" t="n">
        <f aca="false">+M40+1</f>
        <v>14</v>
      </c>
      <c r="O40" s="419" t="n">
        <f aca="false">+N40+1</f>
        <v>15</v>
      </c>
      <c r="P40" s="419" t="n">
        <f aca="false">+O40+1</f>
        <v>16</v>
      </c>
      <c r="Q40" s="419" t="n">
        <f aca="false">+P40+1</f>
        <v>17</v>
      </c>
      <c r="R40" s="419" t="n">
        <f aca="false">+Q40+1</f>
        <v>18</v>
      </c>
      <c r="S40" s="419" t="n">
        <f aca="false">+R40+1</f>
        <v>19</v>
      </c>
      <c r="T40" s="419" t="n">
        <f aca="false">+S40+1</f>
        <v>20</v>
      </c>
      <c r="U40" s="419" t="n">
        <f aca="false">+T40+1</f>
        <v>21</v>
      </c>
      <c r="V40" s="419" t="n">
        <f aca="false">+U40+1</f>
        <v>22</v>
      </c>
      <c r="W40" s="419" t="n">
        <f aca="false">+V40+1</f>
        <v>23</v>
      </c>
      <c r="X40" s="419" t="n">
        <f aca="false">+W40+1</f>
        <v>24</v>
      </c>
      <c r="Y40" s="419" t="n">
        <f aca="false">+X40+1</f>
        <v>25</v>
      </c>
      <c r="Z40" s="419" t="n">
        <f aca="false">+Y40+1</f>
        <v>26</v>
      </c>
      <c r="AA40" s="419" t="n">
        <f aca="false">+Z40+1</f>
        <v>27</v>
      </c>
      <c r="AB40" s="419" t="n">
        <f aca="false">+AA40+1</f>
        <v>28</v>
      </c>
      <c r="AC40" s="419" t="n">
        <f aca="false">+AB40+1</f>
        <v>29</v>
      </c>
      <c r="AD40" s="419" t="n">
        <f aca="false">+AC40+1</f>
        <v>30</v>
      </c>
      <c r="AE40" s="419" t="n">
        <f aca="false">+AD40+1</f>
        <v>31</v>
      </c>
      <c r="AF40" s="419" t="n">
        <f aca="false">+AE40+1</f>
        <v>32</v>
      </c>
      <c r="AG40" s="419" t="n">
        <f aca="false">+AF40+1</f>
        <v>33</v>
      </c>
      <c r="AH40" s="419" t="n">
        <f aca="false">+AG40+1</f>
        <v>34</v>
      </c>
      <c r="AI40" s="419" t="n">
        <f aca="false">+AH40+1</f>
        <v>35</v>
      </c>
      <c r="AJ40" s="419" t="n">
        <f aca="false">+AI40+1</f>
        <v>36</v>
      </c>
      <c r="AK40" s="419" t="n">
        <f aca="false">+AJ40+1</f>
        <v>37</v>
      </c>
      <c r="AL40" s="419" t="n">
        <f aca="false">+AK40+1</f>
        <v>38</v>
      </c>
      <c r="AM40" s="419" t="n">
        <f aca="false">+AL40+1</f>
        <v>39</v>
      </c>
      <c r="AN40" s="419" t="n">
        <f aca="false">+AM40+1</f>
        <v>40</v>
      </c>
      <c r="AO40" s="419" t="n">
        <f aca="false">+AN40+1</f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5" topLeftCell="AU10" activePane="bottomRight" state="frozen"/>
      <selection pane="topLeft" activeCell="A1" activeCellId="0" sqref="A1"/>
      <selection pane="topRight" activeCell="AU1" activeCellId="0" sqref="AU1"/>
      <selection pane="bottomLeft" activeCell="A10" activeCellId="0" sqref="A10"/>
      <selection pane="bottomRight" activeCell="AW35" activeCellId="0" sqref="AW35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5" width="15.15"/>
    <col collapsed="false" customWidth="false" hidden="false" outlineLevel="0" max="2" min="2" style="46" width="15.15"/>
    <col collapsed="false" customWidth="true" hidden="false" outlineLevel="0" max="3" min="3" style="1" width="17.49"/>
    <col collapsed="false" customWidth="false" hidden="false" outlineLevel="0" max="5" min="4" style="3" width="15.15"/>
    <col collapsed="false" customWidth="true" hidden="false" outlineLevel="0" max="6" min="6" style="1" width="14.49"/>
    <col collapsed="false" customWidth="false" hidden="false" outlineLevel="0" max="8" min="7" style="3" width="15.15"/>
    <col collapsed="false" customWidth="true" hidden="false" outlineLevel="0" max="9" min="9" style="1" width="17.15"/>
    <col collapsed="false" customWidth="false" hidden="false" outlineLevel="0" max="11" min="10" style="3" width="15.15"/>
    <col collapsed="false" customWidth="true" hidden="false" outlineLevel="0" max="12" min="12" style="1" width="14.49"/>
    <col collapsed="false" customWidth="false" hidden="false" outlineLevel="0" max="14" min="13" style="3" width="15.15"/>
    <col collapsed="false" customWidth="true" hidden="false" outlineLevel="0" max="15" min="15" style="1" width="14.49"/>
    <col collapsed="false" customWidth="false" hidden="false" outlineLevel="0" max="17" min="16" style="3" width="15.15"/>
    <col collapsed="false" customWidth="true" hidden="false" outlineLevel="0" max="18" min="18" style="1" width="14.49"/>
    <col collapsed="false" customWidth="false" hidden="false" outlineLevel="0" max="20" min="19" style="3" width="15.15"/>
    <col collapsed="false" customWidth="true" hidden="false" outlineLevel="0" max="21" min="21" style="1" width="14.49"/>
    <col collapsed="false" customWidth="false" hidden="false" outlineLevel="0" max="23" min="22" style="3" width="15.15"/>
    <col collapsed="false" customWidth="true" hidden="false" outlineLevel="0" max="24" min="24" style="1" width="14.49"/>
    <col collapsed="false" customWidth="false" hidden="false" outlineLevel="0" max="26" min="25" style="3" width="15.15"/>
    <col collapsed="false" customWidth="true" hidden="false" outlineLevel="0" max="27" min="27" style="1" width="14.49"/>
    <col collapsed="false" customWidth="false" hidden="false" outlineLevel="0" max="29" min="28" style="3" width="15.15"/>
    <col collapsed="false" customWidth="true" hidden="false" outlineLevel="0" max="30" min="30" style="1" width="14.49"/>
    <col collapsed="false" customWidth="false" hidden="false" outlineLevel="0" max="32" min="31" style="3" width="15.15"/>
    <col collapsed="false" customWidth="true" hidden="false" outlineLevel="0" max="33" min="33" style="1" width="14.49"/>
    <col collapsed="false" customWidth="false" hidden="false" outlineLevel="0" max="35" min="34" style="3" width="15.15"/>
    <col collapsed="false" customWidth="true" hidden="false" outlineLevel="0" max="36" min="36" style="1" width="14.49"/>
    <col collapsed="false" customWidth="false" hidden="false" outlineLevel="0" max="38" min="37" style="3" width="15.15"/>
    <col collapsed="false" customWidth="true" hidden="false" outlineLevel="0" max="39" min="39" style="1" width="14.49"/>
    <col collapsed="false" customWidth="false" hidden="false" outlineLevel="0" max="41" min="40" style="3" width="15.15"/>
    <col collapsed="false" customWidth="true" hidden="false" outlineLevel="0" max="42" min="42" style="1" width="14.49"/>
    <col collapsed="false" customWidth="false" hidden="false" outlineLevel="0" max="44" min="43" style="3" width="15.15"/>
    <col collapsed="false" customWidth="true" hidden="false" outlineLevel="0" max="45" min="45" style="1" width="14.49"/>
    <col collapsed="false" customWidth="false" hidden="false" outlineLevel="0" max="47" min="46" style="3" width="15.15"/>
    <col collapsed="false" customWidth="true" hidden="false" outlineLevel="0" max="48" min="48" style="47" width="14.49"/>
    <col collapsed="false" customWidth="false" hidden="false" outlineLevel="0" max="49" min="49" style="48" width="15.15"/>
    <col collapsed="false" customWidth="false" hidden="false" outlineLevel="0" max="50" min="50" style="3" width="15.15"/>
    <col collapsed="false" customWidth="true" hidden="false" outlineLevel="0" max="51" min="51" style="1" width="14.49"/>
    <col collapsed="false" customWidth="false" hidden="false" outlineLevel="0" max="53" min="52" style="3" width="15.15"/>
    <col collapsed="false" customWidth="true" hidden="false" outlineLevel="0" max="54" min="54" style="1" width="14.49"/>
    <col collapsed="false" customWidth="false" hidden="false" outlineLevel="0" max="56" min="55" style="3" width="15.15"/>
    <col collapsed="false" customWidth="true" hidden="false" outlineLevel="0" max="57" min="57" style="1" width="14.49"/>
    <col collapsed="false" customWidth="false" hidden="false" outlineLevel="0" max="59" min="58" style="3" width="15.15"/>
    <col collapsed="false" customWidth="true" hidden="false" outlineLevel="0" max="60" min="60" style="1" width="14.49"/>
    <col collapsed="false" customWidth="false" hidden="false" outlineLevel="0" max="62" min="61" style="3" width="15.15"/>
    <col collapsed="false" customWidth="true" hidden="false" outlineLevel="0" max="63" min="63" style="1" width="14.49"/>
    <col collapsed="false" customWidth="false" hidden="false" outlineLevel="0" max="65" min="64" style="3" width="15.15"/>
    <col collapsed="false" customWidth="true" hidden="false" outlineLevel="0" max="66" min="66" style="1" width="14.49"/>
    <col collapsed="false" customWidth="false" hidden="false" outlineLevel="0" max="68" min="67" style="3" width="15.15"/>
    <col collapsed="false" customWidth="true" hidden="false" outlineLevel="0" max="69" min="69" style="1" width="14.49"/>
    <col collapsed="false" customWidth="false" hidden="false" outlineLevel="0" max="71" min="70" style="3" width="15.15"/>
    <col collapsed="false" customWidth="true" hidden="false" outlineLevel="0" max="72" min="72" style="1" width="14.49"/>
    <col collapsed="false" customWidth="false" hidden="false" outlineLevel="0" max="74" min="73" style="3" width="15.15"/>
    <col collapsed="false" customWidth="true" hidden="false" outlineLevel="0" max="75" min="75" style="1" width="14.49"/>
    <col collapsed="false" customWidth="false" hidden="false" outlineLevel="0" max="77" min="76" style="3" width="15.15"/>
    <col collapsed="false" customWidth="true" hidden="false" outlineLevel="0" max="78" min="78" style="1" width="14.49"/>
    <col collapsed="false" customWidth="false" hidden="false" outlineLevel="0" max="80" min="79" style="3" width="15.15"/>
    <col collapsed="false" customWidth="true" hidden="false" outlineLevel="0" max="81" min="81" style="1" width="14.49"/>
    <col collapsed="false" customWidth="false" hidden="false" outlineLevel="0" max="83" min="82" style="3" width="15.15"/>
    <col collapsed="false" customWidth="true" hidden="false" outlineLevel="0" max="84" min="84" style="1" width="14.49"/>
    <col collapsed="false" customWidth="false" hidden="false" outlineLevel="0" max="86" min="85" style="3" width="15.15"/>
    <col collapsed="false" customWidth="true" hidden="false" outlineLevel="0" max="87" min="87" style="1" width="14.49"/>
    <col collapsed="false" customWidth="false" hidden="false" outlineLevel="0" max="89" min="88" style="3" width="15.15"/>
    <col collapsed="false" customWidth="true" hidden="false" outlineLevel="0" max="90" min="90" style="1" width="14.49"/>
    <col collapsed="false" customWidth="false" hidden="false" outlineLevel="0" max="92" min="91" style="3" width="15.15"/>
    <col collapsed="false" customWidth="true" hidden="false" outlineLevel="0" max="93" min="93" style="1" width="14.49"/>
    <col collapsed="false" customWidth="false" hidden="false" outlineLevel="0" max="95" min="94" style="3" width="15.15"/>
    <col collapsed="false" customWidth="true" hidden="false" outlineLevel="0" max="96" min="96" style="1" width="14.49"/>
    <col collapsed="false" customWidth="false" hidden="false" outlineLevel="0" max="98" min="97" style="3" width="15.15"/>
    <col collapsed="false" customWidth="true" hidden="false" outlineLevel="0" max="99" min="99" style="1" width="14.49"/>
    <col collapsed="false" customWidth="false" hidden="false" outlineLevel="0" max="101" min="100" style="3" width="15.15"/>
    <col collapsed="false" customWidth="true" hidden="false" outlineLevel="0" max="102" min="102" style="1" width="14.49"/>
    <col collapsed="false" customWidth="false" hidden="false" outlineLevel="0" max="104" min="103" style="3" width="15.15"/>
    <col collapsed="false" customWidth="true" hidden="false" outlineLevel="0" max="105" min="105" style="1" width="14.49"/>
    <col collapsed="false" customWidth="false" hidden="false" outlineLevel="0" max="107" min="106" style="3" width="15.15"/>
    <col collapsed="false" customWidth="true" hidden="false" outlineLevel="0" max="108" min="108" style="1" width="14.49"/>
    <col collapsed="false" customWidth="false" hidden="false" outlineLevel="0" max="110" min="109" style="3" width="15.15"/>
    <col collapsed="false" customWidth="true" hidden="false" outlineLevel="0" max="111" min="111" style="1" width="14.49"/>
    <col collapsed="false" customWidth="false" hidden="false" outlineLevel="0" max="113" min="112" style="3" width="15.15"/>
    <col collapsed="false" customWidth="true" hidden="false" outlineLevel="0" max="114" min="114" style="1" width="14.49"/>
    <col collapsed="false" customWidth="false" hidden="false" outlineLevel="0" max="116" min="115" style="3" width="15.15"/>
    <col collapsed="false" customWidth="true" hidden="false" outlineLevel="0" max="117" min="117" style="1" width="14.49"/>
    <col collapsed="false" customWidth="false" hidden="false" outlineLevel="0" max="119" min="118" style="3" width="15.15"/>
    <col collapsed="false" customWidth="true" hidden="false" outlineLevel="0" max="120" min="120" style="1" width="14.49"/>
    <col collapsed="false" customWidth="false" hidden="false" outlineLevel="0" max="122" min="121" style="3" width="15.15"/>
    <col collapsed="false" customWidth="false" hidden="false" outlineLevel="0" max="123" min="123" style="49" width="15.15"/>
    <col collapsed="false" customWidth="false" hidden="false" outlineLevel="0" max="126" min="124" style="44" width="15.15"/>
    <col collapsed="false" customWidth="false" hidden="false" outlineLevel="0" max="128" min="127" style="3" width="15.15"/>
    <col collapsed="false" customWidth="false" hidden="false" outlineLevel="0" max="129" min="129" style="49" width="15.15"/>
    <col collapsed="false" customWidth="false" hidden="false" outlineLevel="0" max="141" min="130" style="3" width="15.15"/>
    <col collapsed="false" customWidth="false" hidden="false" outlineLevel="0" max="149" min="142" style="50" width="15.15"/>
    <col collapsed="false" customWidth="false" hidden="false" outlineLevel="0" max="171" min="150" style="51" width="15.15"/>
    <col collapsed="false" customWidth="false" hidden="false" outlineLevel="0" max="178" min="172" style="52" width="15.15"/>
    <col collapsed="false" customWidth="false" hidden="false" outlineLevel="0" max="257" min="179" style="1" width="15.15"/>
  </cols>
  <sheetData>
    <row r="1" customFormat="false" ht="15.75" hidden="false" customHeight="false" outlineLevel="0" collapsed="false">
      <c r="A1" s="53" t="s">
        <v>64</v>
      </c>
      <c r="B1" s="54" t="n">
        <f aca="false">+BaseloadMarkets!B1</f>
        <v>36708</v>
      </c>
      <c r="C1" s="5" t="s">
        <v>65</v>
      </c>
      <c r="D1" s="55"/>
      <c r="E1" s="55"/>
      <c r="F1" s="5" t="n">
        <v>5.04</v>
      </c>
      <c r="G1" s="55"/>
      <c r="H1" s="55"/>
      <c r="I1" s="5" t="n">
        <v>5.02</v>
      </c>
      <c r="J1" s="55"/>
      <c r="K1" s="55"/>
      <c r="L1" s="5"/>
      <c r="M1" s="55"/>
      <c r="N1" s="55"/>
      <c r="O1" s="5"/>
      <c r="P1" s="55"/>
      <c r="Q1" s="55"/>
      <c r="R1" s="5"/>
      <c r="S1" s="55"/>
      <c r="T1" s="55"/>
      <c r="U1" s="5"/>
      <c r="V1" s="55"/>
      <c r="W1" s="55"/>
      <c r="X1" s="5"/>
      <c r="Y1" s="55"/>
      <c r="Z1" s="55"/>
      <c r="AA1" s="5"/>
      <c r="AB1" s="55"/>
      <c r="AC1" s="55"/>
      <c r="AD1" s="5"/>
      <c r="AE1" s="55"/>
      <c r="AF1" s="55"/>
      <c r="AG1" s="5"/>
      <c r="AH1" s="55"/>
      <c r="AI1" s="55"/>
      <c r="AJ1" s="5"/>
      <c r="AK1" s="55"/>
      <c r="AL1" s="55"/>
      <c r="AM1" s="5"/>
      <c r="AN1" s="55"/>
      <c r="AO1" s="55"/>
      <c r="AP1" s="5"/>
      <c r="AQ1" s="55"/>
      <c r="AR1" s="55"/>
      <c r="AS1" s="5"/>
      <c r="AT1" s="55"/>
      <c r="AU1" s="55"/>
      <c r="AV1" s="56"/>
      <c r="AW1" s="57"/>
      <c r="AX1" s="55"/>
      <c r="AY1" s="6"/>
      <c r="AZ1" s="55"/>
      <c r="BA1" s="55"/>
      <c r="BB1" s="6"/>
      <c r="BC1" s="55"/>
      <c r="BD1" s="55"/>
      <c r="BE1" s="6"/>
      <c r="BF1" s="55"/>
      <c r="BG1" s="55"/>
      <c r="BH1" s="6"/>
      <c r="BI1" s="55"/>
      <c r="BJ1" s="55"/>
      <c r="BK1" s="6"/>
      <c r="BL1" s="55"/>
      <c r="BM1" s="55"/>
      <c r="BN1" s="6"/>
      <c r="BO1" s="55"/>
      <c r="BP1" s="55"/>
      <c r="BQ1" s="6"/>
      <c r="BR1" s="55"/>
      <c r="BS1" s="55"/>
      <c r="BT1" s="6"/>
      <c r="BU1" s="55"/>
      <c r="BV1" s="55"/>
      <c r="BW1" s="6"/>
      <c r="BX1" s="55"/>
      <c r="BY1" s="55"/>
      <c r="BZ1" s="6"/>
      <c r="CA1" s="55"/>
      <c r="CB1" s="55"/>
      <c r="CC1" s="6"/>
      <c r="CD1" s="55"/>
      <c r="CE1" s="55"/>
      <c r="CF1" s="6"/>
      <c r="CG1" s="55"/>
      <c r="CH1" s="55"/>
      <c r="CI1" s="6"/>
      <c r="CJ1" s="55"/>
      <c r="CK1" s="55"/>
      <c r="CL1" s="6"/>
      <c r="CM1" s="55"/>
      <c r="CN1" s="55"/>
      <c r="CO1" s="6"/>
      <c r="CP1" s="55"/>
      <c r="CQ1" s="55"/>
      <c r="CR1" s="6"/>
      <c r="CS1" s="55"/>
      <c r="CT1" s="55"/>
      <c r="CU1" s="6"/>
      <c r="CV1" s="55"/>
      <c r="CW1" s="55"/>
      <c r="CX1" s="6"/>
      <c r="CY1" s="55"/>
      <c r="CZ1" s="55"/>
      <c r="DA1" s="6"/>
      <c r="DB1" s="55"/>
      <c r="DC1" s="55"/>
      <c r="DD1" s="6"/>
      <c r="DE1" s="55"/>
      <c r="DF1" s="55"/>
      <c r="DG1" s="6"/>
      <c r="DH1" s="55"/>
      <c r="DI1" s="55"/>
      <c r="DJ1" s="6"/>
      <c r="DK1" s="55"/>
      <c r="DL1" s="55"/>
      <c r="DM1" s="6"/>
      <c r="DN1" s="55"/>
      <c r="DO1" s="55"/>
      <c r="DP1" s="6"/>
      <c r="DQ1" s="55"/>
      <c r="DR1" s="55"/>
      <c r="DS1" s="58"/>
      <c r="DT1" s="58"/>
      <c r="DU1" s="58"/>
      <c r="DV1" s="58"/>
      <c r="DW1" s="55"/>
      <c r="DX1" s="55"/>
      <c r="DY1" s="59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12.75" hidden="false" customHeight="true" outlineLevel="0" collapsed="false">
      <c r="A2" s="10" t="s">
        <v>40</v>
      </c>
      <c r="B2" s="10"/>
      <c r="C2" s="11" t="n">
        <v>299022</v>
      </c>
      <c r="D2" s="13"/>
      <c r="E2" s="13"/>
      <c r="F2" s="11" t="n">
        <v>314512</v>
      </c>
      <c r="G2" s="13"/>
      <c r="H2" s="13"/>
      <c r="I2" s="11" t="s">
        <v>66</v>
      </c>
      <c r="J2" s="13"/>
      <c r="K2" s="13"/>
      <c r="L2" s="11"/>
      <c r="M2" s="13"/>
      <c r="N2" s="13"/>
      <c r="O2" s="11"/>
      <c r="P2" s="13"/>
      <c r="Q2" s="13"/>
      <c r="R2" s="11"/>
      <c r="S2" s="13"/>
      <c r="T2" s="13"/>
      <c r="U2" s="11"/>
      <c r="V2" s="13"/>
      <c r="W2" s="13"/>
      <c r="X2" s="11"/>
      <c r="Y2" s="13"/>
      <c r="Z2" s="13"/>
      <c r="AA2" s="11"/>
      <c r="AB2" s="13"/>
      <c r="AC2" s="13"/>
      <c r="AD2" s="11"/>
      <c r="AE2" s="13"/>
      <c r="AF2" s="13"/>
      <c r="AG2" s="11"/>
      <c r="AH2" s="13"/>
      <c r="AI2" s="13"/>
      <c r="AJ2" s="11"/>
      <c r="AK2" s="13"/>
      <c r="AL2" s="13"/>
      <c r="AM2" s="11"/>
      <c r="AN2" s="13"/>
      <c r="AO2" s="13"/>
      <c r="AP2" s="11"/>
      <c r="AQ2" s="13"/>
      <c r="AR2" s="13"/>
      <c r="AS2" s="11"/>
      <c r="AT2" s="13"/>
      <c r="AU2" s="13"/>
      <c r="AV2" s="61" t="s">
        <v>67</v>
      </c>
      <c r="AW2" s="62"/>
      <c r="AX2" s="13"/>
      <c r="AY2" s="11"/>
      <c r="AZ2" s="13"/>
      <c r="BA2" s="13"/>
      <c r="BB2" s="11"/>
      <c r="BC2" s="13"/>
      <c r="BD2" s="13"/>
      <c r="BE2" s="11"/>
      <c r="BF2" s="13"/>
      <c r="BG2" s="13"/>
      <c r="BH2" s="11"/>
      <c r="BI2" s="13"/>
      <c r="BJ2" s="13"/>
      <c r="BK2" s="11"/>
      <c r="BL2" s="13"/>
      <c r="BM2" s="13"/>
      <c r="BN2" s="11"/>
      <c r="BO2" s="13"/>
      <c r="BP2" s="13"/>
      <c r="BQ2" s="11"/>
      <c r="BR2" s="13"/>
      <c r="BS2" s="13"/>
      <c r="BT2" s="11"/>
      <c r="BU2" s="13"/>
      <c r="BV2" s="13"/>
      <c r="BW2" s="11"/>
      <c r="BX2" s="13"/>
      <c r="BY2" s="13"/>
      <c r="BZ2" s="11"/>
      <c r="CA2" s="13"/>
      <c r="CB2" s="13"/>
      <c r="CC2" s="11"/>
      <c r="CD2" s="13"/>
      <c r="CE2" s="13"/>
      <c r="CF2" s="11"/>
      <c r="CG2" s="13"/>
      <c r="CH2" s="13"/>
      <c r="CI2" s="11"/>
      <c r="CJ2" s="13"/>
      <c r="CK2" s="13"/>
      <c r="CL2" s="11"/>
      <c r="CM2" s="13"/>
      <c r="CN2" s="13"/>
      <c r="CO2" s="11"/>
      <c r="CP2" s="13"/>
      <c r="CQ2" s="13"/>
      <c r="CR2" s="11"/>
      <c r="CS2" s="13"/>
      <c r="CT2" s="13"/>
      <c r="CU2" s="11"/>
      <c r="CV2" s="13"/>
      <c r="CW2" s="13"/>
      <c r="CX2" s="11"/>
      <c r="CY2" s="13"/>
      <c r="CZ2" s="13"/>
      <c r="DA2" s="11"/>
      <c r="DB2" s="13"/>
      <c r="DC2" s="13"/>
      <c r="DD2" s="11"/>
      <c r="DE2" s="13"/>
      <c r="DF2" s="13"/>
      <c r="DG2" s="11"/>
      <c r="DH2" s="13"/>
      <c r="DI2" s="13"/>
      <c r="DJ2" s="11"/>
      <c r="DK2" s="13"/>
      <c r="DL2" s="13"/>
      <c r="DM2" s="11"/>
      <c r="DN2" s="13"/>
      <c r="DO2" s="13"/>
      <c r="DP2" s="11"/>
      <c r="DQ2" s="13"/>
      <c r="DR2" s="13"/>
      <c r="DS2" s="63"/>
      <c r="DT2" s="4"/>
      <c r="DU2" s="4"/>
      <c r="DV2" s="64"/>
      <c r="DW2" s="13"/>
      <c r="DX2" s="13" t="s">
        <v>45</v>
      </c>
      <c r="DY2" s="13" t="s">
        <v>45</v>
      </c>
      <c r="DZ2" s="13" t="s">
        <v>68</v>
      </c>
      <c r="EA2" s="13" t="s">
        <v>69</v>
      </c>
      <c r="EB2" s="13"/>
      <c r="EC2" s="13" t="s">
        <v>68</v>
      </c>
      <c r="ED2" s="13" t="s">
        <v>69</v>
      </c>
      <c r="EE2" s="13"/>
      <c r="EF2" s="13"/>
      <c r="EG2" s="13"/>
      <c r="EH2" s="13"/>
      <c r="EI2" s="13"/>
      <c r="EJ2" s="13"/>
      <c r="EK2" s="13"/>
      <c r="EL2" s="65"/>
      <c r="EM2" s="65"/>
      <c r="EN2" s="65"/>
      <c r="EO2" s="65"/>
      <c r="EP2" s="65"/>
      <c r="EQ2" s="65"/>
      <c r="ER2" s="65"/>
      <c r="ES2" s="65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7"/>
      <c r="FQ2" s="67"/>
      <c r="FR2" s="67"/>
      <c r="FS2" s="67"/>
      <c r="FT2" s="67"/>
      <c r="FU2" s="67"/>
      <c r="FV2" s="67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15"/>
      <c r="B3" s="15"/>
      <c r="C3" s="16" t="s">
        <v>70</v>
      </c>
      <c r="D3" s="19"/>
      <c r="E3" s="19"/>
      <c r="F3" s="16" t="s">
        <v>70</v>
      </c>
      <c r="G3" s="19"/>
      <c r="H3" s="19"/>
      <c r="I3" s="16" t="s">
        <v>70</v>
      </c>
      <c r="J3" s="19"/>
      <c r="K3" s="19"/>
      <c r="L3" s="16"/>
      <c r="M3" s="19"/>
      <c r="N3" s="19"/>
      <c r="O3" s="16"/>
      <c r="P3" s="19"/>
      <c r="Q3" s="19"/>
      <c r="R3" s="16"/>
      <c r="S3" s="19"/>
      <c r="T3" s="19"/>
      <c r="U3" s="16"/>
      <c r="V3" s="19"/>
      <c r="W3" s="19"/>
      <c r="X3" s="16"/>
      <c r="Y3" s="19"/>
      <c r="Z3" s="19"/>
      <c r="AA3" s="16"/>
      <c r="AB3" s="19"/>
      <c r="AC3" s="19"/>
      <c r="AD3" s="16"/>
      <c r="AE3" s="19"/>
      <c r="AF3" s="19"/>
      <c r="AG3" s="16"/>
      <c r="AH3" s="19"/>
      <c r="AI3" s="19"/>
      <c r="AJ3" s="16"/>
      <c r="AK3" s="19"/>
      <c r="AL3" s="19"/>
      <c r="AM3" s="16"/>
      <c r="AN3" s="19"/>
      <c r="AO3" s="19"/>
      <c r="AP3" s="16"/>
      <c r="AQ3" s="19"/>
      <c r="AR3" s="19"/>
      <c r="AS3" s="16"/>
      <c r="AT3" s="19"/>
      <c r="AU3" s="19"/>
      <c r="AV3" s="68" t="s">
        <v>37</v>
      </c>
      <c r="AW3" s="69"/>
      <c r="AX3" s="19"/>
      <c r="AY3" s="16"/>
      <c r="AZ3" s="19"/>
      <c r="BA3" s="19"/>
      <c r="BB3" s="16"/>
      <c r="BC3" s="19"/>
      <c r="BD3" s="19"/>
      <c r="BE3" s="16"/>
      <c r="BF3" s="19"/>
      <c r="BG3" s="19"/>
      <c r="BH3" s="16"/>
      <c r="BI3" s="19"/>
      <c r="BJ3" s="19"/>
      <c r="BK3" s="16"/>
      <c r="BL3" s="19"/>
      <c r="BM3" s="19"/>
      <c r="BN3" s="16"/>
      <c r="BO3" s="19"/>
      <c r="BP3" s="19"/>
      <c r="BQ3" s="16"/>
      <c r="BR3" s="19"/>
      <c r="BS3" s="19"/>
      <c r="BT3" s="16"/>
      <c r="BU3" s="19"/>
      <c r="BV3" s="19"/>
      <c r="BW3" s="16"/>
      <c r="BX3" s="19"/>
      <c r="BY3" s="19"/>
      <c r="BZ3" s="16"/>
      <c r="CA3" s="19"/>
      <c r="CB3" s="19"/>
      <c r="CC3" s="16"/>
      <c r="CD3" s="19"/>
      <c r="CE3" s="19"/>
      <c r="CF3" s="16"/>
      <c r="CG3" s="19"/>
      <c r="CH3" s="19"/>
      <c r="CI3" s="16"/>
      <c r="CJ3" s="19"/>
      <c r="CK3" s="19"/>
      <c r="CL3" s="16"/>
      <c r="CM3" s="19"/>
      <c r="CN3" s="19"/>
      <c r="CO3" s="16"/>
      <c r="CP3" s="19"/>
      <c r="CQ3" s="19"/>
      <c r="CR3" s="16"/>
      <c r="CS3" s="19"/>
      <c r="CT3" s="19"/>
      <c r="CU3" s="16"/>
      <c r="CV3" s="19"/>
      <c r="CW3" s="19"/>
      <c r="CX3" s="16"/>
      <c r="CY3" s="19"/>
      <c r="CZ3" s="19"/>
      <c r="DA3" s="16"/>
      <c r="DB3" s="19"/>
      <c r="DC3" s="19"/>
      <c r="DD3" s="16"/>
      <c r="DE3" s="19"/>
      <c r="DF3" s="19"/>
      <c r="DG3" s="16"/>
      <c r="DH3" s="19"/>
      <c r="DI3" s="19"/>
      <c r="DJ3" s="16"/>
      <c r="DK3" s="19"/>
      <c r="DL3" s="19"/>
      <c r="DM3" s="16"/>
      <c r="DN3" s="19"/>
      <c r="DO3" s="19"/>
      <c r="DP3" s="16"/>
      <c r="DQ3" s="19"/>
      <c r="DR3" s="19"/>
      <c r="DS3" s="15"/>
      <c r="DT3" s="17"/>
      <c r="DU3" s="17"/>
      <c r="DV3" s="70"/>
      <c r="DW3" s="19"/>
      <c r="DX3" s="19" t="s">
        <v>70</v>
      </c>
      <c r="DY3" s="19" t="s">
        <v>70</v>
      </c>
      <c r="DZ3" s="19" t="s">
        <v>70</v>
      </c>
      <c r="EA3" s="19" t="s">
        <v>70</v>
      </c>
      <c r="EB3" s="19"/>
      <c r="EC3" s="19" t="s">
        <v>37</v>
      </c>
      <c r="ED3" s="19" t="s">
        <v>37</v>
      </c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2"/>
      <c r="FQ3" s="72"/>
      <c r="FR3" s="72"/>
      <c r="FS3" s="72"/>
      <c r="FT3" s="72"/>
      <c r="FU3" s="72"/>
      <c r="FV3" s="72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true" outlineLevel="0" collapsed="false">
      <c r="A4" s="10" t="s">
        <v>71</v>
      </c>
      <c r="B4" s="10" t="s">
        <v>72</v>
      </c>
      <c r="C4" s="12" t="s">
        <v>27</v>
      </c>
      <c r="D4" s="13"/>
      <c r="E4" s="13" t="s">
        <v>68</v>
      </c>
      <c r="F4" s="12" t="s">
        <v>13</v>
      </c>
      <c r="G4" s="13"/>
      <c r="H4" s="13" t="s">
        <v>68</v>
      </c>
      <c r="I4" s="12" t="s">
        <v>13</v>
      </c>
      <c r="J4" s="13"/>
      <c r="K4" s="13" t="s">
        <v>68</v>
      </c>
      <c r="L4" s="12"/>
      <c r="M4" s="13"/>
      <c r="N4" s="13" t="s">
        <v>68</v>
      </c>
      <c r="O4" s="12"/>
      <c r="P4" s="13"/>
      <c r="Q4" s="13" t="s">
        <v>68</v>
      </c>
      <c r="R4" s="12"/>
      <c r="S4" s="13"/>
      <c r="T4" s="13" t="s">
        <v>68</v>
      </c>
      <c r="U4" s="12"/>
      <c r="V4" s="13"/>
      <c r="W4" s="13" t="s">
        <v>68</v>
      </c>
      <c r="X4" s="12"/>
      <c r="Y4" s="13"/>
      <c r="Z4" s="13" t="s">
        <v>68</v>
      </c>
      <c r="AA4" s="12"/>
      <c r="AB4" s="13"/>
      <c r="AC4" s="13" t="s">
        <v>68</v>
      </c>
      <c r="AD4" s="12"/>
      <c r="AE4" s="13"/>
      <c r="AF4" s="13" t="s">
        <v>68</v>
      </c>
      <c r="AG4" s="12"/>
      <c r="AH4" s="13"/>
      <c r="AI4" s="13" t="s">
        <v>68</v>
      </c>
      <c r="AJ4" s="12"/>
      <c r="AK4" s="13"/>
      <c r="AL4" s="13" t="s">
        <v>68</v>
      </c>
      <c r="AM4" s="12"/>
      <c r="AN4" s="13"/>
      <c r="AO4" s="13" t="s">
        <v>68</v>
      </c>
      <c r="AP4" s="12"/>
      <c r="AQ4" s="13"/>
      <c r="AR4" s="13" t="s">
        <v>68</v>
      </c>
      <c r="AS4" s="12"/>
      <c r="AT4" s="13"/>
      <c r="AU4" s="13" t="s">
        <v>68</v>
      </c>
      <c r="AV4" s="73"/>
      <c r="AW4" s="62"/>
      <c r="AX4" s="13" t="s">
        <v>68</v>
      </c>
      <c r="AY4" s="12"/>
      <c r="AZ4" s="13"/>
      <c r="BA4" s="13" t="s">
        <v>68</v>
      </c>
      <c r="BB4" s="12"/>
      <c r="BC4" s="13"/>
      <c r="BD4" s="13" t="s">
        <v>68</v>
      </c>
      <c r="BE4" s="12"/>
      <c r="BF4" s="13"/>
      <c r="BG4" s="13" t="s">
        <v>68</v>
      </c>
      <c r="BH4" s="12"/>
      <c r="BI4" s="13"/>
      <c r="BJ4" s="13" t="s">
        <v>68</v>
      </c>
      <c r="BK4" s="12"/>
      <c r="BL4" s="13"/>
      <c r="BM4" s="13" t="s">
        <v>68</v>
      </c>
      <c r="BN4" s="12"/>
      <c r="BO4" s="13"/>
      <c r="BP4" s="13" t="s">
        <v>68</v>
      </c>
      <c r="BQ4" s="12"/>
      <c r="BR4" s="13"/>
      <c r="BS4" s="13" t="s">
        <v>68</v>
      </c>
      <c r="BT4" s="12"/>
      <c r="BU4" s="13"/>
      <c r="BV4" s="13" t="s">
        <v>68</v>
      </c>
      <c r="BW4" s="12"/>
      <c r="BX4" s="13"/>
      <c r="BY4" s="13" t="s">
        <v>68</v>
      </c>
      <c r="BZ4" s="12"/>
      <c r="CA4" s="13"/>
      <c r="CB4" s="13" t="s">
        <v>68</v>
      </c>
      <c r="CC4" s="12"/>
      <c r="CD4" s="13"/>
      <c r="CE4" s="13" t="s">
        <v>68</v>
      </c>
      <c r="CF4" s="12"/>
      <c r="CG4" s="13"/>
      <c r="CH4" s="13" t="s">
        <v>68</v>
      </c>
      <c r="CI4" s="12"/>
      <c r="CJ4" s="13"/>
      <c r="CK4" s="13" t="s">
        <v>68</v>
      </c>
      <c r="CL4" s="12"/>
      <c r="CM4" s="13"/>
      <c r="CN4" s="13" t="s">
        <v>68</v>
      </c>
      <c r="CO4" s="12"/>
      <c r="CP4" s="13"/>
      <c r="CQ4" s="13" t="s">
        <v>68</v>
      </c>
      <c r="CR4" s="12"/>
      <c r="CS4" s="13"/>
      <c r="CT4" s="13" t="s">
        <v>68</v>
      </c>
      <c r="CU4" s="12"/>
      <c r="CV4" s="13"/>
      <c r="CW4" s="13" t="s">
        <v>68</v>
      </c>
      <c r="CX4" s="12"/>
      <c r="CY4" s="13"/>
      <c r="CZ4" s="13" t="s">
        <v>68</v>
      </c>
      <c r="DA4" s="12"/>
      <c r="DB4" s="13"/>
      <c r="DC4" s="13" t="s">
        <v>68</v>
      </c>
      <c r="DD4" s="12"/>
      <c r="DE4" s="13"/>
      <c r="DF4" s="13" t="s">
        <v>68</v>
      </c>
      <c r="DG4" s="12"/>
      <c r="DH4" s="13"/>
      <c r="DI4" s="13" t="s">
        <v>68</v>
      </c>
      <c r="DJ4" s="12"/>
      <c r="DK4" s="13"/>
      <c r="DL4" s="13" t="s">
        <v>68</v>
      </c>
      <c r="DM4" s="12"/>
      <c r="DN4" s="13"/>
      <c r="DO4" s="13" t="s">
        <v>68</v>
      </c>
      <c r="DP4" s="12"/>
      <c r="DQ4" s="13"/>
      <c r="DR4" s="13" t="s">
        <v>68</v>
      </c>
      <c r="DS4" s="10" t="s">
        <v>45</v>
      </c>
      <c r="DT4" s="11" t="s">
        <v>45</v>
      </c>
      <c r="DU4" s="4"/>
      <c r="DV4" s="64" t="s">
        <v>73</v>
      </c>
      <c r="DW4" s="13"/>
      <c r="DX4" s="13" t="s">
        <v>0</v>
      </c>
      <c r="DY4" s="13" t="s">
        <v>0</v>
      </c>
      <c r="DZ4" s="13" t="s">
        <v>67</v>
      </c>
      <c r="EA4" s="13" t="s">
        <v>67</v>
      </c>
      <c r="EB4" s="13"/>
      <c r="EC4" s="13" t="s">
        <v>67</v>
      </c>
      <c r="ED4" s="13" t="s">
        <v>67</v>
      </c>
      <c r="EE4" s="13"/>
      <c r="EF4" s="13"/>
      <c r="EG4" s="13"/>
      <c r="EH4" s="13"/>
      <c r="EI4" s="13"/>
      <c r="EJ4" s="13"/>
      <c r="EK4" s="13"/>
      <c r="EL4" s="65"/>
      <c r="EM4" s="65"/>
      <c r="EN4" s="65"/>
      <c r="EO4" s="65"/>
      <c r="EP4" s="65"/>
      <c r="EQ4" s="65"/>
      <c r="ER4" s="65"/>
      <c r="ES4" s="65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7"/>
      <c r="FQ4" s="67"/>
      <c r="FR4" s="67"/>
      <c r="FS4" s="67"/>
      <c r="FT4" s="67"/>
      <c r="FU4" s="67"/>
      <c r="FV4" s="67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46</v>
      </c>
      <c r="B5" s="10" t="s">
        <v>74</v>
      </c>
      <c r="C5" s="22" t="s">
        <v>49</v>
      </c>
      <c r="D5" s="23"/>
      <c r="E5" s="23" t="s">
        <v>75</v>
      </c>
      <c r="F5" s="22" t="s">
        <v>49</v>
      </c>
      <c r="G5" s="23"/>
      <c r="H5" s="23" t="s">
        <v>75</v>
      </c>
      <c r="I5" s="22" t="s">
        <v>49</v>
      </c>
      <c r="J5" s="23"/>
      <c r="K5" s="23" t="s">
        <v>75</v>
      </c>
      <c r="L5" s="22"/>
      <c r="M5" s="23"/>
      <c r="N5" s="23" t="s">
        <v>75</v>
      </c>
      <c r="O5" s="22"/>
      <c r="P5" s="23"/>
      <c r="Q5" s="23" t="s">
        <v>75</v>
      </c>
      <c r="R5" s="22"/>
      <c r="S5" s="23"/>
      <c r="T5" s="23" t="s">
        <v>75</v>
      </c>
      <c r="U5" s="22"/>
      <c r="V5" s="23"/>
      <c r="W5" s="23" t="s">
        <v>75</v>
      </c>
      <c r="X5" s="22"/>
      <c r="Y5" s="23"/>
      <c r="Z5" s="23" t="s">
        <v>75</v>
      </c>
      <c r="AA5" s="22"/>
      <c r="AB5" s="23"/>
      <c r="AC5" s="23" t="s">
        <v>75</v>
      </c>
      <c r="AD5" s="22"/>
      <c r="AE5" s="23"/>
      <c r="AF5" s="23" t="s">
        <v>75</v>
      </c>
      <c r="AG5" s="22"/>
      <c r="AH5" s="23"/>
      <c r="AI5" s="23" t="s">
        <v>75</v>
      </c>
      <c r="AJ5" s="22"/>
      <c r="AK5" s="23"/>
      <c r="AL5" s="23" t="s">
        <v>75</v>
      </c>
      <c r="AM5" s="22"/>
      <c r="AN5" s="23"/>
      <c r="AO5" s="23" t="s">
        <v>75</v>
      </c>
      <c r="AP5" s="22"/>
      <c r="AQ5" s="23"/>
      <c r="AR5" s="23" t="s">
        <v>75</v>
      </c>
      <c r="AS5" s="22"/>
      <c r="AT5" s="23"/>
      <c r="AU5" s="23" t="s">
        <v>75</v>
      </c>
      <c r="AV5" s="74"/>
      <c r="AW5" s="75"/>
      <c r="AX5" s="23" t="s">
        <v>75</v>
      </c>
      <c r="AY5" s="22"/>
      <c r="AZ5" s="23"/>
      <c r="BA5" s="23" t="s">
        <v>75</v>
      </c>
      <c r="BB5" s="22"/>
      <c r="BC5" s="23"/>
      <c r="BD5" s="23" t="s">
        <v>75</v>
      </c>
      <c r="BE5" s="22"/>
      <c r="BF5" s="23"/>
      <c r="BG5" s="23" t="s">
        <v>75</v>
      </c>
      <c r="BH5" s="22"/>
      <c r="BI5" s="23"/>
      <c r="BJ5" s="23" t="s">
        <v>75</v>
      </c>
      <c r="BK5" s="22"/>
      <c r="BL5" s="23"/>
      <c r="BM5" s="23" t="s">
        <v>75</v>
      </c>
      <c r="BN5" s="22"/>
      <c r="BO5" s="23"/>
      <c r="BP5" s="23" t="s">
        <v>75</v>
      </c>
      <c r="BQ5" s="22"/>
      <c r="BR5" s="23"/>
      <c r="BS5" s="23" t="s">
        <v>75</v>
      </c>
      <c r="BT5" s="22"/>
      <c r="BU5" s="23"/>
      <c r="BV5" s="23" t="s">
        <v>75</v>
      </c>
      <c r="BW5" s="22"/>
      <c r="BX5" s="23"/>
      <c r="BY5" s="23" t="s">
        <v>75</v>
      </c>
      <c r="BZ5" s="22"/>
      <c r="CA5" s="23"/>
      <c r="CB5" s="23" t="s">
        <v>75</v>
      </c>
      <c r="CC5" s="22"/>
      <c r="CD5" s="23"/>
      <c r="CE5" s="23" t="s">
        <v>75</v>
      </c>
      <c r="CF5" s="22"/>
      <c r="CG5" s="23"/>
      <c r="CH5" s="23" t="s">
        <v>75</v>
      </c>
      <c r="CI5" s="22"/>
      <c r="CJ5" s="23"/>
      <c r="CK5" s="23" t="s">
        <v>75</v>
      </c>
      <c r="CL5" s="22"/>
      <c r="CM5" s="23"/>
      <c r="CN5" s="23" t="s">
        <v>75</v>
      </c>
      <c r="CO5" s="22"/>
      <c r="CP5" s="23"/>
      <c r="CQ5" s="23" t="s">
        <v>75</v>
      </c>
      <c r="CR5" s="22"/>
      <c r="CS5" s="23"/>
      <c r="CT5" s="23" t="s">
        <v>75</v>
      </c>
      <c r="CU5" s="22"/>
      <c r="CV5" s="23"/>
      <c r="CW5" s="23" t="s">
        <v>75</v>
      </c>
      <c r="CX5" s="22"/>
      <c r="CY5" s="23"/>
      <c r="CZ5" s="23" t="s">
        <v>75</v>
      </c>
      <c r="DA5" s="22"/>
      <c r="DB5" s="23"/>
      <c r="DC5" s="23" t="s">
        <v>75</v>
      </c>
      <c r="DD5" s="22"/>
      <c r="DE5" s="23"/>
      <c r="DF5" s="23" t="s">
        <v>75</v>
      </c>
      <c r="DG5" s="22"/>
      <c r="DH5" s="23"/>
      <c r="DI5" s="23" t="s">
        <v>75</v>
      </c>
      <c r="DJ5" s="22"/>
      <c r="DK5" s="23"/>
      <c r="DL5" s="23" t="s">
        <v>75</v>
      </c>
      <c r="DM5" s="22"/>
      <c r="DN5" s="23"/>
      <c r="DO5" s="23" t="s">
        <v>75</v>
      </c>
      <c r="DP5" s="22"/>
      <c r="DQ5" s="23"/>
      <c r="DR5" s="23" t="s">
        <v>75</v>
      </c>
      <c r="DS5" s="64" t="s">
        <v>0</v>
      </c>
      <c r="DT5" s="64" t="s">
        <v>76</v>
      </c>
      <c r="DU5" s="64" t="s">
        <v>75</v>
      </c>
      <c r="DV5" s="23" t="s">
        <v>75</v>
      </c>
      <c r="DW5" s="23"/>
      <c r="DX5" s="23" t="s">
        <v>77</v>
      </c>
      <c r="DY5" s="23" t="s">
        <v>78</v>
      </c>
      <c r="DZ5" s="23" t="s">
        <v>79</v>
      </c>
      <c r="EA5" s="23" t="s">
        <v>79</v>
      </c>
      <c r="EB5" s="23"/>
      <c r="EC5" s="23" t="s">
        <v>79</v>
      </c>
      <c r="ED5" s="23" t="s">
        <v>79</v>
      </c>
      <c r="EE5" s="23"/>
      <c r="EF5" s="23"/>
      <c r="EG5" s="23"/>
      <c r="EH5" s="23"/>
      <c r="EI5" s="23"/>
      <c r="EJ5" s="23"/>
      <c r="EK5" s="23"/>
      <c r="EL5" s="76"/>
      <c r="EM5" s="76"/>
      <c r="EN5" s="76"/>
      <c r="EO5" s="76"/>
      <c r="EP5" s="76"/>
      <c r="EQ5" s="76"/>
      <c r="ER5" s="76"/>
      <c r="ES5" s="76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8"/>
      <c r="FQ5" s="78"/>
      <c r="FR5" s="78"/>
      <c r="FS5" s="78"/>
      <c r="FT5" s="78"/>
      <c r="FU5" s="78"/>
      <c r="FV5" s="78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</row>
    <row r="6" customFormat="false" ht="12.75" hidden="false" customHeight="false" outlineLevel="0" collapsed="false">
      <c r="A6" s="80" t="n">
        <f aca="false">+BaseloadMarkets!A6</f>
        <v>36708</v>
      </c>
      <c r="B6" s="80" t="str">
        <f aca="false">+BaseloadMarkets!B6</f>
        <v>Sat</v>
      </c>
      <c r="C6" s="25" t="n">
        <v>5000</v>
      </c>
      <c r="D6" s="26" t="n">
        <v>5000</v>
      </c>
      <c r="E6" s="81" t="n">
        <f aca="false">D6-C6</f>
        <v>0</v>
      </c>
      <c r="F6" s="25" t="n">
        <v>10000</v>
      </c>
      <c r="G6" s="26" t="n">
        <v>10000</v>
      </c>
      <c r="H6" s="81" t="n">
        <f aca="false">G6-F6</f>
        <v>0</v>
      </c>
      <c r="I6" s="25" t="n">
        <f aca="false">10000+10000</f>
        <v>20000</v>
      </c>
      <c r="J6" s="25" t="n">
        <f aca="false">10000+10000</f>
        <v>20000</v>
      </c>
      <c r="K6" s="81" t="n">
        <f aca="false">J6-I6</f>
        <v>0</v>
      </c>
      <c r="L6" s="25"/>
      <c r="M6" s="26"/>
      <c r="N6" s="81" t="n">
        <f aca="false">M6-L6</f>
        <v>0</v>
      </c>
      <c r="O6" s="25"/>
      <c r="P6" s="26"/>
      <c r="Q6" s="81" t="n">
        <f aca="false">P6-O6</f>
        <v>0</v>
      </c>
      <c r="R6" s="25"/>
      <c r="S6" s="26"/>
      <c r="T6" s="81" t="n">
        <f aca="false">S6-R6</f>
        <v>0</v>
      </c>
      <c r="U6" s="25"/>
      <c r="V6" s="26"/>
      <c r="W6" s="81" t="n">
        <f aca="false">V6-U6</f>
        <v>0</v>
      </c>
      <c r="X6" s="25"/>
      <c r="Y6" s="26"/>
      <c r="Z6" s="81" t="n">
        <f aca="false">Y6-X6</f>
        <v>0</v>
      </c>
      <c r="AA6" s="25"/>
      <c r="AB6" s="26"/>
      <c r="AC6" s="81" t="n">
        <f aca="false">AB6-AA6</f>
        <v>0</v>
      </c>
      <c r="AD6" s="25"/>
      <c r="AE6" s="26"/>
      <c r="AF6" s="81" t="n">
        <f aca="false">AE6-AD6</f>
        <v>0</v>
      </c>
      <c r="AG6" s="25"/>
      <c r="AH6" s="26"/>
      <c r="AI6" s="81" t="n">
        <f aca="false">AH6-AG6</f>
        <v>0</v>
      </c>
      <c r="AJ6" s="25"/>
      <c r="AK6" s="26"/>
      <c r="AL6" s="81" t="n">
        <f aca="false">AK6-AJ6</f>
        <v>0</v>
      </c>
      <c r="AM6" s="25"/>
      <c r="AN6" s="26"/>
      <c r="AO6" s="81" t="n">
        <f aca="false">AN6-AM6</f>
        <v>0</v>
      </c>
      <c r="AP6" s="25"/>
      <c r="AQ6" s="26"/>
      <c r="AR6" s="81" t="n">
        <f aca="false">AQ6-AP6</f>
        <v>0</v>
      </c>
      <c r="AS6" s="25"/>
      <c r="AT6" s="26"/>
      <c r="AU6" s="81" t="n">
        <f aca="false">AT6-AS6</f>
        <v>0</v>
      </c>
      <c r="AV6" s="82" t="n">
        <f aca="false">170000-35000</f>
        <v>135000</v>
      </c>
      <c r="AW6" s="83" t="n">
        <v>119643</v>
      </c>
      <c r="AX6" s="81" t="n">
        <f aca="false">AW6-AV6</f>
        <v>-15357</v>
      </c>
      <c r="AY6" s="25"/>
      <c r="AZ6" s="26"/>
      <c r="BA6" s="81" t="n">
        <f aca="false">AZ6-AY6</f>
        <v>0</v>
      </c>
      <c r="BB6" s="25"/>
      <c r="BC6" s="26"/>
      <c r="BD6" s="81" t="n">
        <f aca="false">BC6-BB6</f>
        <v>0</v>
      </c>
      <c r="BE6" s="25"/>
      <c r="BF6" s="26"/>
      <c r="BG6" s="81" t="n">
        <f aca="false">BF6-BE6</f>
        <v>0</v>
      </c>
      <c r="BH6" s="25"/>
      <c r="BI6" s="26"/>
      <c r="BJ6" s="81" t="n">
        <f aca="false">BI6-BH6</f>
        <v>0</v>
      </c>
      <c r="BK6" s="25"/>
      <c r="BL6" s="26"/>
      <c r="BM6" s="81" t="n">
        <f aca="false">BL6-BK6</f>
        <v>0</v>
      </c>
      <c r="BN6" s="25"/>
      <c r="BO6" s="26"/>
      <c r="BP6" s="81" t="n">
        <f aca="false">BO6-BN6</f>
        <v>0</v>
      </c>
      <c r="BQ6" s="25"/>
      <c r="BR6" s="26"/>
      <c r="BS6" s="81" t="n">
        <f aca="false">BR6-BQ6</f>
        <v>0</v>
      </c>
      <c r="BT6" s="25"/>
      <c r="BU6" s="26"/>
      <c r="BV6" s="81" t="n">
        <f aca="false">BU6-BT6</f>
        <v>0</v>
      </c>
      <c r="BW6" s="25"/>
      <c r="BX6" s="26"/>
      <c r="BY6" s="81" t="n">
        <f aca="false">BX6-BW6</f>
        <v>0</v>
      </c>
      <c r="BZ6" s="25"/>
      <c r="CA6" s="26"/>
      <c r="CB6" s="81" t="n">
        <f aca="false">CA6-BZ6</f>
        <v>0</v>
      </c>
      <c r="CC6" s="25"/>
      <c r="CD6" s="26"/>
      <c r="CE6" s="81" t="n">
        <f aca="false">CD6-CC6</f>
        <v>0</v>
      </c>
      <c r="CF6" s="25"/>
      <c r="CG6" s="26"/>
      <c r="CH6" s="81" t="n">
        <f aca="false">CG6-CF6</f>
        <v>0</v>
      </c>
      <c r="CI6" s="25"/>
      <c r="CJ6" s="26"/>
      <c r="CK6" s="81" t="n">
        <f aca="false">CJ6-CI6</f>
        <v>0</v>
      </c>
      <c r="CL6" s="25"/>
      <c r="CM6" s="26"/>
      <c r="CN6" s="81" t="n">
        <f aca="false">CM6-CL6</f>
        <v>0</v>
      </c>
      <c r="CO6" s="25"/>
      <c r="CP6" s="26"/>
      <c r="CQ6" s="81" t="n">
        <f aca="false">CP6-CO6</f>
        <v>0</v>
      </c>
      <c r="CR6" s="25"/>
      <c r="CS6" s="26"/>
      <c r="CT6" s="81" t="n">
        <f aca="false">CS6-CR6</f>
        <v>0</v>
      </c>
      <c r="CU6" s="25"/>
      <c r="CV6" s="26"/>
      <c r="CW6" s="81" t="n">
        <f aca="false">CV6-CU6</f>
        <v>0</v>
      </c>
      <c r="CX6" s="25"/>
      <c r="CY6" s="26"/>
      <c r="CZ6" s="81" t="n">
        <f aca="false">CY6-CX6</f>
        <v>0</v>
      </c>
      <c r="DA6" s="25"/>
      <c r="DB6" s="26"/>
      <c r="DC6" s="81" t="n">
        <f aca="false">DB6-DA6</f>
        <v>0</v>
      </c>
      <c r="DD6" s="25"/>
      <c r="DE6" s="26"/>
      <c r="DF6" s="81" t="n">
        <f aca="false">DE6-DD6</f>
        <v>0</v>
      </c>
      <c r="DG6" s="25"/>
      <c r="DH6" s="26"/>
      <c r="DI6" s="81" t="n">
        <f aca="false">DH6-DG6</f>
        <v>0</v>
      </c>
      <c r="DJ6" s="25"/>
      <c r="DK6" s="26"/>
      <c r="DL6" s="81" t="n">
        <f aca="false">DK6-DJ6</f>
        <v>0</v>
      </c>
      <c r="DM6" s="25"/>
      <c r="DN6" s="26"/>
      <c r="DO6" s="81" t="n">
        <f aca="false">DN6-DM6</f>
        <v>0</v>
      </c>
      <c r="DP6" s="25"/>
      <c r="DQ6" s="26"/>
      <c r="DR6" s="81" t="n">
        <f aca="false">DQ6-DP6</f>
        <v>0</v>
      </c>
      <c r="DS6" s="81" t="n">
        <f aca="false">+C6+F6+I6+L6+O6+R6+U6+X6+AA6+AD6+AG6+AJ6+AM6+AP6+AS6+AV6+AY6+BB6+BE6+BH6+BK6+BN6+BQ6+BT6+BW6+BZ6+CC6+CF6+CI6+CL6+CO6+CR6+CU6+CX6+DA6+DD6+DG6+DJ6+DM6+DP6</f>
        <v>170000</v>
      </c>
      <c r="DT6" s="81" t="n">
        <f aca="false">+D6+G6+J6+M6+P6+S6+V6+Y6+AB6+AE6+AH6+AK6+AN6+AQ6+AT6+AW6+AZ6+BC6+BF6+BI6+BL6+BO6+BR6+BU6+BX6+CA6+CD6+CG6+CJ6+CM6+CP6+CS6+CV6+CY6+DB6+DE6+DH6+DK6+DN6+DQ6</f>
        <v>154643</v>
      </c>
      <c r="DU6" s="81" t="n">
        <f aca="false">DT6-DS6</f>
        <v>-15357</v>
      </c>
      <c r="DV6" s="26" t="n">
        <f aca="false">+DU6</f>
        <v>-15357</v>
      </c>
      <c r="DW6" s="26"/>
      <c r="DX6" s="81" t="n">
        <f aca="false">+DS6-AV6</f>
        <v>35000</v>
      </c>
      <c r="DY6" s="81" t="n">
        <f aca="false">+DT6-AW6</f>
        <v>35000</v>
      </c>
      <c r="DZ6" s="26" t="n">
        <f aca="false">+DY6-DX6</f>
        <v>0</v>
      </c>
      <c r="EA6" s="26" t="n">
        <f aca="false">+DZ6</f>
        <v>0</v>
      </c>
      <c r="EB6" s="26"/>
      <c r="EC6" s="26" t="n">
        <f aca="false">+AX6</f>
        <v>-15357</v>
      </c>
      <c r="ED6" s="26" t="n">
        <f aca="false">+EC6</f>
        <v>-15357</v>
      </c>
      <c r="EE6" s="26"/>
      <c r="EF6" s="26"/>
      <c r="EG6" s="26"/>
      <c r="EH6" s="26"/>
      <c r="EI6" s="26"/>
      <c r="EJ6" s="26"/>
      <c r="EK6" s="26"/>
      <c r="EL6" s="42"/>
      <c r="EM6" s="42"/>
      <c r="EN6" s="42"/>
      <c r="EO6" s="42"/>
      <c r="EP6" s="42"/>
      <c r="EQ6" s="42"/>
      <c r="ER6" s="42"/>
      <c r="ES6" s="42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5"/>
      <c r="FQ6" s="85"/>
      <c r="FR6" s="85"/>
      <c r="FS6" s="85"/>
      <c r="FT6" s="85"/>
      <c r="FU6" s="85"/>
      <c r="FV6" s="85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customFormat="false" ht="12.75" hidden="false" customHeight="false" outlineLevel="0" collapsed="false">
      <c r="A7" s="80" t="n">
        <f aca="false">+BaseloadMarkets!A7</f>
        <v>36709</v>
      </c>
      <c r="B7" s="80" t="str">
        <f aca="false">+BaseloadMarkets!B7</f>
        <v>Sun</v>
      </c>
      <c r="C7" s="25" t="n">
        <v>5000</v>
      </c>
      <c r="D7" s="26" t="n">
        <v>5000</v>
      </c>
      <c r="E7" s="81" t="n">
        <f aca="false">D7-C7</f>
        <v>0</v>
      </c>
      <c r="F7" s="25" t="n">
        <v>10000</v>
      </c>
      <c r="G7" s="26" t="n">
        <v>10000</v>
      </c>
      <c r="H7" s="81" t="n">
        <f aca="false">G7-F7</f>
        <v>0</v>
      </c>
      <c r="I7" s="25" t="n">
        <f aca="false">10000+10000</f>
        <v>20000</v>
      </c>
      <c r="J7" s="25" t="n">
        <f aca="false">10000+10000</f>
        <v>20000</v>
      </c>
      <c r="K7" s="81" t="n">
        <f aca="false">J7-I7</f>
        <v>0</v>
      </c>
      <c r="L7" s="25"/>
      <c r="M7" s="26"/>
      <c r="N7" s="81" t="n">
        <f aca="false">M7-L7</f>
        <v>0</v>
      </c>
      <c r="O7" s="25"/>
      <c r="P7" s="26"/>
      <c r="Q7" s="81" t="n">
        <f aca="false">P7-O7</f>
        <v>0</v>
      </c>
      <c r="R7" s="25"/>
      <c r="S7" s="26"/>
      <c r="T7" s="81" t="n">
        <f aca="false">S7-R7</f>
        <v>0</v>
      </c>
      <c r="U7" s="25"/>
      <c r="V7" s="26"/>
      <c r="W7" s="81" t="n">
        <f aca="false">V7-U7</f>
        <v>0</v>
      </c>
      <c r="X7" s="25"/>
      <c r="Y7" s="26"/>
      <c r="Z7" s="81" t="n">
        <f aca="false">Y7-X7</f>
        <v>0</v>
      </c>
      <c r="AA7" s="25"/>
      <c r="AB7" s="26"/>
      <c r="AC7" s="81" t="n">
        <f aca="false">AB7-AA7</f>
        <v>0</v>
      </c>
      <c r="AD7" s="25"/>
      <c r="AE7" s="26"/>
      <c r="AF7" s="81" t="n">
        <f aca="false">AE7-AD7</f>
        <v>0</v>
      </c>
      <c r="AG7" s="25"/>
      <c r="AH7" s="26"/>
      <c r="AI7" s="81" t="n">
        <f aca="false">AH7-AG7</f>
        <v>0</v>
      </c>
      <c r="AJ7" s="25"/>
      <c r="AK7" s="26"/>
      <c r="AL7" s="81" t="n">
        <f aca="false">AK7-AJ7</f>
        <v>0</v>
      </c>
      <c r="AM7" s="25"/>
      <c r="AN7" s="26"/>
      <c r="AO7" s="81" t="n">
        <f aca="false">AN7-AM7</f>
        <v>0</v>
      </c>
      <c r="AP7" s="25"/>
      <c r="AQ7" s="26"/>
      <c r="AR7" s="81" t="n">
        <f aca="false">AQ7-AP7</f>
        <v>0</v>
      </c>
      <c r="AS7" s="25"/>
      <c r="AT7" s="26"/>
      <c r="AU7" s="81" t="n">
        <f aca="false">AT7-AS7</f>
        <v>0</v>
      </c>
      <c r="AV7" s="82" t="n">
        <f aca="false">170000-35000</f>
        <v>135000</v>
      </c>
      <c r="AW7" s="83" t="n">
        <v>118323</v>
      </c>
      <c r="AX7" s="81" t="n">
        <f aca="false">AW7-AV7</f>
        <v>-16677</v>
      </c>
      <c r="AY7" s="25"/>
      <c r="AZ7" s="26"/>
      <c r="BA7" s="81" t="n">
        <f aca="false">AZ7-AY7</f>
        <v>0</v>
      </c>
      <c r="BB7" s="25"/>
      <c r="BC7" s="26"/>
      <c r="BD7" s="81" t="n">
        <f aca="false">BC7-BB7</f>
        <v>0</v>
      </c>
      <c r="BE7" s="25"/>
      <c r="BF7" s="26"/>
      <c r="BG7" s="81" t="n">
        <f aca="false">BF7-BE7</f>
        <v>0</v>
      </c>
      <c r="BH7" s="25"/>
      <c r="BI7" s="26"/>
      <c r="BJ7" s="81" t="n">
        <f aca="false">BI7-BH7</f>
        <v>0</v>
      </c>
      <c r="BK7" s="25"/>
      <c r="BL7" s="26"/>
      <c r="BM7" s="81" t="n">
        <f aca="false">BL7-BK7</f>
        <v>0</v>
      </c>
      <c r="BN7" s="25"/>
      <c r="BO7" s="26"/>
      <c r="BP7" s="81" t="n">
        <f aca="false">BO7-BN7</f>
        <v>0</v>
      </c>
      <c r="BQ7" s="25"/>
      <c r="BR7" s="26"/>
      <c r="BS7" s="81" t="n">
        <f aca="false">BR7-BQ7</f>
        <v>0</v>
      </c>
      <c r="BT7" s="25"/>
      <c r="BU7" s="26"/>
      <c r="BV7" s="81" t="n">
        <f aca="false">BU7-BT7</f>
        <v>0</v>
      </c>
      <c r="BW7" s="25"/>
      <c r="BX7" s="26"/>
      <c r="BY7" s="81" t="n">
        <f aca="false">BX7-BW7</f>
        <v>0</v>
      </c>
      <c r="BZ7" s="25"/>
      <c r="CA7" s="26"/>
      <c r="CB7" s="81" t="n">
        <f aca="false">CA7-BZ7</f>
        <v>0</v>
      </c>
      <c r="CC7" s="25"/>
      <c r="CD7" s="26"/>
      <c r="CE7" s="81" t="n">
        <f aca="false">CD7-CC7</f>
        <v>0</v>
      </c>
      <c r="CF7" s="25"/>
      <c r="CG7" s="26"/>
      <c r="CH7" s="81" t="n">
        <f aca="false">CG7-CF7</f>
        <v>0</v>
      </c>
      <c r="CI7" s="25"/>
      <c r="CJ7" s="26"/>
      <c r="CK7" s="81" t="n">
        <f aca="false">CJ7-CI7</f>
        <v>0</v>
      </c>
      <c r="CL7" s="25"/>
      <c r="CM7" s="26"/>
      <c r="CN7" s="81" t="n">
        <f aca="false">CM7-CL7</f>
        <v>0</v>
      </c>
      <c r="CO7" s="25"/>
      <c r="CP7" s="26"/>
      <c r="CQ7" s="81" t="n">
        <f aca="false">CP7-CO7</f>
        <v>0</v>
      </c>
      <c r="CR7" s="25"/>
      <c r="CS7" s="26"/>
      <c r="CT7" s="81" t="n">
        <f aca="false">CS7-CR7</f>
        <v>0</v>
      </c>
      <c r="CU7" s="25"/>
      <c r="CV7" s="26"/>
      <c r="CW7" s="81" t="n">
        <f aca="false">CV7-CU7</f>
        <v>0</v>
      </c>
      <c r="CX7" s="25"/>
      <c r="CY7" s="26"/>
      <c r="CZ7" s="81" t="n">
        <f aca="false">CY7-CX7</f>
        <v>0</v>
      </c>
      <c r="DA7" s="25"/>
      <c r="DB7" s="26"/>
      <c r="DC7" s="81" t="n">
        <f aca="false">DB7-DA7</f>
        <v>0</v>
      </c>
      <c r="DD7" s="25"/>
      <c r="DE7" s="26"/>
      <c r="DF7" s="81" t="n">
        <f aca="false">DE7-DD7</f>
        <v>0</v>
      </c>
      <c r="DG7" s="25"/>
      <c r="DH7" s="26"/>
      <c r="DI7" s="81" t="n">
        <f aca="false">DH7-DG7</f>
        <v>0</v>
      </c>
      <c r="DJ7" s="25"/>
      <c r="DK7" s="26"/>
      <c r="DL7" s="81" t="n">
        <f aca="false">DK7-DJ7</f>
        <v>0</v>
      </c>
      <c r="DM7" s="25"/>
      <c r="DN7" s="26"/>
      <c r="DO7" s="81" t="n">
        <f aca="false">DN7-DM7</f>
        <v>0</v>
      </c>
      <c r="DP7" s="25"/>
      <c r="DQ7" s="26"/>
      <c r="DR7" s="81" t="n">
        <f aca="false">DQ7-DP7</f>
        <v>0</v>
      </c>
      <c r="DS7" s="81" t="n">
        <f aca="false">+C7+F7+I7+L7+O7+R7+U7+X7+AA7+AD7+AG7+AJ7+AM7+AP7+AS7+AV7+AY7+BB7+BE7+BH7+BK7+BN7+BQ7+BT7+BW7+BZ7+CC7+CF7+CI7+CL7+CO7+CR7+CU7+CX7+DA7+DD7+DG7+DJ7+DM7+DP7</f>
        <v>170000</v>
      </c>
      <c r="DT7" s="81" t="n">
        <f aca="false">+D7+G7+J7+M7+P7+S7+V7+Y7+AB7+AE7+AH7+AK7+AN7+AQ7+AT7+AW7+AZ7+BC7+BF7+BI7+BL7+BO7+BR7+BU7+BX7+CA7+CD7+CG7+CJ7+CM7+CP7+CS7+CV7+CY7+DB7+DE7+DH7+DK7+DN7+DQ7</f>
        <v>153323</v>
      </c>
      <c r="DU7" s="81" t="n">
        <f aca="false">DT7-DS7</f>
        <v>-16677</v>
      </c>
      <c r="DV7" s="26" t="n">
        <f aca="false">+DV6+DU7</f>
        <v>-32034</v>
      </c>
      <c r="DW7" s="26"/>
      <c r="DX7" s="81" t="n">
        <f aca="false">+DS7-AV7</f>
        <v>35000</v>
      </c>
      <c r="DY7" s="81" t="n">
        <f aca="false">+DT7-AW7</f>
        <v>35000</v>
      </c>
      <c r="DZ7" s="26" t="n">
        <f aca="false">+DY7-DX7</f>
        <v>0</v>
      </c>
      <c r="EA7" s="26" t="n">
        <f aca="false">+EA6+DZ7</f>
        <v>0</v>
      </c>
      <c r="EB7" s="26"/>
      <c r="EC7" s="26" t="n">
        <f aca="false">+AX7</f>
        <v>-16677</v>
      </c>
      <c r="ED7" s="26" t="n">
        <f aca="false">+EC7</f>
        <v>-16677</v>
      </c>
      <c r="EE7" s="26"/>
      <c r="EF7" s="26"/>
      <c r="EG7" s="26"/>
      <c r="EH7" s="26"/>
      <c r="EI7" s="26"/>
      <c r="EJ7" s="26"/>
      <c r="EK7" s="26"/>
      <c r="EL7" s="42"/>
      <c r="EM7" s="42"/>
      <c r="EN7" s="42"/>
      <c r="EO7" s="42"/>
      <c r="EP7" s="42"/>
      <c r="EQ7" s="42"/>
      <c r="ER7" s="42"/>
      <c r="ES7" s="42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5"/>
      <c r="FQ7" s="85"/>
      <c r="FR7" s="85"/>
      <c r="FS7" s="85"/>
      <c r="FT7" s="85"/>
      <c r="FU7" s="85"/>
      <c r="FV7" s="85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customFormat="false" ht="12.75" hidden="false" customHeight="false" outlineLevel="0" collapsed="false">
      <c r="A8" s="80" t="n">
        <f aca="false">+BaseloadMarkets!A8</f>
        <v>36710</v>
      </c>
      <c r="B8" s="80" t="str">
        <f aca="false">+BaseloadMarkets!B8</f>
        <v>Mon</v>
      </c>
      <c r="C8" s="25" t="n">
        <v>5000</v>
      </c>
      <c r="D8" s="26" t="n">
        <v>5000</v>
      </c>
      <c r="E8" s="81" t="n">
        <f aca="false">D8-C8</f>
        <v>0</v>
      </c>
      <c r="F8" s="25" t="n">
        <v>10000</v>
      </c>
      <c r="G8" s="26" t="n">
        <v>10000</v>
      </c>
      <c r="H8" s="81" t="n">
        <f aca="false">G8-F8</f>
        <v>0</v>
      </c>
      <c r="I8" s="25" t="n">
        <f aca="false">10000+10000</f>
        <v>20000</v>
      </c>
      <c r="J8" s="25" t="n">
        <f aca="false">10000+10000</f>
        <v>20000</v>
      </c>
      <c r="K8" s="81" t="n">
        <f aca="false">J8-I8</f>
        <v>0</v>
      </c>
      <c r="L8" s="25"/>
      <c r="M8" s="26"/>
      <c r="N8" s="81" t="n">
        <f aca="false">M8-L8</f>
        <v>0</v>
      </c>
      <c r="O8" s="25"/>
      <c r="P8" s="26"/>
      <c r="Q8" s="81" t="n">
        <f aca="false">P8-O8</f>
        <v>0</v>
      </c>
      <c r="R8" s="25"/>
      <c r="S8" s="26"/>
      <c r="T8" s="81" t="n">
        <f aca="false">S8-R8</f>
        <v>0</v>
      </c>
      <c r="U8" s="25"/>
      <c r="V8" s="26"/>
      <c r="W8" s="81" t="n">
        <f aca="false">V8-U8</f>
        <v>0</v>
      </c>
      <c r="X8" s="25"/>
      <c r="Y8" s="26"/>
      <c r="Z8" s="81" t="n">
        <f aca="false">Y8-X8</f>
        <v>0</v>
      </c>
      <c r="AA8" s="25"/>
      <c r="AB8" s="26"/>
      <c r="AC8" s="81" t="n">
        <f aca="false">AB8-AA8</f>
        <v>0</v>
      </c>
      <c r="AD8" s="25"/>
      <c r="AE8" s="26"/>
      <c r="AF8" s="81" t="n">
        <f aca="false">AE8-AD8</f>
        <v>0</v>
      </c>
      <c r="AG8" s="25"/>
      <c r="AH8" s="26"/>
      <c r="AI8" s="81" t="n">
        <f aca="false">AH8-AG8</f>
        <v>0</v>
      </c>
      <c r="AJ8" s="25"/>
      <c r="AK8" s="26"/>
      <c r="AL8" s="81" t="n">
        <f aca="false">AK8-AJ8</f>
        <v>0</v>
      </c>
      <c r="AM8" s="25"/>
      <c r="AN8" s="26"/>
      <c r="AO8" s="81" t="n">
        <f aca="false">AN8-AM8</f>
        <v>0</v>
      </c>
      <c r="AP8" s="25"/>
      <c r="AQ8" s="26"/>
      <c r="AR8" s="81" t="n">
        <f aca="false">AQ8-AP8</f>
        <v>0</v>
      </c>
      <c r="AS8" s="25"/>
      <c r="AT8" s="26"/>
      <c r="AU8" s="81" t="n">
        <f aca="false">AT8-AS8</f>
        <v>0</v>
      </c>
      <c r="AV8" s="82" t="n">
        <f aca="false">170000-35000</f>
        <v>135000</v>
      </c>
      <c r="AW8" s="83" t="n">
        <v>118999</v>
      </c>
      <c r="AX8" s="81" t="n">
        <f aca="false">AW8-AV8</f>
        <v>-16001</v>
      </c>
      <c r="AY8" s="25"/>
      <c r="AZ8" s="26"/>
      <c r="BA8" s="81" t="n">
        <f aca="false">AZ8-AY8</f>
        <v>0</v>
      </c>
      <c r="BB8" s="25"/>
      <c r="BC8" s="26"/>
      <c r="BD8" s="81" t="n">
        <f aca="false">BC8-BB8</f>
        <v>0</v>
      </c>
      <c r="BE8" s="25"/>
      <c r="BF8" s="26"/>
      <c r="BG8" s="81" t="n">
        <f aca="false">BF8-BE8</f>
        <v>0</v>
      </c>
      <c r="BH8" s="25"/>
      <c r="BI8" s="26"/>
      <c r="BJ8" s="81" t="n">
        <f aca="false">BI8-BH8</f>
        <v>0</v>
      </c>
      <c r="BK8" s="25"/>
      <c r="BL8" s="26"/>
      <c r="BM8" s="81" t="n">
        <f aca="false">BL8-BK8</f>
        <v>0</v>
      </c>
      <c r="BN8" s="25"/>
      <c r="BO8" s="26"/>
      <c r="BP8" s="81" t="n">
        <f aca="false">BO8-BN8</f>
        <v>0</v>
      </c>
      <c r="BQ8" s="25"/>
      <c r="BR8" s="26"/>
      <c r="BS8" s="81" t="n">
        <f aca="false">BR8-BQ8</f>
        <v>0</v>
      </c>
      <c r="BT8" s="25"/>
      <c r="BU8" s="26"/>
      <c r="BV8" s="81" t="n">
        <f aca="false">BU8-BT8</f>
        <v>0</v>
      </c>
      <c r="BW8" s="25"/>
      <c r="BX8" s="26"/>
      <c r="BY8" s="81" t="n">
        <f aca="false">BX8-BW8</f>
        <v>0</v>
      </c>
      <c r="BZ8" s="25"/>
      <c r="CA8" s="26"/>
      <c r="CB8" s="81" t="n">
        <f aca="false">CA8-BZ8</f>
        <v>0</v>
      </c>
      <c r="CC8" s="25"/>
      <c r="CD8" s="26"/>
      <c r="CE8" s="81" t="n">
        <f aca="false">CD8-CC8</f>
        <v>0</v>
      </c>
      <c r="CF8" s="25"/>
      <c r="CG8" s="26"/>
      <c r="CH8" s="81" t="n">
        <f aca="false">CG8-CF8</f>
        <v>0</v>
      </c>
      <c r="CI8" s="25"/>
      <c r="CJ8" s="26"/>
      <c r="CK8" s="81" t="n">
        <f aca="false">CJ8-CI8</f>
        <v>0</v>
      </c>
      <c r="CL8" s="25"/>
      <c r="CM8" s="26"/>
      <c r="CN8" s="81" t="n">
        <f aca="false">CM8-CL8</f>
        <v>0</v>
      </c>
      <c r="CO8" s="25"/>
      <c r="CP8" s="26"/>
      <c r="CQ8" s="81" t="n">
        <f aca="false">CP8-CO8</f>
        <v>0</v>
      </c>
      <c r="CR8" s="25"/>
      <c r="CS8" s="26"/>
      <c r="CT8" s="81" t="n">
        <f aca="false">CS8-CR8</f>
        <v>0</v>
      </c>
      <c r="CU8" s="25"/>
      <c r="CV8" s="26"/>
      <c r="CW8" s="81" t="n">
        <f aca="false">CV8-CU8</f>
        <v>0</v>
      </c>
      <c r="CX8" s="25"/>
      <c r="CY8" s="26"/>
      <c r="CZ8" s="81" t="n">
        <f aca="false">CY8-CX8</f>
        <v>0</v>
      </c>
      <c r="DA8" s="25"/>
      <c r="DB8" s="26"/>
      <c r="DC8" s="81" t="n">
        <f aca="false">DB8-DA8</f>
        <v>0</v>
      </c>
      <c r="DD8" s="25"/>
      <c r="DE8" s="26"/>
      <c r="DF8" s="81" t="n">
        <f aca="false">DE8-DD8</f>
        <v>0</v>
      </c>
      <c r="DG8" s="25"/>
      <c r="DH8" s="26"/>
      <c r="DI8" s="81" t="n">
        <f aca="false">DH8-DG8</f>
        <v>0</v>
      </c>
      <c r="DJ8" s="25"/>
      <c r="DK8" s="26"/>
      <c r="DL8" s="81" t="n">
        <f aca="false">DK8-DJ8</f>
        <v>0</v>
      </c>
      <c r="DM8" s="25"/>
      <c r="DN8" s="26"/>
      <c r="DO8" s="81" t="n">
        <f aca="false">DN8-DM8</f>
        <v>0</v>
      </c>
      <c r="DP8" s="25"/>
      <c r="DQ8" s="26"/>
      <c r="DR8" s="81" t="n">
        <f aca="false">DQ8-DP8</f>
        <v>0</v>
      </c>
      <c r="DS8" s="81" t="n">
        <f aca="false">+C8+F8+I8+L8+O8+R8+U8+X8+AA8+AD8+AG8+AJ8+AM8+AP8+AS8+AV8+AY8+BB8+BE8+BH8+BK8+BN8+BQ8+BT8+BW8+BZ8+CC8+CF8+CI8+CL8+CO8+CR8+CU8+CX8+DA8+DD8+DG8+DJ8+DM8+DP8</f>
        <v>170000</v>
      </c>
      <c r="DT8" s="81" t="n">
        <f aca="false">+D8+G8+J8+M8+P8+S8+V8+Y8+AB8+AE8+AH8+AK8+AN8+AQ8+AT8+AW8+AZ8+BC8+BF8+BI8+BL8+BO8+BR8+BU8+BX8+CA8+CD8+CG8+CJ8+CM8+CP8+CS8+CV8+CY8+DB8+DE8+DH8+DK8+DN8+DQ8</f>
        <v>153999</v>
      </c>
      <c r="DU8" s="81" t="n">
        <f aca="false">DT8-DS8</f>
        <v>-16001</v>
      </c>
      <c r="DV8" s="26" t="n">
        <f aca="false">+DV7+DU8</f>
        <v>-48035</v>
      </c>
      <c r="DW8" s="87"/>
      <c r="DX8" s="81" t="n">
        <f aca="false">+DS8-AV8</f>
        <v>35000</v>
      </c>
      <c r="DY8" s="81" t="n">
        <f aca="false">+DT8-AW8</f>
        <v>35000</v>
      </c>
      <c r="DZ8" s="26" t="n">
        <f aca="false">+DY8-DX8</f>
        <v>0</v>
      </c>
      <c r="EA8" s="26" t="n">
        <f aca="false">+EA7+DZ8</f>
        <v>0</v>
      </c>
      <c r="EB8" s="87"/>
      <c r="EC8" s="26" t="n">
        <f aca="false">+AX8</f>
        <v>-16001</v>
      </c>
      <c r="ED8" s="26" t="n">
        <f aca="false">+EC8</f>
        <v>-16001</v>
      </c>
      <c r="EE8" s="87"/>
      <c r="EF8" s="87"/>
      <c r="EG8" s="87"/>
      <c r="EH8" s="87"/>
      <c r="EI8" s="87"/>
      <c r="EJ8" s="87"/>
      <c r="EK8" s="87"/>
    </row>
    <row r="9" customFormat="false" ht="12.75" hidden="false" customHeight="false" outlineLevel="0" collapsed="false">
      <c r="A9" s="80" t="n">
        <f aca="false">+BaseloadMarkets!A9</f>
        <v>36711</v>
      </c>
      <c r="B9" s="80" t="str">
        <f aca="false">+BaseloadMarkets!B9</f>
        <v>Tues</v>
      </c>
      <c r="C9" s="25" t="n">
        <v>5000</v>
      </c>
      <c r="D9" s="26" t="n">
        <v>5000</v>
      </c>
      <c r="E9" s="81" t="n">
        <f aca="false">D9-C9</f>
        <v>0</v>
      </c>
      <c r="F9" s="25" t="n">
        <v>10000</v>
      </c>
      <c r="G9" s="26" t="n">
        <v>10000</v>
      </c>
      <c r="H9" s="81" t="n">
        <f aca="false">G9-F9</f>
        <v>0</v>
      </c>
      <c r="I9" s="25" t="n">
        <f aca="false">10000+10000</f>
        <v>20000</v>
      </c>
      <c r="J9" s="25" t="n">
        <f aca="false">10000+10000</f>
        <v>20000</v>
      </c>
      <c r="K9" s="81" t="n">
        <f aca="false">J9-I9</f>
        <v>0</v>
      </c>
      <c r="L9" s="25"/>
      <c r="M9" s="26"/>
      <c r="N9" s="81" t="n">
        <f aca="false">M9-L9</f>
        <v>0</v>
      </c>
      <c r="O9" s="25"/>
      <c r="P9" s="26"/>
      <c r="Q9" s="81" t="n">
        <f aca="false">P9-O9</f>
        <v>0</v>
      </c>
      <c r="R9" s="25"/>
      <c r="S9" s="26"/>
      <c r="T9" s="81" t="n">
        <f aca="false">S9-R9</f>
        <v>0</v>
      </c>
      <c r="U9" s="25"/>
      <c r="V9" s="26"/>
      <c r="W9" s="81" t="n">
        <f aca="false">V9-U9</f>
        <v>0</v>
      </c>
      <c r="X9" s="25"/>
      <c r="Y9" s="26"/>
      <c r="Z9" s="81" t="n">
        <f aca="false">Y9-X9</f>
        <v>0</v>
      </c>
      <c r="AA9" s="25"/>
      <c r="AB9" s="26"/>
      <c r="AC9" s="81" t="n">
        <f aca="false">AB9-AA9</f>
        <v>0</v>
      </c>
      <c r="AD9" s="25"/>
      <c r="AE9" s="26"/>
      <c r="AF9" s="81" t="n">
        <f aca="false">AE9-AD9</f>
        <v>0</v>
      </c>
      <c r="AG9" s="25"/>
      <c r="AH9" s="26"/>
      <c r="AI9" s="81" t="n">
        <f aca="false">AH9-AG9</f>
        <v>0</v>
      </c>
      <c r="AJ9" s="25"/>
      <c r="AK9" s="26"/>
      <c r="AL9" s="81" t="n">
        <f aca="false">AK9-AJ9</f>
        <v>0</v>
      </c>
      <c r="AM9" s="25"/>
      <c r="AN9" s="26"/>
      <c r="AO9" s="81" t="n">
        <f aca="false">AN9-AM9</f>
        <v>0</v>
      </c>
      <c r="AP9" s="25"/>
      <c r="AQ9" s="26"/>
      <c r="AR9" s="81" t="n">
        <f aca="false">AQ9-AP9</f>
        <v>0</v>
      </c>
      <c r="AS9" s="25"/>
      <c r="AT9" s="26"/>
      <c r="AU9" s="81" t="n">
        <f aca="false">AT9-AS9</f>
        <v>0</v>
      </c>
      <c r="AV9" s="82" t="n">
        <f aca="false">170000-35000</f>
        <v>135000</v>
      </c>
      <c r="AW9" s="83" t="n">
        <v>117957</v>
      </c>
      <c r="AX9" s="81" t="n">
        <f aca="false">AW9-AV9</f>
        <v>-17043</v>
      </c>
      <c r="AY9" s="25"/>
      <c r="AZ9" s="26"/>
      <c r="BA9" s="81" t="n">
        <f aca="false">AZ9-AY9</f>
        <v>0</v>
      </c>
      <c r="BB9" s="25"/>
      <c r="BC9" s="26"/>
      <c r="BD9" s="81" t="n">
        <f aca="false">BC9-BB9</f>
        <v>0</v>
      </c>
      <c r="BE9" s="25"/>
      <c r="BF9" s="26"/>
      <c r="BG9" s="81" t="n">
        <f aca="false">BF9-BE9</f>
        <v>0</v>
      </c>
      <c r="BH9" s="25"/>
      <c r="BI9" s="26"/>
      <c r="BJ9" s="81" t="n">
        <f aca="false">BI9-BH9</f>
        <v>0</v>
      </c>
      <c r="BK9" s="25"/>
      <c r="BL9" s="26"/>
      <c r="BM9" s="81" t="n">
        <f aca="false">BL9-BK9</f>
        <v>0</v>
      </c>
      <c r="BN9" s="25"/>
      <c r="BO9" s="26"/>
      <c r="BP9" s="81" t="n">
        <f aca="false">BO9-BN9</f>
        <v>0</v>
      </c>
      <c r="BQ9" s="25"/>
      <c r="BR9" s="26"/>
      <c r="BS9" s="81" t="n">
        <f aca="false">BR9-BQ9</f>
        <v>0</v>
      </c>
      <c r="BT9" s="25"/>
      <c r="BU9" s="26"/>
      <c r="BV9" s="81" t="n">
        <f aca="false">BU9-BT9</f>
        <v>0</v>
      </c>
      <c r="BW9" s="25"/>
      <c r="BX9" s="26"/>
      <c r="BY9" s="81" t="n">
        <f aca="false">BX9-BW9</f>
        <v>0</v>
      </c>
      <c r="BZ9" s="25"/>
      <c r="CA9" s="26"/>
      <c r="CB9" s="81" t="n">
        <f aca="false">CA9-BZ9</f>
        <v>0</v>
      </c>
      <c r="CC9" s="25"/>
      <c r="CD9" s="26"/>
      <c r="CE9" s="81" t="n">
        <f aca="false">CD9-CC9</f>
        <v>0</v>
      </c>
      <c r="CF9" s="25"/>
      <c r="CG9" s="26"/>
      <c r="CH9" s="81" t="n">
        <f aca="false">CG9-CF9</f>
        <v>0</v>
      </c>
      <c r="CI9" s="25"/>
      <c r="CJ9" s="26"/>
      <c r="CK9" s="81" t="n">
        <f aca="false">CJ9-CI9</f>
        <v>0</v>
      </c>
      <c r="CL9" s="25"/>
      <c r="CM9" s="26"/>
      <c r="CN9" s="81" t="n">
        <f aca="false">CM9-CL9</f>
        <v>0</v>
      </c>
      <c r="CO9" s="25"/>
      <c r="CP9" s="26"/>
      <c r="CQ9" s="81" t="n">
        <f aca="false">CP9-CO9</f>
        <v>0</v>
      </c>
      <c r="CR9" s="25"/>
      <c r="CS9" s="26"/>
      <c r="CT9" s="81" t="n">
        <f aca="false">CS9-CR9</f>
        <v>0</v>
      </c>
      <c r="CU9" s="25"/>
      <c r="CV9" s="26"/>
      <c r="CW9" s="81" t="n">
        <f aca="false">CV9-CU9</f>
        <v>0</v>
      </c>
      <c r="CX9" s="25"/>
      <c r="CY9" s="26"/>
      <c r="CZ9" s="81" t="n">
        <f aca="false">CY9-CX9</f>
        <v>0</v>
      </c>
      <c r="DA9" s="25"/>
      <c r="DB9" s="26"/>
      <c r="DC9" s="81" t="n">
        <f aca="false">DB9-DA9</f>
        <v>0</v>
      </c>
      <c r="DD9" s="25"/>
      <c r="DE9" s="26"/>
      <c r="DF9" s="81" t="n">
        <f aca="false">DE9-DD9</f>
        <v>0</v>
      </c>
      <c r="DG9" s="25"/>
      <c r="DH9" s="26"/>
      <c r="DI9" s="81" t="n">
        <f aca="false">DH9-DG9</f>
        <v>0</v>
      </c>
      <c r="DJ9" s="25"/>
      <c r="DK9" s="26"/>
      <c r="DL9" s="81" t="n">
        <f aca="false">DK9-DJ9</f>
        <v>0</v>
      </c>
      <c r="DM9" s="25"/>
      <c r="DN9" s="26"/>
      <c r="DO9" s="81" t="n">
        <f aca="false">DN9-DM9</f>
        <v>0</v>
      </c>
      <c r="DP9" s="25"/>
      <c r="DQ9" s="26"/>
      <c r="DR9" s="81" t="n">
        <f aca="false">DQ9-DP9</f>
        <v>0</v>
      </c>
      <c r="DS9" s="81" t="n">
        <f aca="false">+C9+F9+I9+L9+O9+R9+U9+X9+AA9+AD9+AG9+AJ9+AM9+AP9+AS9+AV9+AY9+BB9+BE9+BH9+BK9+BN9+BQ9+BT9+BW9+BZ9+CC9+CF9+CI9+CL9+CO9+CR9+CU9+CX9+DA9+DD9+DG9+DJ9+DM9+DP9</f>
        <v>170000</v>
      </c>
      <c r="DT9" s="81" t="n">
        <f aca="false">+D9+G9+J9+M9+P9+S9+V9+Y9+AB9+AE9+AH9+AK9+AN9+AQ9+AT9+AW9+AZ9+BC9+BF9+BI9+BL9+BO9+BR9+BU9+BX9+CA9+CD9+CG9+CJ9+CM9+CP9+CS9+CV9+CY9+DB9+DE9+DH9+DK9+DN9+DQ9</f>
        <v>152957</v>
      </c>
      <c r="DU9" s="81" t="n">
        <f aca="false">DT9-DS9</f>
        <v>-17043</v>
      </c>
      <c r="DV9" s="26" t="n">
        <f aca="false">+DV8+DU9</f>
        <v>-65078</v>
      </c>
      <c r="DW9" s="87"/>
      <c r="DX9" s="81" t="n">
        <f aca="false">+DS9-AV9</f>
        <v>35000</v>
      </c>
      <c r="DY9" s="81" t="n">
        <f aca="false">+DT9-AW9</f>
        <v>35000</v>
      </c>
      <c r="DZ9" s="26" t="n">
        <f aca="false">+DY9-DX9</f>
        <v>0</v>
      </c>
      <c r="EA9" s="26" t="n">
        <f aca="false">+EA8+DZ9</f>
        <v>0</v>
      </c>
      <c r="EB9" s="87"/>
      <c r="EC9" s="26" t="n">
        <f aca="false">+AX9</f>
        <v>-17043</v>
      </c>
      <c r="ED9" s="26" t="n">
        <f aca="false">+EC9</f>
        <v>-17043</v>
      </c>
      <c r="EE9" s="87"/>
      <c r="EF9" s="87"/>
      <c r="EG9" s="87"/>
      <c r="EH9" s="87"/>
      <c r="EI9" s="87"/>
      <c r="EJ9" s="87"/>
      <c r="EK9" s="87"/>
    </row>
    <row r="10" customFormat="false" ht="12.75" hidden="false" customHeight="false" outlineLevel="0" collapsed="false">
      <c r="A10" s="80" t="n">
        <f aca="false">+BaseloadMarkets!A10</f>
        <v>36712</v>
      </c>
      <c r="B10" s="80" t="str">
        <f aca="false">+BaseloadMarkets!B10</f>
        <v>Wed</v>
      </c>
      <c r="C10" s="25" t="n">
        <v>5000</v>
      </c>
      <c r="D10" s="26" t="n">
        <v>5000</v>
      </c>
      <c r="E10" s="81" t="n">
        <f aca="false">D10-C10</f>
        <v>0</v>
      </c>
      <c r="F10" s="25" t="n">
        <v>10000</v>
      </c>
      <c r="G10" s="26" t="n">
        <v>10000</v>
      </c>
      <c r="H10" s="81" t="n">
        <f aca="false">G10-F10</f>
        <v>0</v>
      </c>
      <c r="I10" s="25" t="n">
        <f aca="false">10000+10000</f>
        <v>20000</v>
      </c>
      <c r="J10" s="25" t="n">
        <f aca="false">10000+10000</f>
        <v>20000</v>
      </c>
      <c r="K10" s="81" t="n">
        <f aca="false">J10-I10</f>
        <v>0</v>
      </c>
      <c r="L10" s="25"/>
      <c r="M10" s="26"/>
      <c r="N10" s="81" t="n">
        <f aca="false">M10-L10</f>
        <v>0</v>
      </c>
      <c r="O10" s="25"/>
      <c r="P10" s="26"/>
      <c r="Q10" s="81" t="n">
        <f aca="false">P10-O10</f>
        <v>0</v>
      </c>
      <c r="R10" s="25"/>
      <c r="S10" s="26"/>
      <c r="T10" s="81" t="n">
        <f aca="false">S10-R10</f>
        <v>0</v>
      </c>
      <c r="U10" s="25"/>
      <c r="V10" s="26"/>
      <c r="W10" s="81" t="n">
        <f aca="false">V10-U10</f>
        <v>0</v>
      </c>
      <c r="X10" s="25"/>
      <c r="Y10" s="26"/>
      <c r="Z10" s="81" t="n">
        <f aca="false">Y10-X10</f>
        <v>0</v>
      </c>
      <c r="AA10" s="25"/>
      <c r="AB10" s="26"/>
      <c r="AC10" s="81" t="n">
        <f aca="false">AB10-AA10</f>
        <v>0</v>
      </c>
      <c r="AD10" s="25"/>
      <c r="AE10" s="26"/>
      <c r="AF10" s="81" t="n">
        <f aca="false">AE10-AD10</f>
        <v>0</v>
      </c>
      <c r="AG10" s="25"/>
      <c r="AH10" s="26"/>
      <c r="AI10" s="81" t="n">
        <f aca="false">AH10-AG10</f>
        <v>0</v>
      </c>
      <c r="AJ10" s="25"/>
      <c r="AK10" s="26"/>
      <c r="AL10" s="81" t="n">
        <f aca="false">AK10-AJ10</f>
        <v>0</v>
      </c>
      <c r="AM10" s="25"/>
      <c r="AN10" s="26"/>
      <c r="AO10" s="81" t="n">
        <f aca="false">AN10-AM10</f>
        <v>0</v>
      </c>
      <c r="AP10" s="25"/>
      <c r="AQ10" s="26"/>
      <c r="AR10" s="81" t="n">
        <f aca="false">AQ10-AP10</f>
        <v>0</v>
      </c>
      <c r="AS10" s="25"/>
      <c r="AT10" s="26"/>
      <c r="AU10" s="81" t="n">
        <f aca="false">AT10-AS10</f>
        <v>0</v>
      </c>
      <c r="AV10" s="82" t="n">
        <f aca="false">170000-35000</f>
        <v>135000</v>
      </c>
      <c r="AW10" s="83" t="n">
        <f aca="false">135000-15000+8678</f>
        <v>128678</v>
      </c>
      <c r="AX10" s="81" t="n">
        <f aca="false">AW10-AV10</f>
        <v>-6322</v>
      </c>
      <c r="AY10" s="25"/>
      <c r="AZ10" s="26"/>
      <c r="BA10" s="81" t="n">
        <f aca="false">AZ10-AY10</f>
        <v>0</v>
      </c>
      <c r="BB10" s="25"/>
      <c r="BC10" s="26"/>
      <c r="BD10" s="81" t="n">
        <f aca="false">BC10-BB10</f>
        <v>0</v>
      </c>
      <c r="BE10" s="25"/>
      <c r="BF10" s="26"/>
      <c r="BG10" s="81" t="n">
        <f aca="false">BF10-BE10</f>
        <v>0</v>
      </c>
      <c r="BH10" s="25"/>
      <c r="BI10" s="26"/>
      <c r="BJ10" s="81" t="n">
        <f aca="false">BI10-BH10</f>
        <v>0</v>
      </c>
      <c r="BK10" s="25"/>
      <c r="BL10" s="26"/>
      <c r="BM10" s="81" t="n">
        <f aca="false">BL10-BK10</f>
        <v>0</v>
      </c>
      <c r="BN10" s="25"/>
      <c r="BO10" s="26"/>
      <c r="BP10" s="81" t="n">
        <f aca="false">BO10-BN10</f>
        <v>0</v>
      </c>
      <c r="BQ10" s="25"/>
      <c r="BR10" s="26"/>
      <c r="BS10" s="81" t="n">
        <f aca="false">BR10-BQ10</f>
        <v>0</v>
      </c>
      <c r="BT10" s="25"/>
      <c r="BU10" s="26"/>
      <c r="BV10" s="81" t="n">
        <f aca="false">BU10-BT10</f>
        <v>0</v>
      </c>
      <c r="BW10" s="25"/>
      <c r="BX10" s="26"/>
      <c r="BY10" s="81" t="n">
        <f aca="false">BX10-BW10</f>
        <v>0</v>
      </c>
      <c r="BZ10" s="25"/>
      <c r="CA10" s="26"/>
      <c r="CB10" s="81" t="n">
        <f aca="false">CA10-BZ10</f>
        <v>0</v>
      </c>
      <c r="CC10" s="25"/>
      <c r="CD10" s="26"/>
      <c r="CE10" s="81" t="n">
        <f aca="false">CD10-CC10</f>
        <v>0</v>
      </c>
      <c r="CF10" s="25"/>
      <c r="CG10" s="26"/>
      <c r="CH10" s="81" t="n">
        <f aca="false">CG10-CF10</f>
        <v>0</v>
      </c>
      <c r="CI10" s="25"/>
      <c r="CJ10" s="26"/>
      <c r="CK10" s="81" t="n">
        <f aca="false">CJ10-CI10</f>
        <v>0</v>
      </c>
      <c r="CL10" s="25"/>
      <c r="CM10" s="26"/>
      <c r="CN10" s="81" t="n">
        <f aca="false">CM10-CL10</f>
        <v>0</v>
      </c>
      <c r="CO10" s="25"/>
      <c r="CP10" s="26"/>
      <c r="CQ10" s="81" t="n">
        <f aca="false">CP10-CO10</f>
        <v>0</v>
      </c>
      <c r="CR10" s="25"/>
      <c r="CS10" s="26"/>
      <c r="CT10" s="81" t="n">
        <f aca="false">CS10-CR10</f>
        <v>0</v>
      </c>
      <c r="CU10" s="25"/>
      <c r="CV10" s="26"/>
      <c r="CW10" s="81" t="n">
        <f aca="false">CV10-CU10</f>
        <v>0</v>
      </c>
      <c r="CX10" s="25"/>
      <c r="CY10" s="26"/>
      <c r="CZ10" s="81" t="n">
        <f aca="false">CY10-CX10</f>
        <v>0</v>
      </c>
      <c r="DA10" s="25"/>
      <c r="DB10" s="26"/>
      <c r="DC10" s="81" t="n">
        <f aca="false">DB10-DA10</f>
        <v>0</v>
      </c>
      <c r="DD10" s="25"/>
      <c r="DE10" s="26"/>
      <c r="DF10" s="81" t="n">
        <f aca="false">DE10-DD10</f>
        <v>0</v>
      </c>
      <c r="DG10" s="25"/>
      <c r="DH10" s="26"/>
      <c r="DI10" s="81" t="n">
        <f aca="false">DH10-DG10</f>
        <v>0</v>
      </c>
      <c r="DJ10" s="25"/>
      <c r="DK10" s="26"/>
      <c r="DL10" s="81" t="n">
        <f aca="false">DK10-DJ10</f>
        <v>0</v>
      </c>
      <c r="DM10" s="25"/>
      <c r="DN10" s="26"/>
      <c r="DO10" s="81" t="n">
        <f aca="false">DN10-DM10</f>
        <v>0</v>
      </c>
      <c r="DP10" s="25"/>
      <c r="DQ10" s="26"/>
      <c r="DR10" s="81" t="n">
        <f aca="false">DQ10-DP10</f>
        <v>0</v>
      </c>
      <c r="DS10" s="81" t="n">
        <f aca="false">+C10+F10+I10+L10+O10+R10+U10+X10+AA10+AD10+AG10+AJ10+AM10+AP10+AS10+AV10+AY10+BB10+BE10+BH10+BK10+BN10+BQ10+BT10+BW10+BZ10+CC10+CF10+CI10+CL10+CO10+CR10+CU10+CX10+DA10+DD10+DG10+DJ10+DM10+DP10</f>
        <v>170000</v>
      </c>
      <c r="DT10" s="81" t="n">
        <f aca="false">+D10+G10+J10+M10+P10+S10+V10+Y10+AB10+AE10+AH10+AK10+AN10+AQ10+AT10+AW10+AZ10+BC10+BF10+BI10+BL10+BO10+BR10+BU10+BX10+CA10+CD10+CG10+CJ10+CM10+CP10+CS10+CV10+CY10+DB10+DE10+DH10+DK10+DN10+DQ10</f>
        <v>163678</v>
      </c>
      <c r="DU10" s="81" t="n">
        <f aca="false">DT10-DS10</f>
        <v>-6322</v>
      </c>
      <c r="DV10" s="26" t="n">
        <f aca="false">+DV9+DU10</f>
        <v>-71400</v>
      </c>
      <c r="DW10" s="87"/>
      <c r="DX10" s="81" t="n">
        <f aca="false">+DS10-AV10</f>
        <v>35000</v>
      </c>
      <c r="DY10" s="81" t="n">
        <f aca="false">+DT10-AW10</f>
        <v>35000</v>
      </c>
      <c r="DZ10" s="26" t="n">
        <f aca="false">+DY10-DX10</f>
        <v>0</v>
      </c>
      <c r="EA10" s="26" t="n">
        <f aca="false">+EA9+DZ10</f>
        <v>0</v>
      </c>
      <c r="EB10" s="87"/>
      <c r="EC10" s="26" t="n">
        <f aca="false">+AX10</f>
        <v>-6322</v>
      </c>
      <c r="ED10" s="26" t="n">
        <f aca="false">+EC10</f>
        <v>-6322</v>
      </c>
      <c r="EE10" s="87"/>
      <c r="EF10" s="87"/>
      <c r="EG10" s="87"/>
      <c r="EH10" s="87"/>
      <c r="EI10" s="87"/>
      <c r="EJ10" s="87"/>
      <c r="EK10" s="87"/>
    </row>
    <row r="11" customFormat="false" ht="12.75" hidden="false" customHeight="false" outlineLevel="0" collapsed="false">
      <c r="A11" s="80" t="n">
        <f aca="false">+BaseloadMarkets!A11</f>
        <v>36713</v>
      </c>
      <c r="B11" s="80" t="str">
        <f aca="false">+BaseloadMarkets!B11</f>
        <v>Thu</v>
      </c>
      <c r="C11" s="25" t="n">
        <v>5000</v>
      </c>
      <c r="D11" s="26" t="n">
        <v>5000</v>
      </c>
      <c r="E11" s="81" t="n">
        <f aca="false">D11-C11</f>
        <v>0</v>
      </c>
      <c r="F11" s="25" t="n">
        <v>10000</v>
      </c>
      <c r="G11" s="26" t="n">
        <v>10000</v>
      </c>
      <c r="H11" s="81" t="n">
        <f aca="false">G11-F11</f>
        <v>0</v>
      </c>
      <c r="I11" s="25" t="n">
        <f aca="false">10000+10000</f>
        <v>20000</v>
      </c>
      <c r="J11" s="25" t="n">
        <f aca="false">10000+10000</f>
        <v>20000</v>
      </c>
      <c r="K11" s="81" t="n">
        <f aca="false">J11-I11</f>
        <v>0</v>
      </c>
      <c r="L11" s="25"/>
      <c r="M11" s="26"/>
      <c r="N11" s="81" t="n">
        <f aca="false">M11-L11</f>
        <v>0</v>
      </c>
      <c r="O11" s="25"/>
      <c r="P11" s="26"/>
      <c r="Q11" s="81" t="n">
        <f aca="false">P11-O11</f>
        <v>0</v>
      </c>
      <c r="R11" s="25"/>
      <c r="S11" s="26"/>
      <c r="T11" s="81" t="n">
        <f aca="false">S11-R11</f>
        <v>0</v>
      </c>
      <c r="U11" s="25"/>
      <c r="V11" s="26"/>
      <c r="W11" s="81" t="n">
        <f aca="false">V11-U11</f>
        <v>0</v>
      </c>
      <c r="X11" s="25"/>
      <c r="Y11" s="26"/>
      <c r="Z11" s="81" t="n">
        <f aca="false">Y11-X11</f>
        <v>0</v>
      </c>
      <c r="AA11" s="25"/>
      <c r="AB11" s="26"/>
      <c r="AC11" s="81" t="n">
        <f aca="false">AB11-AA11</f>
        <v>0</v>
      </c>
      <c r="AD11" s="25"/>
      <c r="AE11" s="26"/>
      <c r="AF11" s="81" t="n">
        <f aca="false">AE11-AD11</f>
        <v>0</v>
      </c>
      <c r="AG11" s="25"/>
      <c r="AH11" s="26"/>
      <c r="AI11" s="81" t="n">
        <f aca="false">AH11-AG11</f>
        <v>0</v>
      </c>
      <c r="AJ11" s="25"/>
      <c r="AK11" s="26"/>
      <c r="AL11" s="81" t="n">
        <f aca="false">AK11-AJ11</f>
        <v>0</v>
      </c>
      <c r="AM11" s="25"/>
      <c r="AN11" s="26"/>
      <c r="AO11" s="81" t="n">
        <f aca="false">AN11-AM11</f>
        <v>0</v>
      </c>
      <c r="AP11" s="25"/>
      <c r="AQ11" s="26"/>
      <c r="AR11" s="81" t="n">
        <f aca="false">AQ11-AP11</f>
        <v>0</v>
      </c>
      <c r="AS11" s="25"/>
      <c r="AT11" s="26"/>
      <c r="AU11" s="81" t="n">
        <f aca="false">AT11-AS11</f>
        <v>0</v>
      </c>
      <c r="AV11" s="82" t="n">
        <v>300000</v>
      </c>
      <c r="AW11" s="83" t="n">
        <v>274409</v>
      </c>
      <c r="AX11" s="81" t="n">
        <f aca="false">AW11-AV11</f>
        <v>-25591</v>
      </c>
      <c r="AY11" s="25"/>
      <c r="AZ11" s="26"/>
      <c r="BA11" s="81" t="n">
        <f aca="false">AZ11-AY11</f>
        <v>0</v>
      </c>
      <c r="BB11" s="25"/>
      <c r="BC11" s="26"/>
      <c r="BD11" s="81" t="n">
        <f aca="false">BC11-BB11</f>
        <v>0</v>
      </c>
      <c r="BE11" s="25"/>
      <c r="BF11" s="26"/>
      <c r="BG11" s="81" t="n">
        <f aca="false">BF11-BE11</f>
        <v>0</v>
      </c>
      <c r="BH11" s="25"/>
      <c r="BI11" s="26"/>
      <c r="BJ11" s="81" t="n">
        <f aca="false">BI11-BH11</f>
        <v>0</v>
      </c>
      <c r="BK11" s="25"/>
      <c r="BL11" s="26"/>
      <c r="BM11" s="81" t="n">
        <f aca="false">BL11-BK11</f>
        <v>0</v>
      </c>
      <c r="BN11" s="25"/>
      <c r="BO11" s="26"/>
      <c r="BP11" s="81" t="n">
        <f aca="false">BO11-BN11</f>
        <v>0</v>
      </c>
      <c r="BQ11" s="25"/>
      <c r="BR11" s="26"/>
      <c r="BS11" s="81" t="n">
        <f aca="false">BR11-BQ11</f>
        <v>0</v>
      </c>
      <c r="BT11" s="25"/>
      <c r="BU11" s="26"/>
      <c r="BV11" s="81" t="n">
        <f aca="false">BU11-BT11</f>
        <v>0</v>
      </c>
      <c r="BW11" s="25"/>
      <c r="BX11" s="26"/>
      <c r="BY11" s="81" t="n">
        <f aca="false">BX11-BW11</f>
        <v>0</v>
      </c>
      <c r="BZ11" s="25"/>
      <c r="CA11" s="26"/>
      <c r="CB11" s="81" t="n">
        <f aca="false">CA11-BZ11</f>
        <v>0</v>
      </c>
      <c r="CC11" s="25"/>
      <c r="CD11" s="26"/>
      <c r="CE11" s="81" t="n">
        <f aca="false">CD11-CC11</f>
        <v>0</v>
      </c>
      <c r="CF11" s="25"/>
      <c r="CG11" s="26"/>
      <c r="CH11" s="81" t="n">
        <f aca="false">CG11-CF11</f>
        <v>0</v>
      </c>
      <c r="CI11" s="25"/>
      <c r="CJ11" s="26"/>
      <c r="CK11" s="81" t="n">
        <f aca="false">CJ11-CI11</f>
        <v>0</v>
      </c>
      <c r="CL11" s="25"/>
      <c r="CM11" s="26"/>
      <c r="CN11" s="81" t="n">
        <f aca="false">CM11-CL11</f>
        <v>0</v>
      </c>
      <c r="CO11" s="25"/>
      <c r="CP11" s="26"/>
      <c r="CQ11" s="81" t="n">
        <f aca="false">CP11-CO11</f>
        <v>0</v>
      </c>
      <c r="CR11" s="25"/>
      <c r="CS11" s="26"/>
      <c r="CT11" s="81" t="n">
        <f aca="false">CS11-CR11</f>
        <v>0</v>
      </c>
      <c r="CU11" s="25"/>
      <c r="CV11" s="26"/>
      <c r="CW11" s="81" t="n">
        <f aca="false">CV11-CU11</f>
        <v>0</v>
      </c>
      <c r="CX11" s="25"/>
      <c r="CY11" s="26"/>
      <c r="CZ11" s="81" t="n">
        <f aca="false">CY11-CX11</f>
        <v>0</v>
      </c>
      <c r="DA11" s="25"/>
      <c r="DB11" s="26"/>
      <c r="DC11" s="81" t="n">
        <f aca="false">DB11-DA11</f>
        <v>0</v>
      </c>
      <c r="DD11" s="25"/>
      <c r="DE11" s="26"/>
      <c r="DF11" s="81" t="n">
        <f aca="false">DE11-DD11</f>
        <v>0</v>
      </c>
      <c r="DG11" s="25"/>
      <c r="DH11" s="26"/>
      <c r="DI11" s="81" t="n">
        <f aca="false">DH11-DG11</f>
        <v>0</v>
      </c>
      <c r="DJ11" s="25"/>
      <c r="DK11" s="26"/>
      <c r="DL11" s="81" t="n">
        <f aca="false">DK11-DJ11</f>
        <v>0</v>
      </c>
      <c r="DM11" s="25"/>
      <c r="DN11" s="26"/>
      <c r="DO11" s="81" t="n">
        <f aca="false">DN11-DM11</f>
        <v>0</v>
      </c>
      <c r="DP11" s="25"/>
      <c r="DQ11" s="26"/>
      <c r="DR11" s="81" t="n">
        <f aca="false">DQ11-DP11</f>
        <v>0</v>
      </c>
      <c r="DS11" s="81" t="n">
        <f aca="false">+C11+F11+I11+L11+O11+R11+U11+X11+AA11+AD11+AG11+AJ11+AM11+AP11+AS11+AV11+AY11+BB11+BE11+BH11+BK11+BN11+BQ11+BT11+BW11+BZ11+CC11+CF11+CI11+CL11+CO11+CR11+CU11+CX11+DA11+DD11+DG11+DJ11+DM11+DP11</f>
        <v>335000</v>
      </c>
      <c r="DT11" s="81" t="n">
        <f aca="false">+D11+G11+J11+M11+P11+S11+V11+Y11+AB11+AE11+AH11+AK11+AN11+AQ11+AT11+AW11+AZ11+BC11+BF11+BI11+BL11+BO11+BR11+BU11+BX11+CA11+CD11+CG11+CJ11+CM11+CP11+CS11+CV11+CY11+DB11+DE11+DH11+DK11+DN11+DQ11</f>
        <v>309409</v>
      </c>
      <c r="DU11" s="81" t="n">
        <f aca="false">DT11-DS11</f>
        <v>-25591</v>
      </c>
      <c r="DV11" s="26" t="n">
        <f aca="false">+DV10+DU11</f>
        <v>-96991</v>
      </c>
      <c r="DW11" s="87"/>
      <c r="DX11" s="81" t="n">
        <f aca="false">+DS11-AV11</f>
        <v>35000</v>
      </c>
      <c r="DY11" s="81" t="n">
        <f aca="false">+DT11-AW11</f>
        <v>35000</v>
      </c>
      <c r="DZ11" s="26" t="n">
        <f aca="false">+DY11-DX11</f>
        <v>0</v>
      </c>
      <c r="EA11" s="26" t="n">
        <f aca="false">+EA10+DZ11</f>
        <v>0</v>
      </c>
      <c r="EB11" s="87"/>
      <c r="EC11" s="26" t="n">
        <f aca="false">+AX11</f>
        <v>-25591</v>
      </c>
      <c r="ED11" s="26" t="n">
        <f aca="false">+EC11</f>
        <v>-25591</v>
      </c>
      <c r="EE11" s="87"/>
      <c r="EF11" s="87"/>
      <c r="EG11" s="87"/>
      <c r="EH11" s="87"/>
      <c r="EI11" s="87"/>
      <c r="EJ11" s="87"/>
      <c r="EK11" s="87"/>
    </row>
    <row r="12" customFormat="false" ht="12.75" hidden="false" customHeight="false" outlineLevel="0" collapsed="false">
      <c r="A12" s="80" t="n">
        <f aca="false">+BaseloadMarkets!A12</f>
        <v>36714</v>
      </c>
      <c r="B12" s="80" t="str">
        <f aca="false">+BaseloadMarkets!B12</f>
        <v>Fri</v>
      </c>
      <c r="C12" s="25" t="n">
        <v>5000</v>
      </c>
      <c r="D12" s="26" t="n">
        <v>5000</v>
      </c>
      <c r="E12" s="81" t="n">
        <f aca="false">D12-C12</f>
        <v>0</v>
      </c>
      <c r="F12" s="25" t="n">
        <v>10000</v>
      </c>
      <c r="G12" s="26" t="n">
        <v>10000</v>
      </c>
      <c r="H12" s="81" t="n">
        <f aca="false">G12-F12</f>
        <v>0</v>
      </c>
      <c r="I12" s="25" t="n">
        <f aca="false">10000+10000</f>
        <v>20000</v>
      </c>
      <c r="J12" s="25" t="n">
        <f aca="false">10000+10000</f>
        <v>20000</v>
      </c>
      <c r="K12" s="81" t="n">
        <f aca="false">J12-I12</f>
        <v>0</v>
      </c>
      <c r="L12" s="25"/>
      <c r="M12" s="26"/>
      <c r="N12" s="81" t="n">
        <f aca="false">M12-L12</f>
        <v>0</v>
      </c>
      <c r="O12" s="25"/>
      <c r="P12" s="26"/>
      <c r="Q12" s="81" t="n">
        <f aca="false">P12-O12</f>
        <v>0</v>
      </c>
      <c r="R12" s="25"/>
      <c r="S12" s="26"/>
      <c r="T12" s="81" t="n">
        <f aca="false">S12-R12</f>
        <v>0</v>
      </c>
      <c r="U12" s="25"/>
      <c r="V12" s="26"/>
      <c r="W12" s="81" t="n">
        <f aca="false">V12-U12</f>
        <v>0</v>
      </c>
      <c r="X12" s="25"/>
      <c r="Y12" s="26"/>
      <c r="Z12" s="81" t="n">
        <f aca="false">Y12-X12</f>
        <v>0</v>
      </c>
      <c r="AA12" s="25"/>
      <c r="AB12" s="26"/>
      <c r="AC12" s="81" t="n">
        <f aca="false">AB12-AA12</f>
        <v>0</v>
      </c>
      <c r="AD12" s="25"/>
      <c r="AE12" s="26"/>
      <c r="AF12" s="81" t="n">
        <f aca="false">AE12-AD12</f>
        <v>0</v>
      </c>
      <c r="AG12" s="25"/>
      <c r="AH12" s="26"/>
      <c r="AI12" s="81" t="n">
        <f aca="false">AH12-AG12</f>
        <v>0</v>
      </c>
      <c r="AJ12" s="25"/>
      <c r="AK12" s="26"/>
      <c r="AL12" s="81" t="n">
        <f aca="false">AK12-AJ12</f>
        <v>0</v>
      </c>
      <c r="AM12" s="25"/>
      <c r="AN12" s="26"/>
      <c r="AO12" s="81" t="n">
        <f aca="false">AN12-AM12</f>
        <v>0</v>
      </c>
      <c r="AP12" s="25"/>
      <c r="AQ12" s="26"/>
      <c r="AR12" s="81" t="n">
        <f aca="false">AQ12-AP12</f>
        <v>0</v>
      </c>
      <c r="AS12" s="25"/>
      <c r="AT12" s="26"/>
      <c r="AU12" s="81" t="n">
        <f aca="false">AT12-AS12</f>
        <v>0</v>
      </c>
      <c r="AV12" s="82" t="n">
        <v>165000</v>
      </c>
      <c r="AW12" s="83" t="n">
        <v>165000</v>
      </c>
      <c r="AX12" s="81" t="n">
        <f aca="false">AW12-AV12</f>
        <v>0</v>
      </c>
      <c r="AY12" s="25"/>
      <c r="AZ12" s="26"/>
      <c r="BA12" s="81" t="n">
        <f aca="false">AZ12-AY12</f>
        <v>0</v>
      </c>
      <c r="BB12" s="25"/>
      <c r="BC12" s="26"/>
      <c r="BD12" s="81" t="n">
        <f aca="false">BC12-BB12</f>
        <v>0</v>
      </c>
      <c r="BE12" s="25"/>
      <c r="BF12" s="26"/>
      <c r="BG12" s="81" t="n">
        <f aca="false">BF12-BE12</f>
        <v>0</v>
      </c>
      <c r="BH12" s="25"/>
      <c r="BI12" s="26"/>
      <c r="BJ12" s="81" t="n">
        <f aca="false">BI12-BH12</f>
        <v>0</v>
      </c>
      <c r="BK12" s="25"/>
      <c r="BL12" s="26"/>
      <c r="BM12" s="81" t="n">
        <f aca="false">BL12-BK12</f>
        <v>0</v>
      </c>
      <c r="BN12" s="25"/>
      <c r="BO12" s="26"/>
      <c r="BP12" s="81" t="n">
        <f aca="false">BO12-BN12</f>
        <v>0</v>
      </c>
      <c r="BQ12" s="25"/>
      <c r="BR12" s="26"/>
      <c r="BS12" s="81" t="n">
        <f aca="false">BR12-BQ12</f>
        <v>0</v>
      </c>
      <c r="BT12" s="25"/>
      <c r="BU12" s="26"/>
      <c r="BV12" s="81" t="n">
        <f aca="false">BU12-BT12</f>
        <v>0</v>
      </c>
      <c r="BW12" s="25"/>
      <c r="BX12" s="26"/>
      <c r="BY12" s="81" t="n">
        <f aca="false">BX12-BW12</f>
        <v>0</v>
      </c>
      <c r="BZ12" s="25"/>
      <c r="CA12" s="26"/>
      <c r="CB12" s="81" t="n">
        <f aca="false">CA12-BZ12</f>
        <v>0</v>
      </c>
      <c r="CC12" s="25"/>
      <c r="CD12" s="26"/>
      <c r="CE12" s="81" t="n">
        <f aca="false">CD12-CC12</f>
        <v>0</v>
      </c>
      <c r="CF12" s="25"/>
      <c r="CG12" s="26"/>
      <c r="CH12" s="81" t="n">
        <f aca="false">CG12-CF12</f>
        <v>0</v>
      </c>
      <c r="CI12" s="25"/>
      <c r="CJ12" s="26"/>
      <c r="CK12" s="81" t="n">
        <f aca="false">CJ12-CI12</f>
        <v>0</v>
      </c>
      <c r="CL12" s="25"/>
      <c r="CM12" s="26"/>
      <c r="CN12" s="81" t="n">
        <f aca="false">CM12-CL12</f>
        <v>0</v>
      </c>
      <c r="CO12" s="25"/>
      <c r="CP12" s="26"/>
      <c r="CQ12" s="81" t="n">
        <f aca="false">CP12-CO12</f>
        <v>0</v>
      </c>
      <c r="CR12" s="25"/>
      <c r="CS12" s="26"/>
      <c r="CT12" s="81" t="n">
        <f aca="false">CS12-CR12</f>
        <v>0</v>
      </c>
      <c r="CU12" s="25"/>
      <c r="CV12" s="26"/>
      <c r="CW12" s="81" t="n">
        <f aca="false">CV12-CU12</f>
        <v>0</v>
      </c>
      <c r="CX12" s="25"/>
      <c r="CY12" s="26"/>
      <c r="CZ12" s="81" t="n">
        <f aca="false">CY12-CX12</f>
        <v>0</v>
      </c>
      <c r="DA12" s="25"/>
      <c r="DB12" s="26"/>
      <c r="DC12" s="81" t="n">
        <f aca="false">DB12-DA12</f>
        <v>0</v>
      </c>
      <c r="DD12" s="25"/>
      <c r="DE12" s="26"/>
      <c r="DF12" s="81" t="n">
        <f aca="false">DE12-DD12</f>
        <v>0</v>
      </c>
      <c r="DG12" s="25"/>
      <c r="DH12" s="26"/>
      <c r="DI12" s="81" t="n">
        <f aca="false">DH12-DG12</f>
        <v>0</v>
      </c>
      <c r="DJ12" s="25"/>
      <c r="DK12" s="26"/>
      <c r="DL12" s="81" t="n">
        <f aca="false">DK12-DJ12</f>
        <v>0</v>
      </c>
      <c r="DM12" s="25"/>
      <c r="DN12" s="26"/>
      <c r="DO12" s="81" t="n">
        <f aca="false">DN12-DM12</f>
        <v>0</v>
      </c>
      <c r="DP12" s="25"/>
      <c r="DQ12" s="26"/>
      <c r="DR12" s="81" t="n">
        <f aca="false">DQ12-DP12</f>
        <v>0</v>
      </c>
      <c r="DS12" s="81" t="n">
        <f aca="false">+C12+F12+I12+L12+O12+R12+U12+X12+AA12+AD12+AG12+AJ12+AM12+AP12+AS12+AV12+AY12+BB12+BE12+BH12+BK12+BN12+BQ12+BT12+BW12+BZ12+CC12+CF12+CI12+CL12+CO12+CR12+CU12+CX12+DA12+DD12+DG12+DJ12+DM12+DP12</f>
        <v>200000</v>
      </c>
      <c r="DT12" s="81" t="n">
        <f aca="false">+D12+G12+J12+M12+P12+S12+V12+Y12+AB12+AE12+AH12+AK12+AN12+AQ12+AT12+AW12+AZ12+BC12+BF12+BI12+BL12+BO12+BR12+BU12+BX12+CA12+CD12+CG12+CJ12+CM12+CP12+CS12+CV12+CY12+DB12+DE12+DH12+DK12+DN12+DQ12</f>
        <v>200000</v>
      </c>
      <c r="DU12" s="81" t="n">
        <f aca="false">DT12-DS12</f>
        <v>0</v>
      </c>
      <c r="DV12" s="26" t="n">
        <f aca="false">+DV11+DU12</f>
        <v>-96991</v>
      </c>
      <c r="DW12" s="87"/>
      <c r="DX12" s="81" t="n">
        <f aca="false">+DS12-AV12</f>
        <v>35000</v>
      </c>
      <c r="DY12" s="81" t="n">
        <f aca="false">+DT12-AW12</f>
        <v>35000</v>
      </c>
      <c r="DZ12" s="26" t="n">
        <f aca="false">+DY12-DX12</f>
        <v>0</v>
      </c>
      <c r="EA12" s="26" t="n">
        <f aca="false">+EA11+DZ12</f>
        <v>0</v>
      </c>
      <c r="EB12" s="87"/>
      <c r="EC12" s="26" t="n">
        <f aca="false">+AX12</f>
        <v>0</v>
      </c>
      <c r="ED12" s="26" t="n">
        <f aca="false">+EC12</f>
        <v>0</v>
      </c>
      <c r="EE12" s="87"/>
      <c r="EF12" s="87"/>
      <c r="EG12" s="87"/>
      <c r="EH12" s="87"/>
      <c r="EI12" s="87"/>
      <c r="EJ12" s="87"/>
      <c r="EK12" s="87"/>
    </row>
    <row r="13" customFormat="false" ht="12.75" hidden="false" customHeight="false" outlineLevel="0" collapsed="false">
      <c r="A13" s="80" t="n">
        <f aca="false">+BaseloadMarkets!A13</f>
        <v>36715</v>
      </c>
      <c r="B13" s="80" t="str">
        <f aca="false">+BaseloadMarkets!B13</f>
        <v>Sat</v>
      </c>
      <c r="C13" s="25" t="n">
        <v>5000</v>
      </c>
      <c r="D13" s="26" t="n">
        <v>5000</v>
      </c>
      <c r="E13" s="81" t="n">
        <f aca="false">D13-C13</f>
        <v>0</v>
      </c>
      <c r="F13" s="25" t="n">
        <v>10000</v>
      </c>
      <c r="G13" s="26" t="n">
        <v>10000</v>
      </c>
      <c r="H13" s="81" t="n">
        <f aca="false">G13-F13</f>
        <v>0</v>
      </c>
      <c r="I13" s="25" t="n">
        <f aca="false">10000+10000</f>
        <v>20000</v>
      </c>
      <c r="J13" s="25" t="n">
        <f aca="false">10000+10000</f>
        <v>20000</v>
      </c>
      <c r="K13" s="81" t="n">
        <f aca="false">J13-I13</f>
        <v>0</v>
      </c>
      <c r="L13" s="25"/>
      <c r="M13" s="26"/>
      <c r="N13" s="81" t="n">
        <f aca="false">M13-L13</f>
        <v>0</v>
      </c>
      <c r="O13" s="25"/>
      <c r="P13" s="26"/>
      <c r="Q13" s="81" t="n">
        <f aca="false">P13-O13</f>
        <v>0</v>
      </c>
      <c r="R13" s="25"/>
      <c r="S13" s="26"/>
      <c r="T13" s="81" t="n">
        <f aca="false">S13-R13</f>
        <v>0</v>
      </c>
      <c r="U13" s="25"/>
      <c r="V13" s="26"/>
      <c r="W13" s="81" t="n">
        <f aca="false">V13-U13</f>
        <v>0</v>
      </c>
      <c r="X13" s="25"/>
      <c r="Y13" s="26"/>
      <c r="Z13" s="81" t="n">
        <f aca="false">Y13-X13</f>
        <v>0</v>
      </c>
      <c r="AA13" s="25"/>
      <c r="AB13" s="26"/>
      <c r="AC13" s="81" t="n">
        <f aca="false">AB13-AA13</f>
        <v>0</v>
      </c>
      <c r="AD13" s="25"/>
      <c r="AE13" s="26"/>
      <c r="AF13" s="81" t="n">
        <f aca="false">AE13-AD13</f>
        <v>0</v>
      </c>
      <c r="AG13" s="25"/>
      <c r="AH13" s="26"/>
      <c r="AI13" s="81" t="n">
        <f aca="false">AH13-AG13</f>
        <v>0</v>
      </c>
      <c r="AJ13" s="25"/>
      <c r="AK13" s="26"/>
      <c r="AL13" s="81" t="n">
        <f aca="false">AK13-AJ13</f>
        <v>0</v>
      </c>
      <c r="AM13" s="25"/>
      <c r="AN13" s="26"/>
      <c r="AO13" s="81" t="n">
        <f aca="false">AN13-AM13</f>
        <v>0</v>
      </c>
      <c r="AP13" s="25"/>
      <c r="AQ13" s="26"/>
      <c r="AR13" s="81" t="n">
        <f aca="false">AQ13-AP13</f>
        <v>0</v>
      </c>
      <c r="AS13" s="25"/>
      <c r="AT13" s="26"/>
      <c r="AU13" s="81" t="n">
        <f aca="false">AT13-AS13</f>
        <v>0</v>
      </c>
      <c r="AV13" s="82" t="n">
        <v>150000</v>
      </c>
      <c r="AW13" s="83" t="n">
        <v>147006</v>
      </c>
      <c r="AX13" s="81" t="n">
        <f aca="false">AW13-AV13</f>
        <v>-2994</v>
      </c>
      <c r="AY13" s="25"/>
      <c r="AZ13" s="26"/>
      <c r="BA13" s="81" t="n">
        <f aca="false">AZ13-AY13</f>
        <v>0</v>
      </c>
      <c r="BB13" s="25"/>
      <c r="BC13" s="26"/>
      <c r="BD13" s="81" t="n">
        <f aca="false">BC13-BB13</f>
        <v>0</v>
      </c>
      <c r="BE13" s="25"/>
      <c r="BF13" s="26"/>
      <c r="BG13" s="81" t="n">
        <f aca="false">BF13-BE13</f>
        <v>0</v>
      </c>
      <c r="BH13" s="25"/>
      <c r="BI13" s="26"/>
      <c r="BJ13" s="81" t="n">
        <f aca="false">BI13-BH13</f>
        <v>0</v>
      </c>
      <c r="BK13" s="25"/>
      <c r="BL13" s="26"/>
      <c r="BM13" s="81" t="n">
        <f aca="false">BL13-BK13</f>
        <v>0</v>
      </c>
      <c r="BN13" s="25"/>
      <c r="BO13" s="26"/>
      <c r="BP13" s="81" t="n">
        <f aca="false">BO13-BN13</f>
        <v>0</v>
      </c>
      <c r="BQ13" s="25"/>
      <c r="BR13" s="26"/>
      <c r="BS13" s="81" t="n">
        <f aca="false">BR13-BQ13</f>
        <v>0</v>
      </c>
      <c r="BT13" s="25"/>
      <c r="BU13" s="26"/>
      <c r="BV13" s="81" t="n">
        <f aca="false">BU13-BT13</f>
        <v>0</v>
      </c>
      <c r="BW13" s="25"/>
      <c r="BX13" s="26"/>
      <c r="BY13" s="81" t="n">
        <f aca="false">BX13-BW13</f>
        <v>0</v>
      </c>
      <c r="BZ13" s="25"/>
      <c r="CA13" s="26"/>
      <c r="CB13" s="81" t="n">
        <f aca="false">CA13-BZ13</f>
        <v>0</v>
      </c>
      <c r="CC13" s="25"/>
      <c r="CD13" s="26"/>
      <c r="CE13" s="81" t="n">
        <f aca="false">CD13-CC13</f>
        <v>0</v>
      </c>
      <c r="CF13" s="25"/>
      <c r="CG13" s="26"/>
      <c r="CH13" s="81" t="n">
        <f aca="false">CG13-CF13</f>
        <v>0</v>
      </c>
      <c r="CI13" s="25"/>
      <c r="CJ13" s="26"/>
      <c r="CK13" s="81" t="n">
        <f aca="false">CJ13-CI13</f>
        <v>0</v>
      </c>
      <c r="CL13" s="25"/>
      <c r="CM13" s="26"/>
      <c r="CN13" s="81" t="n">
        <f aca="false">CM13-CL13</f>
        <v>0</v>
      </c>
      <c r="CO13" s="25"/>
      <c r="CP13" s="26"/>
      <c r="CQ13" s="81" t="n">
        <f aca="false">CP13-CO13</f>
        <v>0</v>
      </c>
      <c r="CR13" s="25"/>
      <c r="CS13" s="26"/>
      <c r="CT13" s="81" t="n">
        <f aca="false">CS13-CR13</f>
        <v>0</v>
      </c>
      <c r="CU13" s="25"/>
      <c r="CV13" s="26"/>
      <c r="CW13" s="81" t="n">
        <f aca="false">CV13-CU13</f>
        <v>0</v>
      </c>
      <c r="CX13" s="25"/>
      <c r="CY13" s="26"/>
      <c r="CZ13" s="81" t="n">
        <f aca="false">CY13-CX13</f>
        <v>0</v>
      </c>
      <c r="DA13" s="25"/>
      <c r="DB13" s="26"/>
      <c r="DC13" s="81" t="n">
        <f aca="false">DB13-DA13</f>
        <v>0</v>
      </c>
      <c r="DD13" s="25"/>
      <c r="DE13" s="26"/>
      <c r="DF13" s="81" t="n">
        <f aca="false">DE13-DD13</f>
        <v>0</v>
      </c>
      <c r="DG13" s="25"/>
      <c r="DH13" s="26"/>
      <c r="DI13" s="81" t="n">
        <f aca="false">DH13-DG13</f>
        <v>0</v>
      </c>
      <c r="DJ13" s="25"/>
      <c r="DK13" s="26"/>
      <c r="DL13" s="81" t="n">
        <f aca="false">DK13-DJ13</f>
        <v>0</v>
      </c>
      <c r="DM13" s="25"/>
      <c r="DN13" s="26"/>
      <c r="DO13" s="81" t="n">
        <f aca="false">DN13-DM13</f>
        <v>0</v>
      </c>
      <c r="DP13" s="25"/>
      <c r="DQ13" s="26"/>
      <c r="DR13" s="81" t="n">
        <f aca="false">DQ13-DP13</f>
        <v>0</v>
      </c>
      <c r="DS13" s="81" t="n">
        <f aca="false">+C13+F13+I13+L13+O13+R13+U13+X13+AA13+AD13+AG13+AJ13+AM13+AP13+AS13+AV13+AY13+BB13+BE13+BH13+BK13+BN13+BQ13+BT13+BW13+BZ13+CC13+CF13+CI13+CL13+CO13+CR13+CU13+CX13+DA13+DD13+DG13+DJ13+DM13+DP13</f>
        <v>185000</v>
      </c>
      <c r="DT13" s="81" t="n">
        <f aca="false">+D13+G13+J13+M13+P13+S13+V13+Y13+AB13+AE13+AH13+AK13+AN13+AQ13+AT13+AW13+AZ13+BC13+BF13+BI13+BL13+BO13+BR13+BU13+BX13+CA13+CD13+CG13+CJ13+CM13+CP13+CS13+CV13+CY13+DB13+DE13+DH13+DK13+DN13+DQ13</f>
        <v>182006</v>
      </c>
      <c r="DU13" s="81" t="n">
        <f aca="false">DT13-DS13</f>
        <v>-2994</v>
      </c>
      <c r="DV13" s="26" t="n">
        <f aca="false">+DV12+DU13</f>
        <v>-99985</v>
      </c>
      <c r="DW13" s="87"/>
      <c r="DX13" s="81" t="n">
        <f aca="false">+DS13-AV13</f>
        <v>35000</v>
      </c>
      <c r="DY13" s="81" t="n">
        <f aca="false">+DT13-AW13</f>
        <v>35000</v>
      </c>
      <c r="DZ13" s="26" t="n">
        <f aca="false">+DY13-DX13</f>
        <v>0</v>
      </c>
      <c r="EA13" s="26" t="n">
        <f aca="false">+EA12+DZ13</f>
        <v>0</v>
      </c>
      <c r="EB13" s="87"/>
      <c r="EC13" s="26" t="n">
        <f aca="false">+AX13</f>
        <v>-2994</v>
      </c>
      <c r="ED13" s="26" t="n">
        <f aca="false">+EC13</f>
        <v>-2994</v>
      </c>
      <c r="EE13" s="87"/>
      <c r="EF13" s="87"/>
      <c r="EG13" s="87"/>
      <c r="EH13" s="87"/>
      <c r="EI13" s="87"/>
      <c r="EJ13" s="87"/>
      <c r="EK13" s="87"/>
    </row>
    <row r="14" customFormat="false" ht="12.75" hidden="false" customHeight="false" outlineLevel="0" collapsed="false">
      <c r="A14" s="80" t="n">
        <f aca="false">+BaseloadMarkets!A14</f>
        <v>36716</v>
      </c>
      <c r="B14" s="80" t="str">
        <f aca="false">+BaseloadMarkets!B14</f>
        <v>Sun</v>
      </c>
      <c r="C14" s="25" t="n">
        <v>5000</v>
      </c>
      <c r="D14" s="26" t="n">
        <v>5000</v>
      </c>
      <c r="E14" s="81" t="n">
        <f aca="false">D14-C14</f>
        <v>0</v>
      </c>
      <c r="F14" s="25" t="n">
        <v>10000</v>
      </c>
      <c r="G14" s="26" t="n">
        <v>10000</v>
      </c>
      <c r="H14" s="81" t="n">
        <f aca="false">G14-F14</f>
        <v>0</v>
      </c>
      <c r="I14" s="25" t="n">
        <f aca="false">10000+10000</f>
        <v>20000</v>
      </c>
      <c r="J14" s="25" t="n">
        <f aca="false">10000+10000</f>
        <v>20000</v>
      </c>
      <c r="K14" s="81" t="n">
        <f aca="false">J14-I14</f>
        <v>0</v>
      </c>
      <c r="L14" s="25"/>
      <c r="M14" s="26"/>
      <c r="N14" s="81" t="n">
        <f aca="false">M14-L14</f>
        <v>0</v>
      </c>
      <c r="O14" s="25"/>
      <c r="P14" s="26"/>
      <c r="Q14" s="81" t="n">
        <f aca="false">P14-O14</f>
        <v>0</v>
      </c>
      <c r="R14" s="25"/>
      <c r="S14" s="26"/>
      <c r="T14" s="81" t="n">
        <f aca="false">S14-R14</f>
        <v>0</v>
      </c>
      <c r="U14" s="25"/>
      <c r="V14" s="26"/>
      <c r="W14" s="81" t="n">
        <f aca="false">V14-U14</f>
        <v>0</v>
      </c>
      <c r="X14" s="25"/>
      <c r="Y14" s="26"/>
      <c r="Z14" s="81" t="n">
        <f aca="false">Y14-X14</f>
        <v>0</v>
      </c>
      <c r="AA14" s="25"/>
      <c r="AB14" s="26"/>
      <c r="AC14" s="81" t="n">
        <f aca="false">AB14-AA14</f>
        <v>0</v>
      </c>
      <c r="AD14" s="25"/>
      <c r="AE14" s="26"/>
      <c r="AF14" s="81" t="n">
        <f aca="false">AE14-AD14</f>
        <v>0</v>
      </c>
      <c r="AG14" s="25"/>
      <c r="AH14" s="26"/>
      <c r="AI14" s="81" t="n">
        <f aca="false">AH14-AG14</f>
        <v>0</v>
      </c>
      <c r="AJ14" s="25"/>
      <c r="AK14" s="26"/>
      <c r="AL14" s="81" t="n">
        <f aca="false">AK14-AJ14</f>
        <v>0</v>
      </c>
      <c r="AM14" s="25"/>
      <c r="AN14" s="26"/>
      <c r="AO14" s="81" t="n">
        <f aca="false">AN14-AM14</f>
        <v>0</v>
      </c>
      <c r="AP14" s="25"/>
      <c r="AQ14" s="26"/>
      <c r="AR14" s="81" t="n">
        <f aca="false">AQ14-AP14</f>
        <v>0</v>
      </c>
      <c r="AS14" s="25"/>
      <c r="AT14" s="26"/>
      <c r="AU14" s="81" t="n">
        <f aca="false">AT14-AS14</f>
        <v>0</v>
      </c>
      <c r="AV14" s="82" t="n">
        <v>150000</v>
      </c>
      <c r="AW14" s="83" t="n">
        <f aca="false">150000-10000</f>
        <v>140000</v>
      </c>
      <c r="AX14" s="81" t="n">
        <f aca="false">AW14-AV14</f>
        <v>-10000</v>
      </c>
      <c r="AY14" s="25"/>
      <c r="AZ14" s="26"/>
      <c r="BA14" s="81" t="n">
        <f aca="false">AZ14-AY14</f>
        <v>0</v>
      </c>
      <c r="BB14" s="25"/>
      <c r="BC14" s="26"/>
      <c r="BD14" s="81" t="n">
        <f aca="false">BC14-BB14</f>
        <v>0</v>
      </c>
      <c r="BE14" s="25"/>
      <c r="BF14" s="26"/>
      <c r="BG14" s="81" t="n">
        <f aca="false">BF14-BE14</f>
        <v>0</v>
      </c>
      <c r="BH14" s="25"/>
      <c r="BI14" s="26"/>
      <c r="BJ14" s="81" t="n">
        <f aca="false">BI14-BH14</f>
        <v>0</v>
      </c>
      <c r="BK14" s="25"/>
      <c r="BL14" s="26"/>
      <c r="BM14" s="81" t="n">
        <f aca="false">BL14-BK14</f>
        <v>0</v>
      </c>
      <c r="BN14" s="25"/>
      <c r="BO14" s="26"/>
      <c r="BP14" s="81" t="n">
        <f aca="false">BO14-BN14</f>
        <v>0</v>
      </c>
      <c r="BQ14" s="25"/>
      <c r="BR14" s="26"/>
      <c r="BS14" s="81" t="n">
        <f aca="false">BR14-BQ14</f>
        <v>0</v>
      </c>
      <c r="BT14" s="25"/>
      <c r="BU14" s="26"/>
      <c r="BV14" s="81" t="n">
        <f aca="false">BU14-BT14</f>
        <v>0</v>
      </c>
      <c r="BW14" s="25"/>
      <c r="BX14" s="26"/>
      <c r="BY14" s="81" t="n">
        <f aca="false">BX14-BW14</f>
        <v>0</v>
      </c>
      <c r="BZ14" s="25"/>
      <c r="CA14" s="26"/>
      <c r="CB14" s="81" t="n">
        <f aca="false">CA14-BZ14</f>
        <v>0</v>
      </c>
      <c r="CC14" s="25"/>
      <c r="CD14" s="26"/>
      <c r="CE14" s="81" t="n">
        <f aca="false">CD14-CC14</f>
        <v>0</v>
      </c>
      <c r="CF14" s="25"/>
      <c r="CG14" s="26"/>
      <c r="CH14" s="81" t="n">
        <f aca="false">CG14-CF14</f>
        <v>0</v>
      </c>
      <c r="CI14" s="25"/>
      <c r="CJ14" s="26"/>
      <c r="CK14" s="81" t="n">
        <f aca="false">CJ14-CI14</f>
        <v>0</v>
      </c>
      <c r="CL14" s="25"/>
      <c r="CM14" s="26"/>
      <c r="CN14" s="81" t="n">
        <f aca="false">CM14-CL14</f>
        <v>0</v>
      </c>
      <c r="CO14" s="25"/>
      <c r="CP14" s="26"/>
      <c r="CQ14" s="81" t="n">
        <f aca="false">CP14-CO14</f>
        <v>0</v>
      </c>
      <c r="CR14" s="25"/>
      <c r="CS14" s="26"/>
      <c r="CT14" s="81" t="n">
        <f aca="false">CS14-CR14</f>
        <v>0</v>
      </c>
      <c r="CU14" s="25"/>
      <c r="CV14" s="26"/>
      <c r="CW14" s="81" t="n">
        <f aca="false">CV14-CU14</f>
        <v>0</v>
      </c>
      <c r="CX14" s="25"/>
      <c r="CY14" s="26"/>
      <c r="CZ14" s="81" t="n">
        <f aca="false">CY14-CX14</f>
        <v>0</v>
      </c>
      <c r="DA14" s="25"/>
      <c r="DB14" s="26"/>
      <c r="DC14" s="81" t="n">
        <f aca="false">DB14-DA14</f>
        <v>0</v>
      </c>
      <c r="DD14" s="25"/>
      <c r="DE14" s="26"/>
      <c r="DF14" s="81" t="n">
        <f aca="false">DE14-DD14</f>
        <v>0</v>
      </c>
      <c r="DG14" s="25"/>
      <c r="DH14" s="26"/>
      <c r="DI14" s="81" t="n">
        <f aca="false">DH14-DG14</f>
        <v>0</v>
      </c>
      <c r="DJ14" s="25"/>
      <c r="DK14" s="26"/>
      <c r="DL14" s="81" t="n">
        <f aca="false">DK14-DJ14</f>
        <v>0</v>
      </c>
      <c r="DM14" s="25"/>
      <c r="DN14" s="26"/>
      <c r="DO14" s="81" t="n">
        <f aca="false">DN14-DM14</f>
        <v>0</v>
      </c>
      <c r="DP14" s="25"/>
      <c r="DQ14" s="26"/>
      <c r="DR14" s="81" t="n">
        <f aca="false">DQ14-DP14</f>
        <v>0</v>
      </c>
      <c r="DS14" s="81" t="n">
        <f aca="false">+C14+F14+I14+L14+O14+R14+U14+X14+AA14+AD14+AG14+AJ14+AM14+AP14+AS14+AV14+AY14+BB14+BE14+BH14+BK14+BN14+BQ14+BT14+BW14+BZ14+CC14+CF14+CI14+CL14+CO14+CR14+CU14+CX14+DA14+DD14+DG14+DJ14+DM14+DP14</f>
        <v>185000</v>
      </c>
      <c r="DT14" s="81" t="n">
        <f aca="false">+D14+G14+J14+M14+P14+S14+V14+Y14+AB14+AE14+AH14+AK14+AN14+AQ14+AT14+AW14+AZ14+BC14+BF14+BI14+BL14+BO14+BR14+BU14+BX14+CA14+CD14+CG14+CJ14+CM14+CP14+CS14+CV14+CY14+DB14+DE14+DH14+DK14+DN14+DQ14</f>
        <v>175000</v>
      </c>
      <c r="DU14" s="81" t="n">
        <f aca="false">DT14-DS14</f>
        <v>-10000</v>
      </c>
      <c r="DV14" s="26" t="n">
        <f aca="false">+DV13+DU14</f>
        <v>-109985</v>
      </c>
      <c r="DW14" s="87"/>
      <c r="DX14" s="81" t="n">
        <f aca="false">+DS14-AV14</f>
        <v>35000</v>
      </c>
      <c r="DY14" s="81" t="n">
        <f aca="false">+DT14-AW14</f>
        <v>35000</v>
      </c>
      <c r="DZ14" s="26" t="n">
        <f aca="false">+DY14-DX14</f>
        <v>0</v>
      </c>
      <c r="EA14" s="26" t="n">
        <f aca="false">+EA13+DZ14</f>
        <v>0</v>
      </c>
      <c r="EB14" s="87"/>
      <c r="EC14" s="26" t="n">
        <f aca="false">+AX14</f>
        <v>-10000</v>
      </c>
      <c r="ED14" s="26" t="n">
        <f aca="false">+EC14</f>
        <v>-10000</v>
      </c>
      <c r="EE14" s="87"/>
      <c r="EF14" s="87"/>
      <c r="EG14" s="87"/>
      <c r="EH14" s="87"/>
      <c r="EI14" s="87"/>
      <c r="EJ14" s="87"/>
      <c r="EK14" s="87"/>
    </row>
    <row r="15" customFormat="false" ht="12.75" hidden="false" customHeight="false" outlineLevel="0" collapsed="false">
      <c r="A15" s="80" t="n">
        <f aca="false">+BaseloadMarkets!A15</f>
        <v>36717</v>
      </c>
      <c r="B15" s="80" t="str">
        <f aca="false">+BaseloadMarkets!B15</f>
        <v>Mon</v>
      </c>
      <c r="C15" s="25" t="n">
        <v>5000</v>
      </c>
      <c r="D15" s="26" t="n">
        <v>5000</v>
      </c>
      <c r="E15" s="81" t="n">
        <f aca="false">D15-C15</f>
        <v>0</v>
      </c>
      <c r="F15" s="25" t="n">
        <v>10000</v>
      </c>
      <c r="G15" s="26" t="n">
        <v>10000</v>
      </c>
      <c r="H15" s="81" t="n">
        <f aca="false">G15-F15</f>
        <v>0</v>
      </c>
      <c r="I15" s="25" t="n">
        <f aca="false">10000+10000</f>
        <v>20000</v>
      </c>
      <c r="J15" s="25" t="n">
        <f aca="false">10000+10000</f>
        <v>20000</v>
      </c>
      <c r="K15" s="81" t="n">
        <f aca="false">J15-I15</f>
        <v>0</v>
      </c>
      <c r="L15" s="25"/>
      <c r="M15" s="26"/>
      <c r="N15" s="81" t="n">
        <f aca="false">M15-L15</f>
        <v>0</v>
      </c>
      <c r="O15" s="25"/>
      <c r="P15" s="26"/>
      <c r="Q15" s="81" t="n">
        <f aca="false">P15-O15</f>
        <v>0</v>
      </c>
      <c r="R15" s="25"/>
      <c r="S15" s="26"/>
      <c r="T15" s="81" t="n">
        <f aca="false">S15-R15</f>
        <v>0</v>
      </c>
      <c r="U15" s="25"/>
      <c r="V15" s="26"/>
      <c r="W15" s="81" t="n">
        <f aca="false">V15-U15</f>
        <v>0</v>
      </c>
      <c r="X15" s="25"/>
      <c r="Y15" s="26"/>
      <c r="Z15" s="81" t="n">
        <f aca="false">Y15-X15</f>
        <v>0</v>
      </c>
      <c r="AA15" s="25"/>
      <c r="AB15" s="26"/>
      <c r="AC15" s="81" t="n">
        <f aca="false">AB15-AA15</f>
        <v>0</v>
      </c>
      <c r="AD15" s="25"/>
      <c r="AE15" s="26"/>
      <c r="AF15" s="81" t="n">
        <f aca="false">AE15-AD15</f>
        <v>0</v>
      </c>
      <c r="AG15" s="25"/>
      <c r="AH15" s="26"/>
      <c r="AI15" s="81" t="n">
        <f aca="false">AH15-AG15</f>
        <v>0</v>
      </c>
      <c r="AJ15" s="25"/>
      <c r="AK15" s="26"/>
      <c r="AL15" s="81" t="n">
        <f aca="false">AK15-AJ15</f>
        <v>0</v>
      </c>
      <c r="AM15" s="25"/>
      <c r="AN15" s="26"/>
      <c r="AO15" s="81" t="n">
        <f aca="false">AN15-AM15</f>
        <v>0</v>
      </c>
      <c r="AP15" s="25"/>
      <c r="AQ15" s="26"/>
      <c r="AR15" s="81" t="n">
        <f aca="false">AQ15-AP15</f>
        <v>0</v>
      </c>
      <c r="AS15" s="25"/>
      <c r="AT15" s="26"/>
      <c r="AU15" s="81" t="n">
        <f aca="false">AT15-AS15</f>
        <v>0</v>
      </c>
      <c r="AV15" s="82" t="n">
        <v>150000</v>
      </c>
      <c r="AW15" s="83" t="n">
        <f aca="false">150000-10000+6104</f>
        <v>146104</v>
      </c>
      <c r="AX15" s="81" t="n">
        <f aca="false">AW15-AV15</f>
        <v>-3896</v>
      </c>
      <c r="AY15" s="25"/>
      <c r="AZ15" s="26"/>
      <c r="BA15" s="81" t="n">
        <f aca="false">AZ15-AY15</f>
        <v>0</v>
      </c>
      <c r="BB15" s="25"/>
      <c r="BC15" s="26"/>
      <c r="BD15" s="81" t="n">
        <f aca="false">BC15-BB15</f>
        <v>0</v>
      </c>
      <c r="BE15" s="25"/>
      <c r="BF15" s="26"/>
      <c r="BG15" s="81" t="n">
        <f aca="false">BF15-BE15</f>
        <v>0</v>
      </c>
      <c r="BH15" s="25"/>
      <c r="BI15" s="26"/>
      <c r="BJ15" s="81" t="n">
        <f aca="false">BI15-BH15</f>
        <v>0</v>
      </c>
      <c r="BK15" s="25"/>
      <c r="BL15" s="26"/>
      <c r="BM15" s="81" t="n">
        <f aca="false">BL15-BK15</f>
        <v>0</v>
      </c>
      <c r="BN15" s="25"/>
      <c r="BO15" s="26"/>
      <c r="BP15" s="81" t="n">
        <f aca="false">BO15-BN15</f>
        <v>0</v>
      </c>
      <c r="BQ15" s="25"/>
      <c r="BR15" s="26"/>
      <c r="BS15" s="81" t="n">
        <f aca="false">BR15-BQ15</f>
        <v>0</v>
      </c>
      <c r="BT15" s="25"/>
      <c r="BU15" s="26"/>
      <c r="BV15" s="81" t="n">
        <f aca="false">BU15-BT15</f>
        <v>0</v>
      </c>
      <c r="BW15" s="25"/>
      <c r="BX15" s="26"/>
      <c r="BY15" s="81" t="n">
        <f aca="false">BX15-BW15</f>
        <v>0</v>
      </c>
      <c r="BZ15" s="25"/>
      <c r="CA15" s="26"/>
      <c r="CB15" s="81" t="n">
        <f aca="false">CA15-BZ15</f>
        <v>0</v>
      </c>
      <c r="CC15" s="25"/>
      <c r="CD15" s="26"/>
      <c r="CE15" s="81" t="n">
        <f aca="false">CD15-CC15</f>
        <v>0</v>
      </c>
      <c r="CF15" s="25"/>
      <c r="CG15" s="26"/>
      <c r="CH15" s="81" t="n">
        <f aca="false">CG15-CF15</f>
        <v>0</v>
      </c>
      <c r="CI15" s="25"/>
      <c r="CJ15" s="26"/>
      <c r="CK15" s="81" t="n">
        <f aca="false">CJ15-CI15</f>
        <v>0</v>
      </c>
      <c r="CL15" s="25"/>
      <c r="CM15" s="26"/>
      <c r="CN15" s="81" t="n">
        <f aca="false">CM15-CL15</f>
        <v>0</v>
      </c>
      <c r="CO15" s="25"/>
      <c r="CP15" s="26"/>
      <c r="CQ15" s="81" t="n">
        <f aca="false">CP15-CO15</f>
        <v>0</v>
      </c>
      <c r="CR15" s="25"/>
      <c r="CS15" s="26"/>
      <c r="CT15" s="81" t="n">
        <f aca="false">CS15-CR15</f>
        <v>0</v>
      </c>
      <c r="CU15" s="25"/>
      <c r="CV15" s="26"/>
      <c r="CW15" s="81" t="n">
        <f aca="false">CV15-CU15</f>
        <v>0</v>
      </c>
      <c r="CX15" s="25"/>
      <c r="CY15" s="26"/>
      <c r="CZ15" s="81" t="n">
        <f aca="false">CY15-CX15</f>
        <v>0</v>
      </c>
      <c r="DA15" s="25"/>
      <c r="DB15" s="26"/>
      <c r="DC15" s="81" t="n">
        <f aca="false">DB15-DA15</f>
        <v>0</v>
      </c>
      <c r="DD15" s="25"/>
      <c r="DE15" s="26"/>
      <c r="DF15" s="81" t="n">
        <f aca="false">DE15-DD15</f>
        <v>0</v>
      </c>
      <c r="DG15" s="25"/>
      <c r="DH15" s="26"/>
      <c r="DI15" s="81" t="n">
        <f aca="false">DH15-DG15</f>
        <v>0</v>
      </c>
      <c r="DJ15" s="25"/>
      <c r="DK15" s="26"/>
      <c r="DL15" s="81" t="n">
        <f aca="false">DK15-DJ15</f>
        <v>0</v>
      </c>
      <c r="DM15" s="25"/>
      <c r="DN15" s="26"/>
      <c r="DO15" s="81" t="n">
        <f aca="false">DN15-DM15</f>
        <v>0</v>
      </c>
      <c r="DP15" s="25"/>
      <c r="DQ15" s="26"/>
      <c r="DR15" s="81" t="n">
        <f aca="false">DQ15-DP15</f>
        <v>0</v>
      </c>
      <c r="DS15" s="81" t="n">
        <f aca="false">+C15+F15+I15+L15+O15+R15+U15+X15+AA15+AD15+AG15+AJ15+AM15+AP15+AS15+AV15+AY15+BB15+BE15+BH15+BK15+BN15+BQ15+BT15+BW15+BZ15+CC15+CF15+CI15+CL15+CO15+CR15+CU15+CX15+DA15+DD15+DG15+DJ15+DM15+DP15</f>
        <v>185000</v>
      </c>
      <c r="DT15" s="81" t="n">
        <f aca="false">+D15+G15+J15+M15+P15+S15+V15+Y15+AB15+AE15+AH15+AK15+AN15+AQ15+AT15+AW15+AZ15+BC15+BF15+BI15+BL15+BO15+BR15+BU15+BX15+CA15+CD15+CG15+CJ15+CM15+CP15+CS15+CV15+CY15+DB15+DE15+DH15+DK15+DN15+DQ15</f>
        <v>181104</v>
      </c>
      <c r="DU15" s="81" t="n">
        <f aca="false">DT15-DS15</f>
        <v>-3896</v>
      </c>
      <c r="DV15" s="26" t="n">
        <f aca="false">+DV14+DU15</f>
        <v>-113881</v>
      </c>
      <c r="DW15" s="87"/>
      <c r="DX15" s="81" t="n">
        <f aca="false">+DS15-AV15</f>
        <v>35000</v>
      </c>
      <c r="DY15" s="81" t="n">
        <f aca="false">+DT15-AW15</f>
        <v>35000</v>
      </c>
      <c r="DZ15" s="26" t="n">
        <f aca="false">+DY15-DX15</f>
        <v>0</v>
      </c>
      <c r="EA15" s="26" t="n">
        <f aca="false">+EA14+DZ15</f>
        <v>0</v>
      </c>
      <c r="EB15" s="87"/>
      <c r="EC15" s="26" t="n">
        <f aca="false">+AX15</f>
        <v>-3896</v>
      </c>
      <c r="ED15" s="26" t="n">
        <f aca="false">+EC15</f>
        <v>-3896</v>
      </c>
      <c r="EE15" s="87"/>
      <c r="EF15" s="87"/>
      <c r="EG15" s="87"/>
      <c r="EH15" s="87"/>
      <c r="EI15" s="87"/>
      <c r="EJ15" s="87"/>
      <c r="EK15" s="87"/>
    </row>
    <row r="16" customFormat="false" ht="12.75" hidden="false" customHeight="false" outlineLevel="0" collapsed="false">
      <c r="A16" s="80" t="n">
        <f aca="false">+BaseloadMarkets!A16</f>
        <v>36718</v>
      </c>
      <c r="B16" s="80" t="str">
        <f aca="false">+BaseloadMarkets!B16</f>
        <v>Tues</v>
      </c>
      <c r="C16" s="25" t="n">
        <v>5000</v>
      </c>
      <c r="D16" s="26" t="n">
        <v>5000</v>
      </c>
      <c r="E16" s="81" t="n">
        <f aca="false">D16-C16</f>
        <v>0</v>
      </c>
      <c r="F16" s="25" t="n">
        <v>10000</v>
      </c>
      <c r="G16" s="26" t="n">
        <v>10000</v>
      </c>
      <c r="H16" s="81" t="n">
        <f aca="false">G16-F16</f>
        <v>0</v>
      </c>
      <c r="I16" s="25" t="n">
        <f aca="false">10000+10000</f>
        <v>20000</v>
      </c>
      <c r="J16" s="25" t="n">
        <f aca="false">10000+10000</f>
        <v>20000</v>
      </c>
      <c r="K16" s="81" t="n">
        <f aca="false">J16-I16</f>
        <v>0</v>
      </c>
      <c r="L16" s="25"/>
      <c r="M16" s="26"/>
      <c r="N16" s="81" t="n">
        <f aca="false">M16-L16</f>
        <v>0</v>
      </c>
      <c r="O16" s="25"/>
      <c r="P16" s="26"/>
      <c r="Q16" s="81" t="n">
        <f aca="false">P16-O16</f>
        <v>0</v>
      </c>
      <c r="R16" s="25"/>
      <c r="S16" s="26"/>
      <c r="T16" s="81" t="n">
        <f aca="false">S16-R16</f>
        <v>0</v>
      </c>
      <c r="U16" s="25"/>
      <c r="V16" s="26"/>
      <c r="W16" s="81" t="n">
        <f aca="false">V16-U16</f>
        <v>0</v>
      </c>
      <c r="X16" s="25"/>
      <c r="Y16" s="26"/>
      <c r="Z16" s="81" t="n">
        <f aca="false">Y16-X16</f>
        <v>0</v>
      </c>
      <c r="AA16" s="25"/>
      <c r="AB16" s="26"/>
      <c r="AC16" s="81" t="n">
        <f aca="false">AB16-AA16</f>
        <v>0</v>
      </c>
      <c r="AD16" s="25"/>
      <c r="AE16" s="26"/>
      <c r="AF16" s="81" t="n">
        <f aca="false">AE16-AD16</f>
        <v>0</v>
      </c>
      <c r="AG16" s="25"/>
      <c r="AH16" s="26"/>
      <c r="AI16" s="81" t="n">
        <f aca="false">AH16-AG16</f>
        <v>0</v>
      </c>
      <c r="AJ16" s="25"/>
      <c r="AK16" s="26"/>
      <c r="AL16" s="81" t="n">
        <f aca="false">AK16-AJ16</f>
        <v>0</v>
      </c>
      <c r="AM16" s="25"/>
      <c r="AN16" s="26"/>
      <c r="AO16" s="81" t="n">
        <f aca="false">AN16-AM16</f>
        <v>0</v>
      </c>
      <c r="AP16" s="25"/>
      <c r="AQ16" s="26"/>
      <c r="AR16" s="81" t="n">
        <f aca="false">AQ16-AP16</f>
        <v>0</v>
      </c>
      <c r="AS16" s="25"/>
      <c r="AT16" s="26"/>
      <c r="AU16" s="81" t="n">
        <f aca="false">AT16-AS16</f>
        <v>0</v>
      </c>
      <c r="AV16" s="82" t="n">
        <f aca="false">358375-3375+10000</f>
        <v>365000</v>
      </c>
      <c r="AW16" s="83" t="n">
        <v>365000</v>
      </c>
      <c r="AX16" s="81" t="n">
        <f aca="false">AW16-AV16</f>
        <v>0</v>
      </c>
      <c r="AY16" s="25"/>
      <c r="AZ16" s="26"/>
      <c r="BA16" s="81" t="n">
        <f aca="false">AZ16-AY16</f>
        <v>0</v>
      </c>
      <c r="BB16" s="25"/>
      <c r="BC16" s="26"/>
      <c r="BD16" s="81" t="n">
        <f aca="false">BC16-BB16</f>
        <v>0</v>
      </c>
      <c r="BE16" s="25"/>
      <c r="BF16" s="26"/>
      <c r="BG16" s="81" t="n">
        <f aca="false">BF16-BE16</f>
        <v>0</v>
      </c>
      <c r="BH16" s="25"/>
      <c r="BI16" s="26"/>
      <c r="BJ16" s="81" t="n">
        <f aca="false">BI16-BH16</f>
        <v>0</v>
      </c>
      <c r="BK16" s="25"/>
      <c r="BL16" s="26"/>
      <c r="BM16" s="81" t="n">
        <f aca="false">BL16-BK16</f>
        <v>0</v>
      </c>
      <c r="BN16" s="25"/>
      <c r="BO16" s="26"/>
      <c r="BP16" s="81" t="n">
        <f aca="false">BO16-BN16</f>
        <v>0</v>
      </c>
      <c r="BQ16" s="25"/>
      <c r="BR16" s="26"/>
      <c r="BS16" s="81" t="n">
        <f aca="false">BR16-BQ16</f>
        <v>0</v>
      </c>
      <c r="BT16" s="25"/>
      <c r="BU16" s="26"/>
      <c r="BV16" s="81" t="n">
        <f aca="false">BU16-BT16</f>
        <v>0</v>
      </c>
      <c r="BW16" s="25"/>
      <c r="BX16" s="26"/>
      <c r="BY16" s="81" t="n">
        <f aca="false">BX16-BW16</f>
        <v>0</v>
      </c>
      <c r="BZ16" s="25"/>
      <c r="CA16" s="26"/>
      <c r="CB16" s="81" t="n">
        <f aca="false">CA16-BZ16</f>
        <v>0</v>
      </c>
      <c r="CC16" s="25"/>
      <c r="CD16" s="26"/>
      <c r="CE16" s="81" t="n">
        <f aca="false">CD16-CC16</f>
        <v>0</v>
      </c>
      <c r="CF16" s="25"/>
      <c r="CG16" s="26"/>
      <c r="CH16" s="81" t="n">
        <f aca="false">CG16-CF16</f>
        <v>0</v>
      </c>
      <c r="CI16" s="25"/>
      <c r="CJ16" s="26"/>
      <c r="CK16" s="81" t="n">
        <f aca="false">CJ16-CI16</f>
        <v>0</v>
      </c>
      <c r="CL16" s="25"/>
      <c r="CM16" s="26"/>
      <c r="CN16" s="81" t="n">
        <f aca="false">CM16-CL16</f>
        <v>0</v>
      </c>
      <c r="CO16" s="25"/>
      <c r="CP16" s="26"/>
      <c r="CQ16" s="81" t="n">
        <f aca="false">CP16-CO16</f>
        <v>0</v>
      </c>
      <c r="CR16" s="25"/>
      <c r="CS16" s="26"/>
      <c r="CT16" s="81" t="n">
        <f aca="false">CS16-CR16</f>
        <v>0</v>
      </c>
      <c r="CU16" s="25"/>
      <c r="CV16" s="26"/>
      <c r="CW16" s="81" t="n">
        <f aca="false">CV16-CU16</f>
        <v>0</v>
      </c>
      <c r="CX16" s="25"/>
      <c r="CY16" s="26"/>
      <c r="CZ16" s="81" t="n">
        <f aca="false">CY16-CX16</f>
        <v>0</v>
      </c>
      <c r="DA16" s="25"/>
      <c r="DB16" s="26"/>
      <c r="DC16" s="81" t="n">
        <f aca="false">DB16-DA16</f>
        <v>0</v>
      </c>
      <c r="DD16" s="25"/>
      <c r="DE16" s="26"/>
      <c r="DF16" s="81" t="n">
        <f aca="false">DE16-DD16</f>
        <v>0</v>
      </c>
      <c r="DG16" s="25"/>
      <c r="DH16" s="26"/>
      <c r="DI16" s="81" t="n">
        <f aca="false">DH16-DG16</f>
        <v>0</v>
      </c>
      <c r="DJ16" s="25"/>
      <c r="DK16" s="26"/>
      <c r="DL16" s="81" t="n">
        <f aca="false">DK16-DJ16</f>
        <v>0</v>
      </c>
      <c r="DM16" s="25"/>
      <c r="DN16" s="26"/>
      <c r="DO16" s="81" t="n">
        <f aca="false">DN16-DM16</f>
        <v>0</v>
      </c>
      <c r="DP16" s="25"/>
      <c r="DQ16" s="26"/>
      <c r="DR16" s="81" t="n">
        <f aca="false">DQ16-DP16</f>
        <v>0</v>
      </c>
      <c r="DS16" s="81" t="n">
        <f aca="false">+C16+F16+I16+L16+O16+R16+U16+X16+AA16+AD16+AG16+AJ16+AM16+AP16+AS16+AV16+AY16+BB16+BE16+BH16+BK16+BN16+BQ16+BT16+BW16+BZ16+CC16+CF16+CI16+CL16+CO16+CR16+CU16+CX16+DA16+DD16+DG16+DJ16+DM16+DP16</f>
        <v>400000</v>
      </c>
      <c r="DT16" s="81" t="n">
        <f aca="false">+D16+G16+J16+M16+P16+S16+V16+Y16+AB16+AE16+AH16+AK16+AN16+AQ16+AT16+AW16+AZ16+BC16+BF16+BI16+BL16+BO16+BR16+BU16+BX16+CA16+CD16+CG16+CJ16+CM16+CP16+CS16+CV16+CY16+DB16+DE16+DH16+DK16+DN16+DQ16</f>
        <v>400000</v>
      </c>
      <c r="DU16" s="81" t="n">
        <f aca="false">DT16-DS16</f>
        <v>0</v>
      </c>
      <c r="DV16" s="26" t="n">
        <f aca="false">+DV15+DU16</f>
        <v>-113881</v>
      </c>
      <c r="DW16" s="87"/>
      <c r="DX16" s="81" t="n">
        <f aca="false">+DS16-AV16</f>
        <v>35000</v>
      </c>
      <c r="DY16" s="81" t="n">
        <f aca="false">+DT16-AW16</f>
        <v>35000</v>
      </c>
      <c r="DZ16" s="26" t="n">
        <f aca="false">+DY16-DX16</f>
        <v>0</v>
      </c>
      <c r="EA16" s="26" t="n">
        <f aca="false">+EA15+DZ16</f>
        <v>0</v>
      </c>
      <c r="EB16" s="87"/>
      <c r="EC16" s="26" t="n">
        <f aca="false">+AX16</f>
        <v>0</v>
      </c>
      <c r="ED16" s="26" t="n">
        <f aca="false">+EC16</f>
        <v>0</v>
      </c>
      <c r="EE16" s="87"/>
      <c r="EF16" s="87"/>
      <c r="EG16" s="87"/>
      <c r="EH16" s="87"/>
      <c r="EI16" s="87"/>
      <c r="EJ16" s="87"/>
      <c r="EK16" s="87"/>
    </row>
    <row r="17" customFormat="false" ht="12.75" hidden="false" customHeight="false" outlineLevel="0" collapsed="false">
      <c r="A17" s="80" t="n">
        <f aca="false">+BaseloadMarkets!A17</f>
        <v>36719</v>
      </c>
      <c r="B17" s="80" t="str">
        <f aca="false">+BaseloadMarkets!B17</f>
        <v>Wed</v>
      </c>
      <c r="C17" s="25" t="n">
        <v>5000</v>
      </c>
      <c r="D17" s="26" t="n">
        <v>5000</v>
      </c>
      <c r="E17" s="81" t="n">
        <f aca="false">D17-C17</f>
        <v>0</v>
      </c>
      <c r="F17" s="25" t="n">
        <v>10000</v>
      </c>
      <c r="G17" s="26" t="n">
        <v>10000</v>
      </c>
      <c r="H17" s="81" t="n">
        <f aca="false">G17-F17</f>
        <v>0</v>
      </c>
      <c r="I17" s="25" t="n">
        <f aca="false">10000+10000</f>
        <v>20000</v>
      </c>
      <c r="J17" s="25" t="n">
        <f aca="false">10000+10000</f>
        <v>20000</v>
      </c>
      <c r="K17" s="81" t="n">
        <f aca="false">J17-I17</f>
        <v>0</v>
      </c>
      <c r="L17" s="25"/>
      <c r="M17" s="26"/>
      <c r="N17" s="81" t="n">
        <f aca="false">M17-L17</f>
        <v>0</v>
      </c>
      <c r="O17" s="25"/>
      <c r="P17" s="26"/>
      <c r="Q17" s="81" t="n">
        <f aca="false">P17-O17</f>
        <v>0</v>
      </c>
      <c r="R17" s="25"/>
      <c r="S17" s="26"/>
      <c r="T17" s="81" t="n">
        <f aca="false">S17-R17</f>
        <v>0</v>
      </c>
      <c r="U17" s="25"/>
      <c r="V17" s="26"/>
      <c r="W17" s="81" t="n">
        <f aca="false">V17-U17</f>
        <v>0</v>
      </c>
      <c r="X17" s="25"/>
      <c r="Y17" s="26"/>
      <c r="Z17" s="81" t="n">
        <f aca="false">Y17-X17</f>
        <v>0</v>
      </c>
      <c r="AA17" s="25"/>
      <c r="AB17" s="26"/>
      <c r="AC17" s="81" t="n">
        <f aca="false">AB17-AA17</f>
        <v>0</v>
      </c>
      <c r="AD17" s="25"/>
      <c r="AE17" s="26"/>
      <c r="AF17" s="81" t="n">
        <f aca="false">AE17-AD17</f>
        <v>0</v>
      </c>
      <c r="AG17" s="25"/>
      <c r="AH17" s="26"/>
      <c r="AI17" s="81" t="n">
        <f aca="false">AH17-AG17</f>
        <v>0</v>
      </c>
      <c r="AJ17" s="25"/>
      <c r="AK17" s="26"/>
      <c r="AL17" s="81" t="n">
        <f aca="false">AK17-AJ17</f>
        <v>0</v>
      </c>
      <c r="AM17" s="25"/>
      <c r="AN17" s="26"/>
      <c r="AO17" s="81" t="n">
        <f aca="false">AN17-AM17</f>
        <v>0</v>
      </c>
      <c r="AP17" s="25"/>
      <c r="AQ17" s="26"/>
      <c r="AR17" s="81" t="n">
        <f aca="false">AQ17-AP17</f>
        <v>0</v>
      </c>
      <c r="AS17" s="25"/>
      <c r="AT17" s="26"/>
      <c r="AU17" s="81" t="n">
        <f aca="false">AT17-AS17</f>
        <v>0</v>
      </c>
      <c r="AV17" s="82" t="n">
        <v>325000</v>
      </c>
      <c r="AW17" s="83" t="n">
        <f aca="false">325000-30000-15000+9981-10000+8010</f>
        <v>287991</v>
      </c>
      <c r="AX17" s="81" t="n">
        <f aca="false">AW17-AV17</f>
        <v>-37009</v>
      </c>
      <c r="AY17" s="25"/>
      <c r="AZ17" s="26"/>
      <c r="BA17" s="81" t="n">
        <f aca="false">AZ17-AY17</f>
        <v>0</v>
      </c>
      <c r="BB17" s="25"/>
      <c r="BC17" s="26"/>
      <c r="BD17" s="81" t="n">
        <f aca="false">BC17-BB17</f>
        <v>0</v>
      </c>
      <c r="BE17" s="25"/>
      <c r="BF17" s="26"/>
      <c r="BG17" s="81" t="n">
        <f aca="false">BF17-BE17</f>
        <v>0</v>
      </c>
      <c r="BH17" s="25"/>
      <c r="BI17" s="26"/>
      <c r="BJ17" s="81" t="n">
        <f aca="false">BI17-BH17</f>
        <v>0</v>
      </c>
      <c r="BK17" s="25"/>
      <c r="BL17" s="26"/>
      <c r="BM17" s="81" t="n">
        <f aca="false">BL17-BK17</f>
        <v>0</v>
      </c>
      <c r="BN17" s="25"/>
      <c r="BO17" s="26"/>
      <c r="BP17" s="81" t="n">
        <f aca="false">BO17-BN17</f>
        <v>0</v>
      </c>
      <c r="BQ17" s="25"/>
      <c r="BR17" s="26"/>
      <c r="BS17" s="81" t="n">
        <f aca="false">BR17-BQ17</f>
        <v>0</v>
      </c>
      <c r="BT17" s="25"/>
      <c r="BU17" s="26"/>
      <c r="BV17" s="81" t="n">
        <f aca="false">BU17-BT17</f>
        <v>0</v>
      </c>
      <c r="BW17" s="25"/>
      <c r="BX17" s="26"/>
      <c r="BY17" s="81" t="n">
        <f aca="false">BX17-BW17</f>
        <v>0</v>
      </c>
      <c r="BZ17" s="25"/>
      <c r="CA17" s="26"/>
      <c r="CB17" s="81" t="n">
        <f aca="false">CA17-BZ17</f>
        <v>0</v>
      </c>
      <c r="CC17" s="25"/>
      <c r="CD17" s="26"/>
      <c r="CE17" s="81" t="n">
        <f aca="false">CD17-CC17</f>
        <v>0</v>
      </c>
      <c r="CF17" s="25"/>
      <c r="CG17" s="26"/>
      <c r="CH17" s="81" t="n">
        <f aca="false">CG17-CF17</f>
        <v>0</v>
      </c>
      <c r="CI17" s="25"/>
      <c r="CJ17" s="26"/>
      <c r="CK17" s="81" t="n">
        <f aca="false">CJ17-CI17</f>
        <v>0</v>
      </c>
      <c r="CL17" s="25"/>
      <c r="CM17" s="26"/>
      <c r="CN17" s="81" t="n">
        <f aca="false">CM17-CL17</f>
        <v>0</v>
      </c>
      <c r="CO17" s="25"/>
      <c r="CP17" s="26"/>
      <c r="CQ17" s="81" t="n">
        <f aca="false">CP17-CO17</f>
        <v>0</v>
      </c>
      <c r="CR17" s="25"/>
      <c r="CS17" s="26"/>
      <c r="CT17" s="81" t="n">
        <f aca="false">CS17-CR17</f>
        <v>0</v>
      </c>
      <c r="CU17" s="25"/>
      <c r="CV17" s="26"/>
      <c r="CW17" s="81" t="n">
        <f aca="false">CV17-CU17</f>
        <v>0</v>
      </c>
      <c r="CX17" s="25"/>
      <c r="CY17" s="26"/>
      <c r="CZ17" s="81" t="n">
        <f aca="false">CY17-CX17</f>
        <v>0</v>
      </c>
      <c r="DA17" s="25"/>
      <c r="DB17" s="26"/>
      <c r="DC17" s="81" t="n">
        <f aca="false">DB17-DA17</f>
        <v>0</v>
      </c>
      <c r="DD17" s="25"/>
      <c r="DE17" s="26"/>
      <c r="DF17" s="81" t="n">
        <f aca="false">DE17-DD17</f>
        <v>0</v>
      </c>
      <c r="DG17" s="25"/>
      <c r="DH17" s="26"/>
      <c r="DI17" s="81" t="n">
        <f aca="false">DH17-DG17</f>
        <v>0</v>
      </c>
      <c r="DJ17" s="25"/>
      <c r="DK17" s="26"/>
      <c r="DL17" s="81" t="n">
        <f aca="false">DK17-DJ17</f>
        <v>0</v>
      </c>
      <c r="DM17" s="25"/>
      <c r="DN17" s="26"/>
      <c r="DO17" s="81" t="n">
        <f aca="false">DN17-DM17</f>
        <v>0</v>
      </c>
      <c r="DP17" s="25"/>
      <c r="DQ17" s="26"/>
      <c r="DR17" s="81" t="n">
        <f aca="false">DQ17-DP17</f>
        <v>0</v>
      </c>
      <c r="DS17" s="81" t="n">
        <f aca="false">+C17+F17+I17+L17+O17+R17+U17+X17+AA17+AD17+AG17+AJ17+AM17+AP17+AS17+AV17+AY17+BB17+BE17+BH17+BK17+BN17+BQ17+BT17+BW17+BZ17+CC17+CF17+CI17+CL17+CO17+CR17+CU17+CX17+DA17+DD17+DG17+DJ17+DM17+DP17</f>
        <v>360000</v>
      </c>
      <c r="DT17" s="81" t="n">
        <f aca="false">+D17+G17+J17+M17+P17+S17+V17+Y17+AB17+AE17+AH17+AK17+AN17+AQ17+AT17+AW17+AZ17+BC17+BF17+BI17+BL17+BO17+BR17+BU17+BX17+CA17+CD17+CG17+CJ17+CM17+CP17+CS17+CV17+CY17+DB17+DE17+DH17+DK17+DN17+DQ17</f>
        <v>322991</v>
      </c>
      <c r="DU17" s="81" t="n">
        <f aca="false">DT17-DS17</f>
        <v>-37009</v>
      </c>
      <c r="DV17" s="26" t="n">
        <f aca="false">+DV16+DU17</f>
        <v>-150890</v>
      </c>
      <c r="DW17" s="87"/>
      <c r="DX17" s="81" t="n">
        <f aca="false">+DS17-AV17</f>
        <v>35000</v>
      </c>
      <c r="DY17" s="81" t="n">
        <f aca="false">+DT17-AW17</f>
        <v>35000</v>
      </c>
      <c r="DZ17" s="26" t="n">
        <f aca="false">+DY17-DX17</f>
        <v>0</v>
      </c>
      <c r="EA17" s="26" t="n">
        <f aca="false">+EA16+DZ17</f>
        <v>0</v>
      </c>
      <c r="EB17" s="87"/>
      <c r="EC17" s="26" t="n">
        <f aca="false">+AX17</f>
        <v>-37009</v>
      </c>
      <c r="ED17" s="26" t="n">
        <f aca="false">+EC17</f>
        <v>-37009</v>
      </c>
      <c r="EE17" s="87"/>
      <c r="EF17" s="87"/>
      <c r="EG17" s="87"/>
      <c r="EH17" s="87"/>
      <c r="EI17" s="87"/>
      <c r="EJ17" s="87"/>
      <c r="EK17" s="87"/>
    </row>
    <row r="18" customFormat="false" ht="12.75" hidden="false" customHeight="false" outlineLevel="0" collapsed="false">
      <c r="A18" s="80" t="n">
        <f aca="false">+BaseloadMarkets!A18</f>
        <v>36720</v>
      </c>
      <c r="B18" s="80" t="str">
        <f aca="false">+BaseloadMarkets!B18</f>
        <v>Thu</v>
      </c>
      <c r="C18" s="25" t="n">
        <v>5000</v>
      </c>
      <c r="D18" s="26" t="n">
        <v>5000</v>
      </c>
      <c r="E18" s="81" t="n">
        <f aca="false">D18-C18</f>
        <v>0</v>
      </c>
      <c r="F18" s="25" t="n">
        <v>10000</v>
      </c>
      <c r="G18" s="26" t="n">
        <v>10000</v>
      </c>
      <c r="H18" s="81" t="n">
        <f aca="false">G18-F18</f>
        <v>0</v>
      </c>
      <c r="I18" s="25" t="n">
        <f aca="false">10000+10000</f>
        <v>20000</v>
      </c>
      <c r="J18" s="25" t="n">
        <f aca="false">10000+10000</f>
        <v>20000</v>
      </c>
      <c r="K18" s="81" t="n">
        <f aca="false">J18-I18</f>
        <v>0</v>
      </c>
      <c r="L18" s="25"/>
      <c r="M18" s="26"/>
      <c r="N18" s="81" t="n">
        <f aca="false">M18-L18</f>
        <v>0</v>
      </c>
      <c r="O18" s="25"/>
      <c r="P18" s="26"/>
      <c r="Q18" s="81" t="n">
        <f aca="false">P18-O18</f>
        <v>0</v>
      </c>
      <c r="R18" s="25"/>
      <c r="S18" s="26"/>
      <c r="T18" s="81" t="n">
        <f aca="false">S18-R18</f>
        <v>0</v>
      </c>
      <c r="U18" s="25"/>
      <c r="V18" s="26"/>
      <c r="W18" s="81" t="n">
        <f aca="false">V18-U18</f>
        <v>0</v>
      </c>
      <c r="X18" s="25"/>
      <c r="Y18" s="26"/>
      <c r="Z18" s="81" t="n">
        <f aca="false">Y18-X18</f>
        <v>0</v>
      </c>
      <c r="AA18" s="25"/>
      <c r="AB18" s="26"/>
      <c r="AC18" s="81" t="n">
        <f aca="false">AB18-AA18</f>
        <v>0</v>
      </c>
      <c r="AD18" s="25"/>
      <c r="AE18" s="26"/>
      <c r="AF18" s="81" t="n">
        <f aca="false">AE18-AD18</f>
        <v>0</v>
      </c>
      <c r="AG18" s="25"/>
      <c r="AH18" s="26"/>
      <c r="AI18" s="81" t="n">
        <f aca="false">AH18-AG18</f>
        <v>0</v>
      </c>
      <c r="AJ18" s="25"/>
      <c r="AK18" s="26"/>
      <c r="AL18" s="81" t="n">
        <f aca="false">AK18-AJ18</f>
        <v>0</v>
      </c>
      <c r="AM18" s="25"/>
      <c r="AN18" s="26"/>
      <c r="AO18" s="81" t="n">
        <f aca="false">AN18-AM18</f>
        <v>0</v>
      </c>
      <c r="AP18" s="25"/>
      <c r="AQ18" s="26"/>
      <c r="AR18" s="81" t="n">
        <f aca="false">AQ18-AP18</f>
        <v>0</v>
      </c>
      <c r="AS18" s="25"/>
      <c r="AT18" s="26"/>
      <c r="AU18" s="81" t="n">
        <f aca="false">AT18-AS18</f>
        <v>0</v>
      </c>
      <c r="AV18" s="82" t="n">
        <v>300000</v>
      </c>
      <c r="AW18" s="83" t="n">
        <f aca="false">300000</f>
        <v>300000</v>
      </c>
      <c r="AX18" s="81" t="n">
        <f aca="false">AW18-AV18</f>
        <v>0</v>
      </c>
      <c r="AY18" s="25"/>
      <c r="AZ18" s="26"/>
      <c r="BA18" s="81" t="n">
        <f aca="false">AZ18-AY18</f>
        <v>0</v>
      </c>
      <c r="BB18" s="25"/>
      <c r="BC18" s="26"/>
      <c r="BD18" s="81" t="n">
        <f aca="false">BC18-BB18</f>
        <v>0</v>
      </c>
      <c r="BE18" s="25"/>
      <c r="BF18" s="26"/>
      <c r="BG18" s="81" t="n">
        <f aca="false">BF18-BE18</f>
        <v>0</v>
      </c>
      <c r="BH18" s="25"/>
      <c r="BI18" s="26"/>
      <c r="BJ18" s="81" t="n">
        <f aca="false">BI18-BH18</f>
        <v>0</v>
      </c>
      <c r="BK18" s="25"/>
      <c r="BL18" s="26"/>
      <c r="BM18" s="81" t="n">
        <f aca="false">BL18-BK18</f>
        <v>0</v>
      </c>
      <c r="BN18" s="25"/>
      <c r="BO18" s="26"/>
      <c r="BP18" s="81" t="n">
        <f aca="false">BO18-BN18</f>
        <v>0</v>
      </c>
      <c r="BQ18" s="25"/>
      <c r="BR18" s="26"/>
      <c r="BS18" s="81" t="n">
        <f aca="false">BR18-BQ18</f>
        <v>0</v>
      </c>
      <c r="BT18" s="25"/>
      <c r="BU18" s="26"/>
      <c r="BV18" s="81" t="n">
        <f aca="false">BU18-BT18</f>
        <v>0</v>
      </c>
      <c r="BW18" s="25"/>
      <c r="BX18" s="26"/>
      <c r="BY18" s="81" t="n">
        <f aca="false">BX18-BW18</f>
        <v>0</v>
      </c>
      <c r="BZ18" s="25"/>
      <c r="CA18" s="26"/>
      <c r="CB18" s="81" t="n">
        <f aca="false">CA18-BZ18</f>
        <v>0</v>
      </c>
      <c r="CC18" s="25"/>
      <c r="CD18" s="26"/>
      <c r="CE18" s="81" t="n">
        <f aca="false">CD18-CC18</f>
        <v>0</v>
      </c>
      <c r="CF18" s="25"/>
      <c r="CG18" s="26"/>
      <c r="CH18" s="81" t="n">
        <f aca="false">CG18-CF18</f>
        <v>0</v>
      </c>
      <c r="CI18" s="25"/>
      <c r="CJ18" s="26"/>
      <c r="CK18" s="81" t="n">
        <f aca="false">CJ18-CI18</f>
        <v>0</v>
      </c>
      <c r="CL18" s="25"/>
      <c r="CM18" s="26"/>
      <c r="CN18" s="81" t="n">
        <f aca="false">CM18-CL18</f>
        <v>0</v>
      </c>
      <c r="CO18" s="25"/>
      <c r="CP18" s="26"/>
      <c r="CQ18" s="81" t="n">
        <f aca="false">CP18-CO18</f>
        <v>0</v>
      </c>
      <c r="CR18" s="25"/>
      <c r="CS18" s="26"/>
      <c r="CT18" s="81" t="n">
        <f aca="false">CS18-CR18</f>
        <v>0</v>
      </c>
      <c r="CU18" s="25"/>
      <c r="CV18" s="26"/>
      <c r="CW18" s="81" t="n">
        <f aca="false">CV18-CU18</f>
        <v>0</v>
      </c>
      <c r="CX18" s="25"/>
      <c r="CY18" s="26"/>
      <c r="CZ18" s="81" t="n">
        <f aca="false">CY18-CX18</f>
        <v>0</v>
      </c>
      <c r="DA18" s="25"/>
      <c r="DB18" s="26"/>
      <c r="DC18" s="81" t="n">
        <f aca="false">DB18-DA18</f>
        <v>0</v>
      </c>
      <c r="DD18" s="25"/>
      <c r="DE18" s="26"/>
      <c r="DF18" s="81" t="n">
        <f aca="false">DE18-DD18</f>
        <v>0</v>
      </c>
      <c r="DG18" s="25"/>
      <c r="DH18" s="26"/>
      <c r="DI18" s="81" t="n">
        <f aca="false">DH18-DG18</f>
        <v>0</v>
      </c>
      <c r="DJ18" s="25"/>
      <c r="DK18" s="26"/>
      <c r="DL18" s="81" t="n">
        <f aca="false">DK18-DJ18</f>
        <v>0</v>
      </c>
      <c r="DM18" s="25"/>
      <c r="DN18" s="26"/>
      <c r="DO18" s="81" t="n">
        <f aca="false">DN18-DM18</f>
        <v>0</v>
      </c>
      <c r="DP18" s="25"/>
      <c r="DQ18" s="26"/>
      <c r="DR18" s="81" t="n">
        <f aca="false">DQ18-DP18</f>
        <v>0</v>
      </c>
      <c r="DS18" s="81" t="n">
        <f aca="false">+C18+F18+I18+L18+O18+R18+U18+X18+AA18+AD18+AG18+AJ18+AM18+AP18+AS18+AV18+AY18+BB18+BE18+BH18+BK18+BN18+BQ18+BT18+BW18+BZ18+CC18+CF18+CI18+CL18+CO18+CR18+CU18+CX18+DA18+DD18+DG18+DJ18+DM18+DP18</f>
        <v>335000</v>
      </c>
      <c r="DT18" s="81" t="n">
        <f aca="false">+D18+G18+J18+M18+P18+S18+V18+Y18+AB18+AE18+AH18+AK18+AN18+AQ18+AT18+AW18+AZ18+BC18+BF18+BI18+BL18+BO18+BR18+BU18+BX18+CA18+CD18+CG18+CJ18+CM18+CP18+CS18+CV18+CY18+DB18+DE18+DH18+DK18+DN18+DQ18</f>
        <v>335000</v>
      </c>
      <c r="DU18" s="81" t="n">
        <f aca="false">DT18-DS18</f>
        <v>0</v>
      </c>
      <c r="DV18" s="26" t="n">
        <f aca="false">+DV17+DU18</f>
        <v>-150890</v>
      </c>
      <c r="DW18" s="87"/>
      <c r="DX18" s="81" t="n">
        <f aca="false">+DS18-AV18</f>
        <v>35000</v>
      </c>
      <c r="DY18" s="81" t="n">
        <f aca="false">+DT18-AW18</f>
        <v>35000</v>
      </c>
      <c r="DZ18" s="26" t="n">
        <f aca="false">+DY18-DX18</f>
        <v>0</v>
      </c>
      <c r="EA18" s="26" t="n">
        <f aca="false">+EA17+DZ18</f>
        <v>0</v>
      </c>
      <c r="EB18" s="87"/>
      <c r="EC18" s="26" t="n">
        <f aca="false">+AX18</f>
        <v>0</v>
      </c>
      <c r="ED18" s="26" t="n">
        <f aca="false">+EC18</f>
        <v>0</v>
      </c>
      <c r="EE18" s="87"/>
      <c r="EF18" s="87"/>
      <c r="EG18" s="87"/>
      <c r="EH18" s="87"/>
      <c r="EI18" s="87"/>
      <c r="EJ18" s="87"/>
      <c r="EK18" s="87"/>
    </row>
    <row r="19" customFormat="false" ht="12.75" hidden="false" customHeight="false" outlineLevel="0" collapsed="false">
      <c r="A19" s="80" t="n">
        <f aca="false">+BaseloadMarkets!A19</f>
        <v>36721</v>
      </c>
      <c r="B19" s="80" t="str">
        <f aca="false">+BaseloadMarkets!B19</f>
        <v>Fri</v>
      </c>
      <c r="C19" s="25" t="n">
        <v>5000</v>
      </c>
      <c r="D19" s="26" t="n">
        <v>5000</v>
      </c>
      <c r="E19" s="81" t="n">
        <f aca="false">D19-C19</f>
        <v>0</v>
      </c>
      <c r="F19" s="25" t="n">
        <v>10000</v>
      </c>
      <c r="G19" s="26" t="n">
        <f aca="false">3740+2990</f>
        <v>6730</v>
      </c>
      <c r="H19" s="81" t="n">
        <f aca="false">G19-F19</f>
        <v>-3270</v>
      </c>
      <c r="I19" s="25" t="n">
        <f aca="false">10000+10000</f>
        <v>20000</v>
      </c>
      <c r="J19" s="25" t="n">
        <f aca="false">10000+10000</f>
        <v>20000</v>
      </c>
      <c r="K19" s="81" t="n">
        <f aca="false">J19-I19</f>
        <v>0</v>
      </c>
      <c r="L19" s="25"/>
      <c r="M19" s="26"/>
      <c r="N19" s="81" t="n">
        <f aca="false">M19-L19</f>
        <v>0</v>
      </c>
      <c r="O19" s="25"/>
      <c r="P19" s="26"/>
      <c r="Q19" s="81" t="n">
        <f aca="false">P19-O19</f>
        <v>0</v>
      </c>
      <c r="R19" s="25"/>
      <c r="S19" s="26"/>
      <c r="T19" s="81" t="n">
        <f aca="false">S19-R19</f>
        <v>0</v>
      </c>
      <c r="U19" s="25"/>
      <c r="V19" s="26"/>
      <c r="W19" s="81" t="n">
        <f aca="false">V19-U19</f>
        <v>0</v>
      </c>
      <c r="X19" s="25"/>
      <c r="Y19" s="26"/>
      <c r="Z19" s="81" t="n">
        <f aca="false">Y19-X19</f>
        <v>0</v>
      </c>
      <c r="AA19" s="25"/>
      <c r="AB19" s="26"/>
      <c r="AC19" s="81" t="n">
        <f aca="false">AB19-AA19</f>
        <v>0</v>
      </c>
      <c r="AD19" s="25"/>
      <c r="AE19" s="26"/>
      <c r="AF19" s="81" t="n">
        <f aca="false">AE19-AD19</f>
        <v>0</v>
      </c>
      <c r="AG19" s="25"/>
      <c r="AH19" s="26"/>
      <c r="AI19" s="81" t="n">
        <f aca="false">AH19-AG19</f>
        <v>0</v>
      </c>
      <c r="AJ19" s="25"/>
      <c r="AK19" s="26"/>
      <c r="AL19" s="81" t="n">
        <f aca="false">AK19-AJ19</f>
        <v>0</v>
      </c>
      <c r="AM19" s="25"/>
      <c r="AN19" s="26"/>
      <c r="AO19" s="81" t="n">
        <f aca="false">AN19-AM19</f>
        <v>0</v>
      </c>
      <c r="AP19" s="25"/>
      <c r="AQ19" s="26"/>
      <c r="AR19" s="81" t="n">
        <f aca="false">AQ19-AP19</f>
        <v>0</v>
      </c>
      <c r="AS19" s="25"/>
      <c r="AT19" s="26"/>
      <c r="AU19" s="81" t="n">
        <f aca="false">AT19-AS19</f>
        <v>0</v>
      </c>
      <c r="AV19" s="82" t="n">
        <v>235000</v>
      </c>
      <c r="AW19" s="83" t="n">
        <f aca="false">235000-10000+4658-10000+6492-5000</f>
        <v>221150</v>
      </c>
      <c r="AX19" s="81" t="n">
        <f aca="false">AW19-AV19</f>
        <v>-13850</v>
      </c>
      <c r="AY19" s="25"/>
      <c r="AZ19" s="26"/>
      <c r="BA19" s="81" t="n">
        <f aca="false">AZ19-AY19</f>
        <v>0</v>
      </c>
      <c r="BB19" s="25"/>
      <c r="BC19" s="26"/>
      <c r="BD19" s="81" t="n">
        <f aca="false">BC19-BB19</f>
        <v>0</v>
      </c>
      <c r="BE19" s="25"/>
      <c r="BF19" s="26"/>
      <c r="BG19" s="81" t="n">
        <f aca="false">BF19-BE19</f>
        <v>0</v>
      </c>
      <c r="BH19" s="25"/>
      <c r="BI19" s="26"/>
      <c r="BJ19" s="81" t="n">
        <f aca="false">BI19-BH19</f>
        <v>0</v>
      </c>
      <c r="BK19" s="25"/>
      <c r="BL19" s="26"/>
      <c r="BM19" s="81" t="n">
        <f aca="false">BL19-BK19</f>
        <v>0</v>
      </c>
      <c r="BN19" s="25"/>
      <c r="BO19" s="26"/>
      <c r="BP19" s="81" t="n">
        <f aca="false">BO19-BN19</f>
        <v>0</v>
      </c>
      <c r="BQ19" s="25"/>
      <c r="BR19" s="26"/>
      <c r="BS19" s="81" t="n">
        <f aca="false">BR19-BQ19</f>
        <v>0</v>
      </c>
      <c r="BT19" s="25"/>
      <c r="BU19" s="26"/>
      <c r="BV19" s="81" t="n">
        <f aca="false">BU19-BT19</f>
        <v>0</v>
      </c>
      <c r="BW19" s="25"/>
      <c r="BX19" s="26"/>
      <c r="BY19" s="81" t="n">
        <f aca="false">BX19-BW19</f>
        <v>0</v>
      </c>
      <c r="BZ19" s="25"/>
      <c r="CA19" s="26"/>
      <c r="CB19" s="81" t="n">
        <f aca="false">CA19-BZ19</f>
        <v>0</v>
      </c>
      <c r="CC19" s="25"/>
      <c r="CD19" s="26"/>
      <c r="CE19" s="81" t="n">
        <f aca="false">CD19-CC19</f>
        <v>0</v>
      </c>
      <c r="CF19" s="25"/>
      <c r="CG19" s="26"/>
      <c r="CH19" s="81" t="n">
        <f aca="false">CG19-CF19</f>
        <v>0</v>
      </c>
      <c r="CI19" s="25"/>
      <c r="CJ19" s="26"/>
      <c r="CK19" s="81" t="n">
        <f aca="false">CJ19-CI19</f>
        <v>0</v>
      </c>
      <c r="CL19" s="25"/>
      <c r="CM19" s="26"/>
      <c r="CN19" s="81" t="n">
        <f aca="false">CM19-CL19</f>
        <v>0</v>
      </c>
      <c r="CO19" s="25"/>
      <c r="CP19" s="26"/>
      <c r="CQ19" s="81" t="n">
        <f aca="false">CP19-CO19</f>
        <v>0</v>
      </c>
      <c r="CR19" s="25"/>
      <c r="CS19" s="26"/>
      <c r="CT19" s="81" t="n">
        <f aca="false">CS19-CR19</f>
        <v>0</v>
      </c>
      <c r="CU19" s="25"/>
      <c r="CV19" s="26"/>
      <c r="CW19" s="81" t="n">
        <f aca="false">CV19-CU19</f>
        <v>0</v>
      </c>
      <c r="CX19" s="25"/>
      <c r="CY19" s="26"/>
      <c r="CZ19" s="81" t="n">
        <f aca="false">CY19-CX19</f>
        <v>0</v>
      </c>
      <c r="DA19" s="25"/>
      <c r="DB19" s="26"/>
      <c r="DC19" s="81" t="n">
        <f aca="false">DB19-DA19</f>
        <v>0</v>
      </c>
      <c r="DD19" s="25"/>
      <c r="DE19" s="26"/>
      <c r="DF19" s="81" t="n">
        <f aca="false">DE19-DD19</f>
        <v>0</v>
      </c>
      <c r="DG19" s="25"/>
      <c r="DH19" s="26"/>
      <c r="DI19" s="81" t="n">
        <f aca="false">DH19-DG19</f>
        <v>0</v>
      </c>
      <c r="DJ19" s="25"/>
      <c r="DK19" s="26"/>
      <c r="DL19" s="81" t="n">
        <f aca="false">DK19-DJ19</f>
        <v>0</v>
      </c>
      <c r="DM19" s="25"/>
      <c r="DN19" s="26"/>
      <c r="DO19" s="81" t="n">
        <f aca="false">DN19-DM19</f>
        <v>0</v>
      </c>
      <c r="DP19" s="25"/>
      <c r="DQ19" s="26"/>
      <c r="DR19" s="81" t="n">
        <f aca="false">DQ19-DP19</f>
        <v>0</v>
      </c>
      <c r="DS19" s="81" t="n">
        <f aca="false">+C19+F19+I19+L19+O19+R19+U19+X19+AA19+AD19+AG19+AJ19+AM19+AP19+AS19+AV19+AY19+BB19+BE19+BH19+BK19+BN19+BQ19+BT19+BW19+BZ19+CC19+CF19+CI19+CL19+CO19+CR19+CU19+CX19+DA19+DD19+DG19+DJ19+DM19+DP19</f>
        <v>270000</v>
      </c>
      <c r="DT19" s="81" t="n">
        <f aca="false">+D19+G19+J19+M19+P19+S19+V19+Y19+AB19+AE19+AH19+AK19+AN19+AQ19+AT19+AW19+AZ19+BC19+BF19+BI19+BL19+BO19+BR19+BU19+BX19+CA19+CD19+CG19+CJ19+CM19+CP19+CS19+CV19+CY19+DB19+DE19+DH19+DK19+DN19+DQ19</f>
        <v>252880</v>
      </c>
      <c r="DU19" s="81" t="n">
        <f aca="false">DT19-DS19</f>
        <v>-17120</v>
      </c>
      <c r="DV19" s="26" t="n">
        <f aca="false">+DV18+DU19</f>
        <v>-168010</v>
      </c>
      <c r="DW19" s="87"/>
      <c r="DX19" s="81" t="n">
        <f aca="false">+DS19-AV19</f>
        <v>35000</v>
      </c>
      <c r="DY19" s="81" t="n">
        <f aca="false">+DT19-AW19</f>
        <v>31730</v>
      </c>
      <c r="DZ19" s="26" t="n">
        <f aca="false">+DY19-DX19</f>
        <v>-3270</v>
      </c>
      <c r="EA19" s="26" t="n">
        <f aca="false">+EA18+DZ19</f>
        <v>-3270</v>
      </c>
      <c r="EB19" s="87"/>
      <c r="EC19" s="26" t="n">
        <f aca="false">+AX19</f>
        <v>-13850</v>
      </c>
      <c r="ED19" s="26" t="n">
        <f aca="false">+EC19</f>
        <v>-13850</v>
      </c>
      <c r="EE19" s="87"/>
      <c r="EF19" s="87"/>
      <c r="EG19" s="87"/>
      <c r="EH19" s="87"/>
      <c r="EI19" s="87"/>
      <c r="EJ19" s="87"/>
      <c r="EK19" s="87"/>
    </row>
    <row r="20" customFormat="false" ht="12.75" hidden="false" customHeight="false" outlineLevel="0" collapsed="false">
      <c r="A20" s="80" t="n">
        <f aca="false">+BaseloadMarkets!A20</f>
        <v>36722</v>
      </c>
      <c r="B20" s="80" t="str">
        <f aca="false">+BaseloadMarkets!B20</f>
        <v>Sat</v>
      </c>
      <c r="C20" s="25" t="n">
        <v>5000</v>
      </c>
      <c r="D20" s="26" t="n">
        <v>5000</v>
      </c>
      <c r="E20" s="81" t="n">
        <f aca="false">D20-C20</f>
        <v>0</v>
      </c>
      <c r="F20" s="25" t="n">
        <v>10000</v>
      </c>
      <c r="G20" s="26" t="n">
        <f aca="false">5000+3379</f>
        <v>8379</v>
      </c>
      <c r="H20" s="81" t="n">
        <f aca="false">G20-F20</f>
        <v>-1621</v>
      </c>
      <c r="I20" s="25" t="n">
        <f aca="false">10000+10000</f>
        <v>20000</v>
      </c>
      <c r="J20" s="25" t="n">
        <f aca="false">10000+6488</f>
        <v>16488</v>
      </c>
      <c r="K20" s="81" t="n">
        <f aca="false">J20-I20</f>
        <v>-3512</v>
      </c>
      <c r="L20" s="25"/>
      <c r="M20" s="26"/>
      <c r="N20" s="81" t="n">
        <f aca="false">M20-L20</f>
        <v>0</v>
      </c>
      <c r="O20" s="25"/>
      <c r="P20" s="26"/>
      <c r="Q20" s="81" t="n">
        <f aca="false">P20-O20</f>
        <v>0</v>
      </c>
      <c r="R20" s="25"/>
      <c r="S20" s="26"/>
      <c r="T20" s="81" t="n">
        <f aca="false">S20-R20</f>
        <v>0</v>
      </c>
      <c r="U20" s="25"/>
      <c r="V20" s="26"/>
      <c r="W20" s="81" t="n">
        <f aca="false">V20-U20</f>
        <v>0</v>
      </c>
      <c r="X20" s="25"/>
      <c r="Y20" s="26"/>
      <c r="Z20" s="81" t="n">
        <f aca="false">Y20-X20</f>
        <v>0</v>
      </c>
      <c r="AA20" s="25"/>
      <c r="AB20" s="26"/>
      <c r="AC20" s="81" t="n">
        <f aca="false">AB20-AA20</f>
        <v>0</v>
      </c>
      <c r="AD20" s="25"/>
      <c r="AE20" s="26"/>
      <c r="AF20" s="81" t="n">
        <f aca="false">AE20-AD20</f>
        <v>0</v>
      </c>
      <c r="AG20" s="25"/>
      <c r="AH20" s="26"/>
      <c r="AI20" s="81" t="n">
        <f aca="false">AH20-AG20</f>
        <v>0</v>
      </c>
      <c r="AJ20" s="25"/>
      <c r="AK20" s="26"/>
      <c r="AL20" s="81" t="n">
        <f aca="false">AK20-AJ20</f>
        <v>0</v>
      </c>
      <c r="AM20" s="25"/>
      <c r="AN20" s="26"/>
      <c r="AO20" s="81" t="n">
        <f aca="false">AN20-AM20</f>
        <v>0</v>
      </c>
      <c r="AP20" s="25"/>
      <c r="AQ20" s="26"/>
      <c r="AR20" s="81" t="n">
        <f aca="false">AQ20-AP20</f>
        <v>0</v>
      </c>
      <c r="AS20" s="25"/>
      <c r="AT20" s="26"/>
      <c r="AU20" s="81" t="n">
        <f aca="false">AT20-AS20</f>
        <v>0</v>
      </c>
      <c r="AV20" s="82" t="n">
        <v>130000</v>
      </c>
      <c r="AW20" s="83" t="n">
        <v>130000</v>
      </c>
      <c r="AX20" s="81" t="n">
        <f aca="false">AW20-AV20</f>
        <v>0</v>
      </c>
      <c r="AY20" s="25"/>
      <c r="AZ20" s="26"/>
      <c r="BA20" s="81" t="n">
        <f aca="false">AZ20-AY20</f>
        <v>0</v>
      </c>
      <c r="BB20" s="25"/>
      <c r="BC20" s="26"/>
      <c r="BD20" s="81" t="n">
        <f aca="false">BC20-BB20</f>
        <v>0</v>
      </c>
      <c r="BE20" s="25"/>
      <c r="BF20" s="26"/>
      <c r="BG20" s="81" t="n">
        <f aca="false">BF20-BE20</f>
        <v>0</v>
      </c>
      <c r="BH20" s="25"/>
      <c r="BI20" s="26"/>
      <c r="BJ20" s="81" t="n">
        <f aca="false">BI20-BH20</f>
        <v>0</v>
      </c>
      <c r="BK20" s="25"/>
      <c r="BL20" s="26"/>
      <c r="BM20" s="81" t="n">
        <f aca="false">BL20-BK20</f>
        <v>0</v>
      </c>
      <c r="BN20" s="25"/>
      <c r="BO20" s="26"/>
      <c r="BP20" s="81" t="n">
        <f aca="false">BO20-BN20</f>
        <v>0</v>
      </c>
      <c r="BQ20" s="25"/>
      <c r="BR20" s="26"/>
      <c r="BS20" s="81" t="n">
        <f aca="false">BR20-BQ20</f>
        <v>0</v>
      </c>
      <c r="BT20" s="25"/>
      <c r="BU20" s="26"/>
      <c r="BV20" s="81" t="n">
        <f aca="false">BU20-BT20</f>
        <v>0</v>
      </c>
      <c r="BW20" s="25"/>
      <c r="BX20" s="26"/>
      <c r="BY20" s="81" t="n">
        <f aca="false">BX20-BW20</f>
        <v>0</v>
      </c>
      <c r="BZ20" s="25"/>
      <c r="CA20" s="26"/>
      <c r="CB20" s="81" t="n">
        <f aca="false">CA20-BZ20</f>
        <v>0</v>
      </c>
      <c r="CC20" s="25"/>
      <c r="CD20" s="26"/>
      <c r="CE20" s="81" t="n">
        <f aca="false">CD20-CC20</f>
        <v>0</v>
      </c>
      <c r="CF20" s="25"/>
      <c r="CG20" s="26"/>
      <c r="CH20" s="81" t="n">
        <f aca="false">CG20-CF20</f>
        <v>0</v>
      </c>
      <c r="CI20" s="25"/>
      <c r="CJ20" s="26"/>
      <c r="CK20" s="81" t="n">
        <f aca="false">CJ20-CI20</f>
        <v>0</v>
      </c>
      <c r="CL20" s="25"/>
      <c r="CM20" s="26"/>
      <c r="CN20" s="81" t="n">
        <f aca="false">CM20-CL20</f>
        <v>0</v>
      </c>
      <c r="CO20" s="25"/>
      <c r="CP20" s="26"/>
      <c r="CQ20" s="81" t="n">
        <f aca="false">CP20-CO20</f>
        <v>0</v>
      </c>
      <c r="CR20" s="25"/>
      <c r="CS20" s="26"/>
      <c r="CT20" s="81" t="n">
        <f aca="false">CS20-CR20</f>
        <v>0</v>
      </c>
      <c r="CU20" s="25"/>
      <c r="CV20" s="26"/>
      <c r="CW20" s="81" t="n">
        <f aca="false">CV20-CU20</f>
        <v>0</v>
      </c>
      <c r="CX20" s="25"/>
      <c r="CY20" s="26"/>
      <c r="CZ20" s="81" t="n">
        <f aca="false">CY20-CX20</f>
        <v>0</v>
      </c>
      <c r="DA20" s="25"/>
      <c r="DB20" s="26"/>
      <c r="DC20" s="81" t="n">
        <f aca="false">DB20-DA20</f>
        <v>0</v>
      </c>
      <c r="DD20" s="25"/>
      <c r="DE20" s="26"/>
      <c r="DF20" s="81" t="n">
        <f aca="false">DE20-DD20</f>
        <v>0</v>
      </c>
      <c r="DG20" s="25"/>
      <c r="DH20" s="26"/>
      <c r="DI20" s="81" t="n">
        <f aca="false">DH20-DG20</f>
        <v>0</v>
      </c>
      <c r="DJ20" s="25"/>
      <c r="DK20" s="26"/>
      <c r="DL20" s="81" t="n">
        <f aca="false">DK20-DJ20</f>
        <v>0</v>
      </c>
      <c r="DM20" s="25"/>
      <c r="DN20" s="26"/>
      <c r="DO20" s="81" t="n">
        <f aca="false">DN20-DM20</f>
        <v>0</v>
      </c>
      <c r="DP20" s="25"/>
      <c r="DQ20" s="26"/>
      <c r="DR20" s="81" t="n">
        <f aca="false">DQ20-DP20</f>
        <v>0</v>
      </c>
      <c r="DS20" s="81" t="n">
        <f aca="false">+C20+F20+I20+L20+O20+R20+U20+X20+AA20+AD20+AG20+AJ20+AM20+AP20+AS20+AV20+AY20+BB20+BE20+BH20+BK20+BN20+BQ20+BT20+BW20+BZ20+CC20+CF20+CI20+CL20+CO20+CR20+CU20+CX20+DA20+DD20+DG20+DJ20+DM20+DP20</f>
        <v>165000</v>
      </c>
      <c r="DT20" s="81" t="n">
        <f aca="false">+D20+G20+J20+M20+P20+S20+V20+Y20+AB20+AE20+AH20+AK20+AN20+AQ20+AT20+AW20+AZ20+BC20+BF20+BI20+BL20+BO20+BR20+BU20+BX20+CA20+CD20+CG20+CJ20+CM20+CP20+CS20+CV20+CY20+DB20+DE20+DH20+DK20+DN20+DQ20</f>
        <v>159867</v>
      </c>
      <c r="DU20" s="81" t="n">
        <f aca="false">DT20-DS20</f>
        <v>-5133</v>
      </c>
      <c r="DV20" s="26" t="n">
        <f aca="false">+DV19+DU20</f>
        <v>-173143</v>
      </c>
      <c r="DW20" s="87"/>
      <c r="DX20" s="81" t="n">
        <f aca="false">+DS20-AV20</f>
        <v>35000</v>
      </c>
      <c r="DY20" s="81" t="n">
        <f aca="false">+DT20-AW20</f>
        <v>29867</v>
      </c>
      <c r="DZ20" s="26" t="n">
        <f aca="false">+DY20-DX20</f>
        <v>-5133</v>
      </c>
      <c r="EA20" s="26" t="n">
        <f aca="false">+EA19+DZ20</f>
        <v>-8403</v>
      </c>
      <c r="EB20" s="87"/>
      <c r="EC20" s="26" t="n">
        <f aca="false">+AX20</f>
        <v>0</v>
      </c>
      <c r="ED20" s="26" t="n">
        <f aca="false">+EC20</f>
        <v>0</v>
      </c>
      <c r="EE20" s="87"/>
      <c r="EF20" s="87"/>
      <c r="EG20" s="87"/>
      <c r="EH20" s="87"/>
      <c r="EI20" s="87"/>
      <c r="EJ20" s="87"/>
      <c r="EK20" s="87"/>
    </row>
    <row r="21" customFormat="false" ht="12.75" hidden="false" customHeight="false" outlineLevel="0" collapsed="false">
      <c r="A21" s="80" t="n">
        <f aca="false">+BaseloadMarkets!A21</f>
        <v>36723</v>
      </c>
      <c r="B21" s="80" t="str">
        <f aca="false">+BaseloadMarkets!B21</f>
        <v>Sun</v>
      </c>
      <c r="C21" s="25" t="n">
        <v>5000</v>
      </c>
      <c r="D21" s="26" t="n">
        <v>5000</v>
      </c>
      <c r="E21" s="81" t="n">
        <f aca="false">D21-C21</f>
        <v>0</v>
      </c>
      <c r="F21" s="25" t="n">
        <v>10000</v>
      </c>
      <c r="G21" s="26" t="n">
        <f aca="false">5000+2432</f>
        <v>7432</v>
      </c>
      <c r="H21" s="81" t="n">
        <f aca="false">G21-F21</f>
        <v>-2568</v>
      </c>
      <c r="I21" s="25" t="n">
        <f aca="false">10000+10000</f>
        <v>20000</v>
      </c>
      <c r="J21" s="25" t="n">
        <f aca="false">10000+6141</f>
        <v>16141</v>
      </c>
      <c r="K21" s="81" t="n">
        <f aca="false">J21-I21</f>
        <v>-3859</v>
      </c>
      <c r="L21" s="25"/>
      <c r="M21" s="26"/>
      <c r="N21" s="81" t="n">
        <f aca="false">M21-L21</f>
        <v>0</v>
      </c>
      <c r="O21" s="25"/>
      <c r="P21" s="26"/>
      <c r="Q21" s="81" t="n">
        <f aca="false">P21-O21</f>
        <v>0</v>
      </c>
      <c r="R21" s="25"/>
      <c r="S21" s="26"/>
      <c r="T21" s="81" t="n">
        <f aca="false">S21-R21</f>
        <v>0</v>
      </c>
      <c r="U21" s="25"/>
      <c r="V21" s="26"/>
      <c r="W21" s="81" t="n">
        <f aca="false">V21-U21</f>
        <v>0</v>
      </c>
      <c r="X21" s="25"/>
      <c r="Y21" s="26"/>
      <c r="Z21" s="81" t="n">
        <f aca="false">Y21-X21</f>
        <v>0</v>
      </c>
      <c r="AA21" s="25"/>
      <c r="AB21" s="26"/>
      <c r="AC21" s="81" t="n">
        <f aca="false">AB21-AA21</f>
        <v>0</v>
      </c>
      <c r="AD21" s="25"/>
      <c r="AE21" s="26"/>
      <c r="AF21" s="81" t="n">
        <f aca="false">AE21-AD21</f>
        <v>0</v>
      </c>
      <c r="AG21" s="25"/>
      <c r="AH21" s="26"/>
      <c r="AI21" s="81" t="n">
        <f aca="false">AH21-AG21</f>
        <v>0</v>
      </c>
      <c r="AJ21" s="25"/>
      <c r="AK21" s="26"/>
      <c r="AL21" s="81" t="n">
        <f aca="false">AK21-AJ21</f>
        <v>0</v>
      </c>
      <c r="AM21" s="25"/>
      <c r="AN21" s="26"/>
      <c r="AO21" s="81" t="n">
        <f aca="false">AN21-AM21</f>
        <v>0</v>
      </c>
      <c r="AP21" s="25"/>
      <c r="AQ21" s="26"/>
      <c r="AR21" s="81" t="n">
        <f aca="false">AQ21-AP21</f>
        <v>0</v>
      </c>
      <c r="AS21" s="25"/>
      <c r="AT21" s="26"/>
      <c r="AU21" s="81" t="n">
        <f aca="false">AT21-AS21</f>
        <v>0</v>
      </c>
      <c r="AV21" s="82" t="n">
        <v>130000</v>
      </c>
      <c r="AW21" s="83" t="n">
        <v>130000</v>
      </c>
      <c r="AX21" s="81" t="n">
        <f aca="false">AW21-AV21</f>
        <v>0</v>
      </c>
      <c r="AY21" s="25"/>
      <c r="AZ21" s="26"/>
      <c r="BA21" s="81" t="n">
        <f aca="false">AZ21-AY21</f>
        <v>0</v>
      </c>
      <c r="BB21" s="25"/>
      <c r="BC21" s="26"/>
      <c r="BD21" s="81" t="n">
        <f aca="false">BC21-BB21</f>
        <v>0</v>
      </c>
      <c r="BE21" s="25"/>
      <c r="BF21" s="26"/>
      <c r="BG21" s="81" t="n">
        <f aca="false">BF21-BE21</f>
        <v>0</v>
      </c>
      <c r="BH21" s="25"/>
      <c r="BI21" s="26"/>
      <c r="BJ21" s="81" t="n">
        <f aca="false">BI21-BH21</f>
        <v>0</v>
      </c>
      <c r="BK21" s="25"/>
      <c r="BL21" s="26"/>
      <c r="BM21" s="81" t="n">
        <f aca="false">BL21-BK21</f>
        <v>0</v>
      </c>
      <c r="BN21" s="25"/>
      <c r="BO21" s="26"/>
      <c r="BP21" s="81" t="n">
        <f aca="false">BO21-BN21</f>
        <v>0</v>
      </c>
      <c r="BQ21" s="25"/>
      <c r="BR21" s="26"/>
      <c r="BS21" s="81" t="n">
        <f aca="false">BR21-BQ21</f>
        <v>0</v>
      </c>
      <c r="BT21" s="25"/>
      <c r="BU21" s="26"/>
      <c r="BV21" s="81" t="n">
        <f aca="false">BU21-BT21</f>
        <v>0</v>
      </c>
      <c r="BW21" s="25"/>
      <c r="BX21" s="26"/>
      <c r="BY21" s="81" t="n">
        <f aca="false">BX21-BW21</f>
        <v>0</v>
      </c>
      <c r="BZ21" s="25"/>
      <c r="CA21" s="26"/>
      <c r="CB21" s="81" t="n">
        <f aca="false">CA21-BZ21</f>
        <v>0</v>
      </c>
      <c r="CC21" s="25"/>
      <c r="CD21" s="26"/>
      <c r="CE21" s="81" t="n">
        <f aca="false">CD21-CC21</f>
        <v>0</v>
      </c>
      <c r="CF21" s="25"/>
      <c r="CG21" s="26"/>
      <c r="CH21" s="81" t="n">
        <f aca="false">CG21-CF21</f>
        <v>0</v>
      </c>
      <c r="CI21" s="25"/>
      <c r="CJ21" s="26"/>
      <c r="CK21" s="81" t="n">
        <f aca="false">CJ21-CI21</f>
        <v>0</v>
      </c>
      <c r="CL21" s="25"/>
      <c r="CM21" s="26"/>
      <c r="CN21" s="81" t="n">
        <f aca="false">CM21-CL21</f>
        <v>0</v>
      </c>
      <c r="CO21" s="25"/>
      <c r="CP21" s="26"/>
      <c r="CQ21" s="81" t="n">
        <f aca="false">CP21-CO21</f>
        <v>0</v>
      </c>
      <c r="CR21" s="25"/>
      <c r="CS21" s="26"/>
      <c r="CT21" s="81" t="n">
        <f aca="false">CS21-CR21</f>
        <v>0</v>
      </c>
      <c r="CU21" s="25"/>
      <c r="CV21" s="26"/>
      <c r="CW21" s="81" t="n">
        <f aca="false">CV21-CU21</f>
        <v>0</v>
      </c>
      <c r="CX21" s="25"/>
      <c r="CY21" s="26"/>
      <c r="CZ21" s="81" t="n">
        <f aca="false">CY21-CX21</f>
        <v>0</v>
      </c>
      <c r="DA21" s="25"/>
      <c r="DB21" s="26"/>
      <c r="DC21" s="81" t="n">
        <f aca="false">DB21-DA21</f>
        <v>0</v>
      </c>
      <c r="DD21" s="25"/>
      <c r="DE21" s="26"/>
      <c r="DF21" s="81" t="n">
        <f aca="false">DE21-DD21</f>
        <v>0</v>
      </c>
      <c r="DG21" s="25"/>
      <c r="DH21" s="26"/>
      <c r="DI21" s="81" t="n">
        <f aca="false">DH21-DG21</f>
        <v>0</v>
      </c>
      <c r="DJ21" s="25"/>
      <c r="DK21" s="26"/>
      <c r="DL21" s="81" t="n">
        <f aca="false">DK21-DJ21</f>
        <v>0</v>
      </c>
      <c r="DM21" s="25"/>
      <c r="DN21" s="26"/>
      <c r="DO21" s="81" t="n">
        <f aca="false">DN21-DM21</f>
        <v>0</v>
      </c>
      <c r="DP21" s="25"/>
      <c r="DQ21" s="26"/>
      <c r="DR21" s="81" t="n">
        <f aca="false">DQ21-DP21</f>
        <v>0</v>
      </c>
      <c r="DS21" s="81" t="n">
        <f aca="false">+C21+F21+I21+L21+O21+R21+U21+X21+AA21+AD21+AG21+AJ21+AM21+AP21+AS21+AV21+AY21+BB21+BE21+BH21+BK21+BN21+BQ21+BT21+BW21+BZ21+CC21+CF21+CI21+CL21+CO21+CR21+CU21+CX21+DA21+DD21+DG21+DJ21+DM21+DP21</f>
        <v>165000</v>
      </c>
      <c r="DT21" s="81" t="n">
        <f aca="false">+D21+G21+J21+M21+P21+S21+V21+Y21+AB21+AE21+AH21+AK21+AN21+AQ21+AT21+AW21+AZ21+BC21+BF21+BI21+BL21+BO21+BR21+BU21+BX21+CA21+CD21+CG21+CJ21+CM21+CP21+CS21+CV21+CY21+DB21+DE21+DH21+DK21+DN21+DQ21</f>
        <v>158573</v>
      </c>
      <c r="DU21" s="81" t="n">
        <f aca="false">DT21-DS21</f>
        <v>-6427</v>
      </c>
      <c r="DV21" s="26" t="n">
        <f aca="false">+DV20+DU21</f>
        <v>-179570</v>
      </c>
      <c r="DW21" s="87"/>
      <c r="DX21" s="81" t="n">
        <f aca="false">+DS21-AV21</f>
        <v>35000</v>
      </c>
      <c r="DY21" s="81" t="n">
        <f aca="false">+DT21-AW21</f>
        <v>28573</v>
      </c>
      <c r="DZ21" s="26" t="n">
        <f aca="false">+DY21-DX21</f>
        <v>-6427</v>
      </c>
      <c r="EA21" s="26" t="n">
        <f aca="false">+EA20+DZ21</f>
        <v>-14830</v>
      </c>
      <c r="EB21" s="87"/>
      <c r="EC21" s="26" t="n">
        <f aca="false">+AX21</f>
        <v>0</v>
      </c>
      <c r="ED21" s="26" t="n">
        <f aca="false">+EC21</f>
        <v>0</v>
      </c>
      <c r="EE21" s="87"/>
      <c r="EF21" s="87"/>
      <c r="EG21" s="87"/>
      <c r="EH21" s="87"/>
      <c r="EI21" s="87"/>
      <c r="EJ21" s="87"/>
      <c r="EK21" s="87"/>
    </row>
    <row r="22" customFormat="false" ht="12.75" hidden="false" customHeight="false" outlineLevel="0" collapsed="false">
      <c r="A22" s="80" t="n">
        <f aca="false">+BaseloadMarkets!A22</f>
        <v>36724</v>
      </c>
      <c r="B22" s="80" t="str">
        <f aca="false">+BaseloadMarkets!B22</f>
        <v>Mon</v>
      </c>
      <c r="C22" s="25" t="n">
        <v>5000</v>
      </c>
      <c r="D22" s="26" t="n">
        <v>5000</v>
      </c>
      <c r="E22" s="81" t="n">
        <f aca="false">D22-C22</f>
        <v>0</v>
      </c>
      <c r="F22" s="25" t="n">
        <v>10000</v>
      </c>
      <c r="G22" s="26" t="n">
        <f aca="false">5000+3270</f>
        <v>8270</v>
      </c>
      <c r="H22" s="81" t="n">
        <f aca="false">G22-F22</f>
        <v>-1730</v>
      </c>
      <c r="I22" s="25" t="n">
        <f aca="false">10000+10000</f>
        <v>20000</v>
      </c>
      <c r="J22" s="25" t="n">
        <f aca="false">10000+5808</f>
        <v>15808</v>
      </c>
      <c r="K22" s="81" t="n">
        <f aca="false">J22-I22</f>
        <v>-4192</v>
      </c>
      <c r="L22" s="25"/>
      <c r="M22" s="26"/>
      <c r="N22" s="81" t="n">
        <f aca="false">M22-L22</f>
        <v>0</v>
      </c>
      <c r="O22" s="25"/>
      <c r="P22" s="26"/>
      <c r="Q22" s="81" t="n">
        <f aca="false">P22-O22</f>
        <v>0</v>
      </c>
      <c r="R22" s="25"/>
      <c r="S22" s="26"/>
      <c r="T22" s="81" t="n">
        <f aca="false">S22-R22</f>
        <v>0</v>
      </c>
      <c r="U22" s="25"/>
      <c r="V22" s="26"/>
      <c r="W22" s="81" t="n">
        <f aca="false">V22-U22</f>
        <v>0</v>
      </c>
      <c r="X22" s="25"/>
      <c r="Y22" s="26"/>
      <c r="Z22" s="81" t="n">
        <f aca="false">Y22-X22</f>
        <v>0</v>
      </c>
      <c r="AA22" s="25"/>
      <c r="AB22" s="26"/>
      <c r="AC22" s="81" t="n">
        <f aca="false">AB22-AA22</f>
        <v>0</v>
      </c>
      <c r="AD22" s="25"/>
      <c r="AE22" s="26"/>
      <c r="AF22" s="81" t="n">
        <f aca="false">AE22-AD22</f>
        <v>0</v>
      </c>
      <c r="AG22" s="25"/>
      <c r="AH22" s="26"/>
      <c r="AI22" s="81" t="n">
        <f aca="false">AH22-AG22</f>
        <v>0</v>
      </c>
      <c r="AJ22" s="25"/>
      <c r="AK22" s="26"/>
      <c r="AL22" s="81" t="n">
        <f aca="false">AK22-AJ22</f>
        <v>0</v>
      </c>
      <c r="AM22" s="25"/>
      <c r="AN22" s="26"/>
      <c r="AO22" s="81" t="n">
        <f aca="false">AN22-AM22</f>
        <v>0</v>
      </c>
      <c r="AP22" s="25"/>
      <c r="AQ22" s="26"/>
      <c r="AR22" s="81" t="n">
        <f aca="false">AQ22-AP22</f>
        <v>0</v>
      </c>
      <c r="AS22" s="25"/>
      <c r="AT22" s="26"/>
      <c r="AU22" s="81" t="n">
        <f aca="false">AT22-AS22</f>
        <v>0</v>
      </c>
      <c r="AV22" s="82" t="n">
        <v>130000</v>
      </c>
      <c r="AW22" s="83" t="n">
        <v>130000</v>
      </c>
      <c r="AX22" s="81" t="n">
        <f aca="false">AW22-AV22</f>
        <v>0</v>
      </c>
      <c r="AY22" s="25"/>
      <c r="AZ22" s="26"/>
      <c r="BA22" s="81" t="n">
        <f aca="false">AZ22-AY22</f>
        <v>0</v>
      </c>
      <c r="BB22" s="25"/>
      <c r="BC22" s="26"/>
      <c r="BD22" s="81" t="n">
        <f aca="false">BC22-BB22</f>
        <v>0</v>
      </c>
      <c r="BE22" s="25"/>
      <c r="BF22" s="26"/>
      <c r="BG22" s="81" t="n">
        <f aca="false">BF22-BE22</f>
        <v>0</v>
      </c>
      <c r="BH22" s="25"/>
      <c r="BI22" s="26"/>
      <c r="BJ22" s="81" t="n">
        <f aca="false">BI22-BH22</f>
        <v>0</v>
      </c>
      <c r="BK22" s="25"/>
      <c r="BL22" s="26"/>
      <c r="BM22" s="81" t="n">
        <f aca="false">BL22-BK22</f>
        <v>0</v>
      </c>
      <c r="BN22" s="25"/>
      <c r="BO22" s="26"/>
      <c r="BP22" s="81" t="n">
        <f aca="false">BO22-BN22</f>
        <v>0</v>
      </c>
      <c r="BQ22" s="25"/>
      <c r="BR22" s="26"/>
      <c r="BS22" s="81" t="n">
        <f aca="false">BR22-BQ22</f>
        <v>0</v>
      </c>
      <c r="BT22" s="25"/>
      <c r="BU22" s="26"/>
      <c r="BV22" s="81" t="n">
        <f aca="false">BU22-BT22</f>
        <v>0</v>
      </c>
      <c r="BW22" s="25"/>
      <c r="BX22" s="26"/>
      <c r="BY22" s="81" t="n">
        <f aca="false">BX22-BW22</f>
        <v>0</v>
      </c>
      <c r="BZ22" s="25"/>
      <c r="CA22" s="26"/>
      <c r="CB22" s="81" t="n">
        <f aca="false">CA22-BZ22</f>
        <v>0</v>
      </c>
      <c r="CC22" s="25"/>
      <c r="CD22" s="26"/>
      <c r="CE22" s="81" t="n">
        <f aca="false">CD22-CC22</f>
        <v>0</v>
      </c>
      <c r="CF22" s="25"/>
      <c r="CG22" s="26"/>
      <c r="CH22" s="81" t="n">
        <f aca="false">CG22-CF22</f>
        <v>0</v>
      </c>
      <c r="CI22" s="25"/>
      <c r="CJ22" s="26"/>
      <c r="CK22" s="81" t="n">
        <f aca="false">CJ22-CI22</f>
        <v>0</v>
      </c>
      <c r="CL22" s="25"/>
      <c r="CM22" s="26"/>
      <c r="CN22" s="81" t="n">
        <f aca="false">CM22-CL22</f>
        <v>0</v>
      </c>
      <c r="CO22" s="25"/>
      <c r="CP22" s="26"/>
      <c r="CQ22" s="81" t="n">
        <f aca="false">CP22-CO22</f>
        <v>0</v>
      </c>
      <c r="CR22" s="25"/>
      <c r="CS22" s="26"/>
      <c r="CT22" s="81" t="n">
        <f aca="false">CS22-CR22</f>
        <v>0</v>
      </c>
      <c r="CU22" s="25"/>
      <c r="CV22" s="26"/>
      <c r="CW22" s="81" t="n">
        <f aca="false">CV22-CU22</f>
        <v>0</v>
      </c>
      <c r="CX22" s="25"/>
      <c r="CY22" s="26"/>
      <c r="CZ22" s="81" t="n">
        <f aca="false">CY22-CX22</f>
        <v>0</v>
      </c>
      <c r="DA22" s="25"/>
      <c r="DB22" s="26"/>
      <c r="DC22" s="81" t="n">
        <f aca="false">DB22-DA22</f>
        <v>0</v>
      </c>
      <c r="DD22" s="25"/>
      <c r="DE22" s="26"/>
      <c r="DF22" s="81" t="n">
        <f aca="false">DE22-DD22</f>
        <v>0</v>
      </c>
      <c r="DG22" s="25"/>
      <c r="DH22" s="26"/>
      <c r="DI22" s="81" t="n">
        <f aca="false">DH22-DG22</f>
        <v>0</v>
      </c>
      <c r="DJ22" s="25"/>
      <c r="DK22" s="26"/>
      <c r="DL22" s="81" t="n">
        <f aca="false">DK22-DJ22</f>
        <v>0</v>
      </c>
      <c r="DM22" s="25"/>
      <c r="DN22" s="26"/>
      <c r="DO22" s="81" t="n">
        <f aca="false">DN22-DM22</f>
        <v>0</v>
      </c>
      <c r="DP22" s="25"/>
      <c r="DQ22" s="26"/>
      <c r="DR22" s="81" t="n">
        <f aca="false">DQ22-DP22</f>
        <v>0</v>
      </c>
      <c r="DS22" s="81" t="n">
        <f aca="false">+C22+F22+I22+L22+O22+R22+U22+X22+AA22+AD22+AG22+AJ22+AM22+AP22+AS22+AV22+AY22+BB22+BE22+BH22+BK22+BN22+BQ22+BT22+BW22+BZ22+CC22+CF22+CI22+CL22+CO22+CR22+CU22+CX22+DA22+DD22+DG22+DJ22+DM22+DP22</f>
        <v>165000</v>
      </c>
      <c r="DT22" s="81" t="n">
        <f aca="false">+D22+G22+J22+M22+P22+S22+V22+Y22+AB22+AE22+AH22+AK22+AN22+AQ22+AT22+AW22+AZ22+BC22+BF22+BI22+BL22+BO22+BR22+BU22+BX22+CA22+CD22+CG22+CJ22+CM22+CP22+CS22+CV22+CY22+DB22+DE22+DH22+DK22+DN22+DQ22</f>
        <v>159078</v>
      </c>
      <c r="DU22" s="81" t="n">
        <f aca="false">DT22-DS22</f>
        <v>-5922</v>
      </c>
      <c r="DV22" s="26" t="n">
        <f aca="false">+DV21+DU22</f>
        <v>-185492</v>
      </c>
      <c r="DW22" s="87"/>
      <c r="DX22" s="81" t="n">
        <f aca="false">+DS22-AV22</f>
        <v>35000</v>
      </c>
      <c r="DY22" s="81" t="n">
        <f aca="false">+DT22-AW22</f>
        <v>29078</v>
      </c>
      <c r="DZ22" s="26" t="n">
        <f aca="false">+DY22-DX22</f>
        <v>-5922</v>
      </c>
      <c r="EA22" s="26" t="n">
        <f aca="false">+EA21+DZ22</f>
        <v>-20752</v>
      </c>
      <c r="EB22" s="87"/>
      <c r="EC22" s="26" t="n">
        <f aca="false">+AX22</f>
        <v>0</v>
      </c>
      <c r="ED22" s="26" t="n">
        <f aca="false">+EC22</f>
        <v>0</v>
      </c>
      <c r="EE22" s="87"/>
      <c r="EF22" s="87"/>
      <c r="EG22" s="87"/>
      <c r="EH22" s="87"/>
      <c r="EI22" s="87"/>
      <c r="EJ22" s="87"/>
      <c r="EK22" s="87"/>
    </row>
    <row r="23" customFormat="false" ht="12.75" hidden="false" customHeight="false" outlineLevel="0" collapsed="false">
      <c r="A23" s="80" t="n">
        <f aca="false">+BaseloadMarkets!A23</f>
        <v>36725</v>
      </c>
      <c r="B23" s="80" t="str">
        <f aca="false">+BaseloadMarkets!B23</f>
        <v>Tues</v>
      </c>
      <c r="C23" s="25" t="n">
        <v>5000</v>
      </c>
      <c r="D23" s="26" t="n">
        <v>5000</v>
      </c>
      <c r="E23" s="81" t="n">
        <f aca="false">D23-C23</f>
        <v>0</v>
      </c>
      <c r="F23" s="25" t="n">
        <v>10000</v>
      </c>
      <c r="G23" s="26" t="n">
        <v>10000</v>
      </c>
      <c r="H23" s="81" t="n">
        <f aca="false">G23-F23</f>
        <v>0</v>
      </c>
      <c r="I23" s="25" t="n">
        <f aca="false">10000+10000</f>
        <v>20000</v>
      </c>
      <c r="J23" s="25" t="n">
        <f aca="false">10000+10000</f>
        <v>20000</v>
      </c>
      <c r="K23" s="81" t="n">
        <f aca="false">J23-I23</f>
        <v>0</v>
      </c>
      <c r="L23" s="25"/>
      <c r="M23" s="26"/>
      <c r="N23" s="81" t="n">
        <f aca="false">M23-L23</f>
        <v>0</v>
      </c>
      <c r="O23" s="25"/>
      <c r="P23" s="26"/>
      <c r="Q23" s="81" t="n">
        <f aca="false">P23-O23</f>
        <v>0</v>
      </c>
      <c r="R23" s="25"/>
      <c r="S23" s="26"/>
      <c r="T23" s="81" t="n">
        <f aca="false">S23-R23</f>
        <v>0</v>
      </c>
      <c r="U23" s="25"/>
      <c r="V23" s="26"/>
      <c r="W23" s="81" t="n">
        <f aca="false">V23-U23</f>
        <v>0</v>
      </c>
      <c r="X23" s="25"/>
      <c r="Y23" s="26"/>
      <c r="Z23" s="81" t="n">
        <f aca="false">Y23-X23</f>
        <v>0</v>
      </c>
      <c r="AA23" s="25"/>
      <c r="AB23" s="26"/>
      <c r="AC23" s="81" t="n">
        <f aca="false">AB23-AA23</f>
        <v>0</v>
      </c>
      <c r="AD23" s="25"/>
      <c r="AE23" s="26"/>
      <c r="AF23" s="81" t="n">
        <f aca="false">AE23-AD23</f>
        <v>0</v>
      </c>
      <c r="AG23" s="25"/>
      <c r="AH23" s="26"/>
      <c r="AI23" s="81" t="n">
        <f aca="false">AH23-AG23</f>
        <v>0</v>
      </c>
      <c r="AJ23" s="25"/>
      <c r="AK23" s="26"/>
      <c r="AL23" s="81" t="n">
        <f aca="false">AK23-AJ23</f>
        <v>0</v>
      </c>
      <c r="AM23" s="25"/>
      <c r="AN23" s="26"/>
      <c r="AO23" s="81" t="n">
        <f aca="false">AN23-AM23</f>
        <v>0</v>
      </c>
      <c r="AP23" s="25"/>
      <c r="AQ23" s="26"/>
      <c r="AR23" s="81" t="n">
        <f aca="false">AQ23-AP23</f>
        <v>0</v>
      </c>
      <c r="AS23" s="25"/>
      <c r="AT23" s="26"/>
      <c r="AU23" s="81" t="n">
        <f aca="false">AT23-AS23</f>
        <v>0</v>
      </c>
      <c r="AV23" s="82" t="n">
        <v>415000</v>
      </c>
      <c r="AW23" s="83" t="n">
        <f aca="false">415000-10000+5390-10000+5893-10000+2250</f>
        <v>398533</v>
      </c>
      <c r="AX23" s="81" t="n">
        <f aca="false">AW23-AV23</f>
        <v>-16467</v>
      </c>
      <c r="AY23" s="25"/>
      <c r="AZ23" s="26"/>
      <c r="BA23" s="81" t="n">
        <f aca="false">AZ23-AY23</f>
        <v>0</v>
      </c>
      <c r="BB23" s="25"/>
      <c r="BC23" s="26"/>
      <c r="BD23" s="81" t="n">
        <f aca="false">BC23-BB23</f>
        <v>0</v>
      </c>
      <c r="BE23" s="25"/>
      <c r="BF23" s="26"/>
      <c r="BG23" s="81" t="n">
        <f aca="false">BF23-BE23</f>
        <v>0</v>
      </c>
      <c r="BH23" s="25"/>
      <c r="BI23" s="26"/>
      <c r="BJ23" s="81" t="n">
        <f aca="false">BI23-BH23</f>
        <v>0</v>
      </c>
      <c r="BK23" s="25"/>
      <c r="BL23" s="26"/>
      <c r="BM23" s="81" t="n">
        <f aca="false">BL23-BK23</f>
        <v>0</v>
      </c>
      <c r="BN23" s="25"/>
      <c r="BO23" s="26"/>
      <c r="BP23" s="81" t="n">
        <f aca="false">BO23-BN23</f>
        <v>0</v>
      </c>
      <c r="BQ23" s="25"/>
      <c r="BR23" s="26"/>
      <c r="BS23" s="81" t="n">
        <f aca="false">BR23-BQ23</f>
        <v>0</v>
      </c>
      <c r="BT23" s="25"/>
      <c r="BU23" s="26"/>
      <c r="BV23" s="81" t="n">
        <f aca="false">BU23-BT23</f>
        <v>0</v>
      </c>
      <c r="BW23" s="25"/>
      <c r="BX23" s="26"/>
      <c r="BY23" s="81" t="n">
        <f aca="false">BX23-BW23</f>
        <v>0</v>
      </c>
      <c r="BZ23" s="25"/>
      <c r="CA23" s="26"/>
      <c r="CB23" s="81" t="n">
        <f aca="false">CA23-BZ23</f>
        <v>0</v>
      </c>
      <c r="CC23" s="25"/>
      <c r="CD23" s="26"/>
      <c r="CE23" s="81" t="n">
        <f aca="false">CD23-CC23</f>
        <v>0</v>
      </c>
      <c r="CF23" s="25"/>
      <c r="CG23" s="26"/>
      <c r="CH23" s="81" t="n">
        <f aca="false">CG23-CF23</f>
        <v>0</v>
      </c>
      <c r="CI23" s="25"/>
      <c r="CJ23" s="26"/>
      <c r="CK23" s="81" t="n">
        <f aca="false">CJ23-CI23</f>
        <v>0</v>
      </c>
      <c r="CL23" s="25"/>
      <c r="CM23" s="26"/>
      <c r="CN23" s="81" t="n">
        <f aca="false">CM23-CL23</f>
        <v>0</v>
      </c>
      <c r="CO23" s="25"/>
      <c r="CP23" s="26"/>
      <c r="CQ23" s="81" t="n">
        <f aca="false">CP23-CO23</f>
        <v>0</v>
      </c>
      <c r="CR23" s="25"/>
      <c r="CS23" s="26"/>
      <c r="CT23" s="81" t="n">
        <f aca="false">CS23-CR23</f>
        <v>0</v>
      </c>
      <c r="CU23" s="25"/>
      <c r="CV23" s="26"/>
      <c r="CW23" s="81" t="n">
        <f aca="false">CV23-CU23</f>
        <v>0</v>
      </c>
      <c r="CX23" s="25"/>
      <c r="CY23" s="26"/>
      <c r="CZ23" s="81" t="n">
        <f aca="false">CY23-CX23</f>
        <v>0</v>
      </c>
      <c r="DA23" s="25"/>
      <c r="DB23" s="26"/>
      <c r="DC23" s="81" t="n">
        <f aca="false">DB23-DA23</f>
        <v>0</v>
      </c>
      <c r="DD23" s="25"/>
      <c r="DE23" s="26"/>
      <c r="DF23" s="81" t="n">
        <f aca="false">DE23-DD23</f>
        <v>0</v>
      </c>
      <c r="DG23" s="25"/>
      <c r="DH23" s="26"/>
      <c r="DI23" s="81" t="n">
        <f aca="false">DH23-DG23</f>
        <v>0</v>
      </c>
      <c r="DJ23" s="25"/>
      <c r="DK23" s="26"/>
      <c r="DL23" s="81" t="n">
        <f aca="false">DK23-DJ23</f>
        <v>0</v>
      </c>
      <c r="DM23" s="25"/>
      <c r="DN23" s="26"/>
      <c r="DO23" s="81" t="n">
        <f aca="false">DN23-DM23</f>
        <v>0</v>
      </c>
      <c r="DP23" s="25"/>
      <c r="DQ23" s="26"/>
      <c r="DR23" s="81" t="n">
        <f aca="false">DQ23-DP23</f>
        <v>0</v>
      </c>
      <c r="DS23" s="81" t="n">
        <f aca="false">+C23+F23+I23+L23+O23+R23+U23+X23+AA23+AD23+AG23+AJ23+AM23+AP23+AS23+AV23+AY23+BB23+BE23+BH23+BK23+BN23+BQ23+BT23+BW23+BZ23+CC23+CF23+CI23+CL23+CO23+CR23+CU23+CX23+DA23+DD23+DG23+DJ23+DM23+DP23</f>
        <v>450000</v>
      </c>
      <c r="DT23" s="81" t="n">
        <f aca="false">+D23+G23+J23+M23+P23+S23+V23+Y23+AB23+AE23+AH23+AK23+AN23+AQ23+AT23+AW23+AZ23+BC23+BF23+BI23+BL23+BO23+BR23+BU23+BX23+CA23+CD23+CG23+CJ23+CM23+CP23+CS23+CV23+CY23+DB23+DE23+DH23+DK23+DN23+DQ23</f>
        <v>433533</v>
      </c>
      <c r="DU23" s="81" t="n">
        <f aca="false">DT23-DS23</f>
        <v>-16467</v>
      </c>
      <c r="DV23" s="26" t="n">
        <f aca="false">+DV22+DU23</f>
        <v>-201959</v>
      </c>
      <c r="DW23" s="87"/>
      <c r="DX23" s="81" t="n">
        <f aca="false">+DS23-AV23</f>
        <v>35000</v>
      </c>
      <c r="DY23" s="81" t="n">
        <f aca="false">+DT23-AW23</f>
        <v>35000</v>
      </c>
      <c r="DZ23" s="26" t="n">
        <f aca="false">+DY23-DX23</f>
        <v>0</v>
      </c>
      <c r="EA23" s="26" t="n">
        <f aca="false">+EA22+DZ23</f>
        <v>-20752</v>
      </c>
      <c r="EB23" s="87"/>
      <c r="EC23" s="26" t="n">
        <f aca="false">+AX23</f>
        <v>-16467</v>
      </c>
      <c r="ED23" s="26" t="n">
        <f aca="false">+EC23</f>
        <v>-16467</v>
      </c>
      <c r="EE23" s="87"/>
      <c r="EF23" s="87"/>
      <c r="EG23" s="87"/>
      <c r="EH23" s="87"/>
      <c r="EI23" s="87"/>
      <c r="EJ23" s="87"/>
      <c r="EK23" s="87"/>
    </row>
    <row r="24" customFormat="false" ht="12.75" hidden="false" customHeight="false" outlineLevel="0" collapsed="false">
      <c r="A24" s="80" t="n">
        <f aca="false">+BaseloadMarkets!A24</f>
        <v>36726</v>
      </c>
      <c r="B24" s="80" t="str">
        <f aca="false">+BaseloadMarkets!B24</f>
        <v>Wed</v>
      </c>
      <c r="C24" s="25" t="n">
        <v>5000</v>
      </c>
      <c r="D24" s="26" t="n">
        <v>5000</v>
      </c>
      <c r="E24" s="81" t="n">
        <f aca="false">D24-C24</f>
        <v>0</v>
      </c>
      <c r="F24" s="25" t="n">
        <v>10000</v>
      </c>
      <c r="G24" s="26" t="n">
        <f aca="false">10000-5000+3052</f>
        <v>8052</v>
      </c>
      <c r="H24" s="81" t="n">
        <f aca="false">G24-F24</f>
        <v>-1948</v>
      </c>
      <c r="I24" s="25" t="n">
        <f aca="false">10000+10000</f>
        <v>20000</v>
      </c>
      <c r="J24" s="25" t="n">
        <f aca="false">10000+5829</f>
        <v>15829</v>
      </c>
      <c r="K24" s="81" t="n">
        <f aca="false">J24-I24</f>
        <v>-4171</v>
      </c>
      <c r="L24" s="25"/>
      <c r="M24" s="26"/>
      <c r="N24" s="81" t="n">
        <f aca="false">M24-L24</f>
        <v>0</v>
      </c>
      <c r="O24" s="25"/>
      <c r="P24" s="26"/>
      <c r="Q24" s="81" t="n">
        <f aca="false">P24-O24</f>
        <v>0</v>
      </c>
      <c r="R24" s="25"/>
      <c r="S24" s="26"/>
      <c r="T24" s="81" t="n">
        <f aca="false">S24-R24</f>
        <v>0</v>
      </c>
      <c r="U24" s="25"/>
      <c r="V24" s="26"/>
      <c r="W24" s="81" t="n">
        <f aca="false">V24-U24</f>
        <v>0</v>
      </c>
      <c r="X24" s="25"/>
      <c r="Y24" s="26"/>
      <c r="Z24" s="81" t="n">
        <f aca="false">Y24-X24</f>
        <v>0</v>
      </c>
      <c r="AA24" s="25"/>
      <c r="AB24" s="26"/>
      <c r="AC24" s="81" t="n">
        <f aca="false">AB24-AA24</f>
        <v>0</v>
      </c>
      <c r="AD24" s="25"/>
      <c r="AE24" s="26"/>
      <c r="AF24" s="81" t="n">
        <f aca="false">AE24-AD24</f>
        <v>0</v>
      </c>
      <c r="AG24" s="25"/>
      <c r="AH24" s="26"/>
      <c r="AI24" s="81" t="n">
        <f aca="false">AH24-AG24</f>
        <v>0</v>
      </c>
      <c r="AJ24" s="25"/>
      <c r="AK24" s="26"/>
      <c r="AL24" s="81" t="n">
        <f aca="false">AK24-AJ24</f>
        <v>0</v>
      </c>
      <c r="AM24" s="25"/>
      <c r="AN24" s="26"/>
      <c r="AO24" s="81" t="n">
        <f aca="false">AN24-AM24</f>
        <v>0</v>
      </c>
      <c r="AP24" s="25"/>
      <c r="AQ24" s="26"/>
      <c r="AR24" s="81" t="n">
        <f aca="false">AQ24-AP24</f>
        <v>0</v>
      </c>
      <c r="AS24" s="25"/>
      <c r="AT24" s="26"/>
      <c r="AU24" s="81" t="n">
        <f aca="false">AT24-AS24</f>
        <v>0</v>
      </c>
      <c r="AV24" s="82" t="n">
        <v>630000</v>
      </c>
      <c r="AW24" s="83" t="n">
        <f aca="false">630000-20000+11657-10000+5292-5000+2646-10000+5829-25000+13231-10000+8232-10000+5586-10000+5586-15000+11329-10000+7902-15000+11108-5000+2991-5000+2991-30000+18292-40000+23316</f>
        <v>545988</v>
      </c>
      <c r="AX24" s="81" t="n">
        <f aca="false">AW24-AV24</f>
        <v>-84012</v>
      </c>
      <c r="AY24" s="25"/>
      <c r="AZ24" s="26"/>
      <c r="BA24" s="81" t="n">
        <f aca="false">AZ24-AY24</f>
        <v>0</v>
      </c>
      <c r="BB24" s="25"/>
      <c r="BC24" s="26"/>
      <c r="BD24" s="81" t="n">
        <f aca="false">BC24-BB24</f>
        <v>0</v>
      </c>
      <c r="BE24" s="25"/>
      <c r="BF24" s="26"/>
      <c r="BG24" s="81" t="n">
        <f aca="false">BF24-BE24</f>
        <v>0</v>
      </c>
      <c r="BH24" s="25"/>
      <c r="BI24" s="26"/>
      <c r="BJ24" s="81" t="n">
        <f aca="false">BI24-BH24</f>
        <v>0</v>
      </c>
      <c r="BK24" s="25"/>
      <c r="BL24" s="26"/>
      <c r="BM24" s="81" t="n">
        <f aca="false">BL24-BK24</f>
        <v>0</v>
      </c>
      <c r="BN24" s="25"/>
      <c r="BO24" s="26"/>
      <c r="BP24" s="81" t="n">
        <f aca="false">BO24-BN24</f>
        <v>0</v>
      </c>
      <c r="BQ24" s="25"/>
      <c r="BR24" s="26"/>
      <c r="BS24" s="81" t="n">
        <f aca="false">BR24-BQ24</f>
        <v>0</v>
      </c>
      <c r="BT24" s="25"/>
      <c r="BU24" s="26"/>
      <c r="BV24" s="81" t="n">
        <f aca="false">BU24-BT24</f>
        <v>0</v>
      </c>
      <c r="BW24" s="25"/>
      <c r="BX24" s="26"/>
      <c r="BY24" s="81" t="n">
        <f aca="false">BX24-BW24</f>
        <v>0</v>
      </c>
      <c r="BZ24" s="25"/>
      <c r="CA24" s="26"/>
      <c r="CB24" s="81" t="n">
        <f aca="false">CA24-BZ24</f>
        <v>0</v>
      </c>
      <c r="CC24" s="25"/>
      <c r="CD24" s="26"/>
      <c r="CE24" s="81" t="n">
        <f aca="false">CD24-CC24</f>
        <v>0</v>
      </c>
      <c r="CF24" s="25"/>
      <c r="CG24" s="26"/>
      <c r="CH24" s="81" t="n">
        <f aca="false">CG24-CF24</f>
        <v>0</v>
      </c>
      <c r="CI24" s="25"/>
      <c r="CJ24" s="26"/>
      <c r="CK24" s="81" t="n">
        <f aca="false">CJ24-CI24</f>
        <v>0</v>
      </c>
      <c r="CL24" s="25"/>
      <c r="CM24" s="26"/>
      <c r="CN24" s="81" t="n">
        <f aca="false">CM24-CL24</f>
        <v>0</v>
      </c>
      <c r="CO24" s="25"/>
      <c r="CP24" s="26"/>
      <c r="CQ24" s="81" t="n">
        <f aca="false">CP24-CO24</f>
        <v>0</v>
      </c>
      <c r="CR24" s="25"/>
      <c r="CS24" s="26"/>
      <c r="CT24" s="81" t="n">
        <f aca="false">CS24-CR24</f>
        <v>0</v>
      </c>
      <c r="CU24" s="25"/>
      <c r="CV24" s="26"/>
      <c r="CW24" s="81" t="n">
        <f aca="false">CV24-CU24</f>
        <v>0</v>
      </c>
      <c r="CX24" s="25"/>
      <c r="CY24" s="26"/>
      <c r="CZ24" s="81" t="n">
        <f aca="false">CY24-CX24</f>
        <v>0</v>
      </c>
      <c r="DA24" s="25"/>
      <c r="DB24" s="26"/>
      <c r="DC24" s="81" t="n">
        <f aca="false">DB24-DA24</f>
        <v>0</v>
      </c>
      <c r="DD24" s="25"/>
      <c r="DE24" s="26"/>
      <c r="DF24" s="81" t="n">
        <f aca="false">DE24-DD24</f>
        <v>0</v>
      </c>
      <c r="DG24" s="25"/>
      <c r="DH24" s="26"/>
      <c r="DI24" s="81" t="n">
        <f aca="false">DH24-DG24</f>
        <v>0</v>
      </c>
      <c r="DJ24" s="25"/>
      <c r="DK24" s="26"/>
      <c r="DL24" s="81" t="n">
        <f aca="false">DK24-DJ24</f>
        <v>0</v>
      </c>
      <c r="DM24" s="25"/>
      <c r="DN24" s="26"/>
      <c r="DO24" s="81" t="n">
        <f aca="false">DN24-DM24</f>
        <v>0</v>
      </c>
      <c r="DP24" s="25"/>
      <c r="DQ24" s="26"/>
      <c r="DR24" s="81" t="n">
        <f aca="false">DQ24-DP24</f>
        <v>0</v>
      </c>
      <c r="DS24" s="81" t="n">
        <f aca="false">+C24+F24+I24+L24+O24+R24+U24+X24+AA24+AD24+AG24+AJ24+AM24+AP24+AS24+AV24+AY24+BB24+BE24+BH24+BK24+BN24+BQ24+BT24+BW24+BZ24+CC24+CF24+CI24+CL24+CO24+CR24+CU24+CX24+DA24+DD24+DG24+DJ24+DM24+DP24</f>
        <v>665000</v>
      </c>
      <c r="DT24" s="81" t="n">
        <f aca="false">+D24+G24+J24+M24+P24+S24+V24+Y24+AB24+AE24+AH24+AK24+AN24+AQ24+AT24+AW24+AZ24+BC24+BF24+BI24+BL24+BO24+BR24+BU24+BX24+CA24+CD24+CG24+CJ24+CM24+CP24+CS24+CV24+CY24+DB24+DE24+DH24+DK24+DN24+DQ24</f>
        <v>574869</v>
      </c>
      <c r="DU24" s="81" t="n">
        <f aca="false">DT24-DS24</f>
        <v>-90131</v>
      </c>
      <c r="DV24" s="26" t="n">
        <f aca="false">+DV23+DU24</f>
        <v>-292090</v>
      </c>
      <c r="DW24" s="87"/>
      <c r="DX24" s="81" t="n">
        <f aca="false">+DS24-AV24</f>
        <v>35000</v>
      </c>
      <c r="DY24" s="81" t="n">
        <f aca="false">+DT24-AW24</f>
        <v>28881</v>
      </c>
      <c r="DZ24" s="26" t="n">
        <f aca="false">+DY24-DX24</f>
        <v>-6119</v>
      </c>
      <c r="EA24" s="26" t="n">
        <f aca="false">+EA23+DZ24</f>
        <v>-26871</v>
      </c>
      <c r="EB24" s="87"/>
      <c r="EC24" s="26" t="n">
        <f aca="false">+AX24</f>
        <v>-84012</v>
      </c>
      <c r="ED24" s="26" t="n">
        <f aca="false">+EC24</f>
        <v>-84012</v>
      </c>
      <c r="EE24" s="87"/>
      <c r="EF24" s="87"/>
      <c r="EG24" s="87"/>
      <c r="EH24" s="87"/>
      <c r="EI24" s="87"/>
      <c r="EJ24" s="87"/>
      <c r="EK24" s="87"/>
    </row>
    <row r="25" customFormat="false" ht="12.75" hidden="false" customHeight="false" outlineLevel="0" collapsed="false">
      <c r="A25" s="80" t="n">
        <f aca="false">+BaseloadMarkets!A25</f>
        <v>36727</v>
      </c>
      <c r="B25" s="80" t="str">
        <f aca="false">+BaseloadMarkets!B25</f>
        <v>Thu</v>
      </c>
      <c r="C25" s="25" t="n">
        <v>5000</v>
      </c>
      <c r="D25" s="26" t="n">
        <v>5000</v>
      </c>
      <c r="E25" s="81" t="n">
        <f aca="false">D25-C25</f>
        <v>0</v>
      </c>
      <c r="F25" s="25" t="n">
        <v>10000</v>
      </c>
      <c r="G25" s="26" t="n">
        <f aca="false">10000-5000+3264</f>
        <v>8264</v>
      </c>
      <c r="H25" s="81" t="n">
        <f aca="false">G25-F25</f>
        <v>-1736</v>
      </c>
      <c r="I25" s="25" t="n">
        <f aca="false">10000+10000</f>
        <v>20000</v>
      </c>
      <c r="J25" s="25" t="n">
        <f aca="false">10000+6387</f>
        <v>16387</v>
      </c>
      <c r="K25" s="81" t="n">
        <f aca="false">J25-I25</f>
        <v>-3613</v>
      </c>
      <c r="L25" s="25"/>
      <c r="M25" s="26"/>
      <c r="N25" s="81" t="n">
        <f aca="false">M25-L25</f>
        <v>0</v>
      </c>
      <c r="O25" s="25"/>
      <c r="P25" s="26"/>
      <c r="Q25" s="81" t="n">
        <f aca="false">P25-O25</f>
        <v>0</v>
      </c>
      <c r="R25" s="25"/>
      <c r="S25" s="26"/>
      <c r="T25" s="81" t="n">
        <f aca="false">S25-R25</f>
        <v>0</v>
      </c>
      <c r="U25" s="25"/>
      <c r="V25" s="26"/>
      <c r="W25" s="81" t="n">
        <f aca="false">V25-U25</f>
        <v>0</v>
      </c>
      <c r="X25" s="25"/>
      <c r="Y25" s="26"/>
      <c r="Z25" s="81" t="n">
        <f aca="false">Y25-X25</f>
        <v>0</v>
      </c>
      <c r="AA25" s="25"/>
      <c r="AB25" s="26"/>
      <c r="AC25" s="81" t="n">
        <f aca="false">AB25-AA25</f>
        <v>0</v>
      </c>
      <c r="AD25" s="25"/>
      <c r="AE25" s="26"/>
      <c r="AF25" s="81" t="n">
        <f aca="false">AE25-AD25</f>
        <v>0</v>
      </c>
      <c r="AG25" s="25"/>
      <c r="AH25" s="26"/>
      <c r="AI25" s="81" t="n">
        <f aca="false">AH25-AG25</f>
        <v>0</v>
      </c>
      <c r="AJ25" s="25"/>
      <c r="AK25" s="26"/>
      <c r="AL25" s="81" t="n">
        <f aca="false">AK25-AJ25</f>
        <v>0</v>
      </c>
      <c r="AM25" s="25"/>
      <c r="AN25" s="26"/>
      <c r="AO25" s="81" t="n">
        <f aca="false">AN25-AM25</f>
        <v>0</v>
      </c>
      <c r="AP25" s="25"/>
      <c r="AQ25" s="26"/>
      <c r="AR25" s="81" t="n">
        <f aca="false">AQ25-AP25</f>
        <v>0</v>
      </c>
      <c r="AS25" s="25"/>
      <c r="AT25" s="26"/>
      <c r="AU25" s="81" t="n">
        <f aca="false">AT25-AS25</f>
        <v>0</v>
      </c>
      <c r="AV25" s="82" t="n">
        <v>430000</v>
      </c>
      <c r="AW25" s="83" t="n">
        <f aca="false">430000-25000+15128</f>
        <v>420128</v>
      </c>
      <c r="AX25" s="81" t="n">
        <f aca="false">AW25-AV25</f>
        <v>-9872</v>
      </c>
      <c r="AY25" s="25"/>
      <c r="AZ25" s="26"/>
      <c r="BA25" s="81" t="n">
        <f aca="false">AZ25-AY25</f>
        <v>0</v>
      </c>
      <c r="BB25" s="25"/>
      <c r="BC25" s="26"/>
      <c r="BD25" s="81" t="n">
        <f aca="false">BC25-BB25</f>
        <v>0</v>
      </c>
      <c r="BE25" s="25"/>
      <c r="BF25" s="26"/>
      <c r="BG25" s="81" t="n">
        <f aca="false">BF25-BE25</f>
        <v>0</v>
      </c>
      <c r="BH25" s="25"/>
      <c r="BI25" s="26"/>
      <c r="BJ25" s="81" t="n">
        <f aca="false">BI25-BH25</f>
        <v>0</v>
      </c>
      <c r="BK25" s="25"/>
      <c r="BL25" s="26"/>
      <c r="BM25" s="81" t="n">
        <f aca="false">BL25-BK25</f>
        <v>0</v>
      </c>
      <c r="BN25" s="25"/>
      <c r="BO25" s="26"/>
      <c r="BP25" s="81" t="n">
        <f aca="false">BO25-BN25</f>
        <v>0</v>
      </c>
      <c r="BQ25" s="25"/>
      <c r="BR25" s="26"/>
      <c r="BS25" s="81" t="n">
        <f aca="false">BR25-BQ25</f>
        <v>0</v>
      </c>
      <c r="BT25" s="25"/>
      <c r="BU25" s="26"/>
      <c r="BV25" s="81" t="n">
        <f aca="false">BU25-BT25</f>
        <v>0</v>
      </c>
      <c r="BW25" s="25"/>
      <c r="BX25" s="26"/>
      <c r="BY25" s="81" t="n">
        <f aca="false">BX25-BW25</f>
        <v>0</v>
      </c>
      <c r="BZ25" s="25"/>
      <c r="CA25" s="26"/>
      <c r="CB25" s="81" t="n">
        <f aca="false">CA25-BZ25</f>
        <v>0</v>
      </c>
      <c r="CC25" s="25"/>
      <c r="CD25" s="26"/>
      <c r="CE25" s="81" t="n">
        <f aca="false">CD25-CC25</f>
        <v>0</v>
      </c>
      <c r="CF25" s="25"/>
      <c r="CG25" s="26"/>
      <c r="CH25" s="81" t="n">
        <f aca="false">CG25-CF25</f>
        <v>0</v>
      </c>
      <c r="CI25" s="25"/>
      <c r="CJ25" s="26"/>
      <c r="CK25" s="81" t="n">
        <f aca="false">CJ25-CI25</f>
        <v>0</v>
      </c>
      <c r="CL25" s="25"/>
      <c r="CM25" s="26"/>
      <c r="CN25" s="81" t="n">
        <f aca="false">CM25-CL25</f>
        <v>0</v>
      </c>
      <c r="CO25" s="25"/>
      <c r="CP25" s="26"/>
      <c r="CQ25" s="81" t="n">
        <f aca="false">CP25-CO25</f>
        <v>0</v>
      </c>
      <c r="CR25" s="25"/>
      <c r="CS25" s="26"/>
      <c r="CT25" s="81" t="n">
        <f aca="false">CS25-CR25</f>
        <v>0</v>
      </c>
      <c r="CU25" s="25"/>
      <c r="CV25" s="26"/>
      <c r="CW25" s="81" t="n">
        <f aca="false">CV25-CU25</f>
        <v>0</v>
      </c>
      <c r="CX25" s="25"/>
      <c r="CY25" s="26"/>
      <c r="CZ25" s="81" t="n">
        <f aca="false">CY25-CX25</f>
        <v>0</v>
      </c>
      <c r="DA25" s="25"/>
      <c r="DB25" s="26"/>
      <c r="DC25" s="81" t="n">
        <f aca="false">DB25-DA25</f>
        <v>0</v>
      </c>
      <c r="DD25" s="25"/>
      <c r="DE25" s="26"/>
      <c r="DF25" s="81" t="n">
        <f aca="false">DE25-DD25</f>
        <v>0</v>
      </c>
      <c r="DG25" s="25"/>
      <c r="DH25" s="26"/>
      <c r="DI25" s="81" t="n">
        <f aca="false">DH25-DG25</f>
        <v>0</v>
      </c>
      <c r="DJ25" s="25"/>
      <c r="DK25" s="26"/>
      <c r="DL25" s="81" t="n">
        <f aca="false">DK25-DJ25</f>
        <v>0</v>
      </c>
      <c r="DM25" s="25"/>
      <c r="DN25" s="26"/>
      <c r="DO25" s="81" t="n">
        <f aca="false">DN25-DM25</f>
        <v>0</v>
      </c>
      <c r="DP25" s="25"/>
      <c r="DQ25" s="26"/>
      <c r="DR25" s="81" t="n">
        <f aca="false">DQ25-DP25</f>
        <v>0</v>
      </c>
      <c r="DS25" s="81" t="n">
        <f aca="false">+C25+F25+I25+L25+O25+R25+U25+X25+AA25+AD25+AG25+AJ25+AM25+AP25+AS25+AV25+AY25+BB25+BE25+BH25+BK25+BN25+BQ25+BT25+BW25+BZ25+CC25+CF25+CI25+CL25+CO25+CR25+CU25+CX25+DA25+DD25+DG25+DJ25+DM25+DP25</f>
        <v>465000</v>
      </c>
      <c r="DT25" s="81" t="n">
        <f aca="false">+D25+G25+J25+M25+P25+S25+V25+Y25+AB25+AE25+AH25+AK25+AN25+AQ25+AT25+AW25+AZ25+BC25+BF25+BI25+BL25+BO25+BR25+BU25+BX25+CA25+CD25+CG25+CJ25+CM25+CP25+CS25+CV25+CY25+DB25+DE25+DH25+DK25+DN25+DQ25</f>
        <v>449779</v>
      </c>
      <c r="DU25" s="81" t="n">
        <f aca="false">DT25-DS25</f>
        <v>-15221</v>
      </c>
      <c r="DV25" s="26" t="n">
        <f aca="false">+DV24+DU25</f>
        <v>-307311</v>
      </c>
      <c r="DW25" s="87"/>
      <c r="DX25" s="81" t="n">
        <f aca="false">+DS25-AV25</f>
        <v>35000</v>
      </c>
      <c r="DY25" s="81" t="n">
        <f aca="false">+DT25-AW25</f>
        <v>29651</v>
      </c>
      <c r="DZ25" s="26" t="n">
        <f aca="false">+DY25-DX25</f>
        <v>-5349</v>
      </c>
      <c r="EA25" s="26" t="n">
        <f aca="false">+EA24+DZ25</f>
        <v>-32220</v>
      </c>
      <c r="EB25" s="87"/>
      <c r="EC25" s="26" t="n">
        <f aca="false">+AX25</f>
        <v>-9872</v>
      </c>
      <c r="ED25" s="26" t="n">
        <f aca="false">+EC25</f>
        <v>-9872</v>
      </c>
      <c r="EE25" s="87"/>
      <c r="EF25" s="87"/>
      <c r="EG25" s="87"/>
      <c r="EH25" s="87"/>
      <c r="EI25" s="87"/>
      <c r="EJ25" s="87"/>
      <c r="EK25" s="87"/>
    </row>
    <row r="26" customFormat="false" ht="12.75" hidden="false" customHeight="false" outlineLevel="0" collapsed="false">
      <c r="A26" s="80" t="n">
        <f aca="false">+BaseloadMarkets!A26</f>
        <v>36728</v>
      </c>
      <c r="B26" s="80" t="str">
        <f aca="false">+BaseloadMarkets!B26</f>
        <v>Fri</v>
      </c>
      <c r="C26" s="25" t="n">
        <v>5000</v>
      </c>
      <c r="D26" s="26" t="n">
        <v>5000</v>
      </c>
      <c r="E26" s="81" t="n">
        <f aca="false">D26-C26</f>
        <v>0</v>
      </c>
      <c r="F26" s="25" t="n">
        <v>10000</v>
      </c>
      <c r="G26" s="26" t="n">
        <v>10000</v>
      </c>
      <c r="H26" s="81" t="n">
        <f aca="false">G26-F26</f>
        <v>0</v>
      </c>
      <c r="I26" s="25" t="n">
        <f aca="false">10000+10000</f>
        <v>20000</v>
      </c>
      <c r="J26" s="25" t="n">
        <f aca="false">10000+10000</f>
        <v>20000</v>
      </c>
      <c r="K26" s="81" t="n">
        <f aca="false">J26-I26</f>
        <v>0</v>
      </c>
      <c r="L26" s="25"/>
      <c r="M26" s="26"/>
      <c r="N26" s="81" t="n">
        <f aca="false">M26-L26</f>
        <v>0</v>
      </c>
      <c r="O26" s="25"/>
      <c r="P26" s="26"/>
      <c r="Q26" s="81" t="n">
        <f aca="false">P26-O26</f>
        <v>0</v>
      </c>
      <c r="R26" s="25"/>
      <c r="S26" s="26"/>
      <c r="T26" s="81" t="n">
        <f aca="false">S26-R26</f>
        <v>0</v>
      </c>
      <c r="U26" s="25"/>
      <c r="V26" s="26"/>
      <c r="W26" s="81" t="n">
        <f aca="false">V26-U26</f>
        <v>0</v>
      </c>
      <c r="X26" s="25"/>
      <c r="Y26" s="26"/>
      <c r="Z26" s="81" t="n">
        <f aca="false">Y26-X26</f>
        <v>0</v>
      </c>
      <c r="AA26" s="25"/>
      <c r="AB26" s="26"/>
      <c r="AC26" s="81" t="n">
        <f aca="false">AB26-AA26</f>
        <v>0</v>
      </c>
      <c r="AD26" s="25"/>
      <c r="AE26" s="26"/>
      <c r="AF26" s="81" t="n">
        <f aca="false">AE26-AD26</f>
        <v>0</v>
      </c>
      <c r="AG26" s="25"/>
      <c r="AH26" s="26"/>
      <c r="AI26" s="81" t="n">
        <f aca="false">AH26-AG26</f>
        <v>0</v>
      </c>
      <c r="AJ26" s="25"/>
      <c r="AK26" s="26"/>
      <c r="AL26" s="81" t="n">
        <f aca="false">AK26-AJ26</f>
        <v>0</v>
      </c>
      <c r="AM26" s="25"/>
      <c r="AN26" s="26"/>
      <c r="AO26" s="81" t="n">
        <f aca="false">AN26-AM26</f>
        <v>0</v>
      </c>
      <c r="AP26" s="25"/>
      <c r="AQ26" s="26"/>
      <c r="AR26" s="81" t="n">
        <f aca="false">AQ26-AP26</f>
        <v>0</v>
      </c>
      <c r="AS26" s="25"/>
      <c r="AT26" s="26"/>
      <c r="AU26" s="81" t="n">
        <f aca="false">AT26-AS26</f>
        <v>0</v>
      </c>
      <c r="AV26" s="82" t="n">
        <v>440000</v>
      </c>
      <c r="AW26" s="83" t="n">
        <f aca="false">440000-10000+6448-10000+9432</f>
        <v>435880</v>
      </c>
      <c r="AX26" s="81" t="n">
        <f aca="false">AW26-AV26</f>
        <v>-4120</v>
      </c>
      <c r="AY26" s="25"/>
      <c r="AZ26" s="26"/>
      <c r="BA26" s="81" t="n">
        <f aca="false">AZ26-AY26</f>
        <v>0</v>
      </c>
      <c r="BB26" s="25"/>
      <c r="BC26" s="26"/>
      <c r="BD26" s="81" t="n">
        <f aca="false">BC26-BB26</f>
        <v>0</v>
      </c>
      <c r="BE26" s="25"/>
      <c r="BF26" s="26"/>
      <c r="BG26" s="81" t="n">
        <f aca="false">BF26-BE26</f>
        <v>0</v>
      </c>
      <c r="BH26" s="25"/>
      <c r="BI26" s="26"/>
      <c r="BJ26" s="81" t="n">
        <f aca="false">BI26-BH26</f>
        <v>0</v>
      </c>
      <c r="BK26" s="25"/>
      <c r="BL26" s="26"/>
      <c r="BM26" s="81" t="n">
        <f aca="false">BL26-BK26</f>
        <v>0</v>
      </c>
      <c r="BN26" s="25"/>
      <c r="BO26" s="26"/>
      <c r="BP26" s="81" t="n">
        <f aca="false">BO26-BN26</f>
        <v>0</v>
      </c>
      <c r="BQ26" s="25"/>
      <c r="BR26" s="26"/>
      <c r="BS26" s="81" t="n">
        <f aca="false">BR26-BQ26</f>
        <v>0</v>
      </c>
      <c r="BT26" s="25"/>
      <c r="BU26" s="26"/>
      <c r="BV26" s="81" t="n">
        <f aca="false">BU26-BT26</f>
        <v>0</v>
      </c>
      <c r="BW26" s="25"/>
      <c r="BX26" s="26"/>
      <c r="BY26" s="81" t="n">
        <f aca="false">BX26-BW26</f>
        <v>0</v>
      </c>
      <c r="BZ26" s="25"/>
      <c r="CA26" s="26"/>
      <c r="CB26" s="81" t="n">
        <f aca="false">CA26-BZ26</f>
        <v>0</v>
      </c>
      <c r="CC26" s="25"/>
      <c r="CD26" s="26"/>
      <c r="CE26" s="81" t="n">
        <f aca="false">CD26-CC26</f>
        <v>0</v>
      </c>
      <c r="CF26" s="25"/>
      <c r="CG26" s="26"/>
      <c r="CH26" s="81" t="n">
        <f aca="false">CG26-CF26</f>
        <v>0</v>
      </c>
      <c r="CI26" s="25"/>
      <c r="CJ26" s="26"/>
      <c r="CK26" s="81" t="n">
        <f aca="false">CJ26-CI26</f>
        <v>0</v>
      </c>
      <c r="CL26" s="25"/>
      <c r="CM26" s="26"/>
      <c r="CN26" s="81" t="n">
        <f aca="false">CM26-CL26</f>
        <v>0</v>
      </c>
      <c r="CO26" s="25"/>
      <c r="CP26" s="26"/>
      <c r="CQ26" s="81" t="n">
        <f aca="false">CP26-CO26</f>
        <v>0</v>
      </c>
      <c r="CR26" s="25"/>
      <c r="CS26" s="26"/>
      <c r="CT26" s="81" t="n">
        <f aca="false">CS26-CR26</f>
        <v>0</v>
      </c>
      <c r="CU26" s="25"/>
      <c r="CV26" s="26"/>
      <c r="CW26" s="81" t="n">
        <f aca="false">CV26-CU26</f>
        <v>0</v>
      </c>
      <c r="CX26" s="25"/>
      <c r="CY26" s="26"/>
      <c r="CZ26" s="81" t="n">
        <f aca="false">CY26-CX26</f>
        <v>0</v>
      </c>
      <c r="DA26" s="25"/>
      <c r="DB26" s="26"/>
      <c r="DC26" s="81" t="n">
        <f aca="false">DB26-DA26</f>
        <v>0</v>
      </c>
      <c r="DD26" s="25"/>
      <c r="DE26" s="26"/>
      <c r="DF26" s="81" t="n">
        <f aca="false">DE26-DD26</f>
        <v>0</v>
      </c>
      <c r="DG26" s="25"/>
      <c r="DH26" s="26"/>
      <c r="DI26" s="81" t="n">
        <f aca="false">DH26-DG26</f>
        <v>0</v>
      </c>
      <c r="DJ26" s="25"/>
      <c r="DK26" s="26"/>
      <c r="DL26" s="81" t="n">
        <f aca="false">DK26-DJ26</f>
        <v>0</v>
      </c>
      <c r="DM26" s="25"/>
      <c r="DN26" s="26"/>
      <c r="DO26" s="81" t="n">
        <f aca="false">DN26-DM26</f>
        <v>0</v>
      </c>
      <c r="DP26" s="25"/>
      <c r="DQ26" s="26"/>
      <c r="DR26" s="81" t="n">
        <f aca="false">DQ26-DP26</f>
        <v>0</v>
      </c>
      <c r="DS26" s="81" t="n">
        <f aca="false">+C26+F26+I26+L26+O26+R26+U26+X26+AA26+AD26+AG26+AJ26+AM26+AP26+AS26+AV26+AY26+BB26+BE26+BH26+BK26+BN26+BQ26+BT26+BW26+BZ26+CC26+CF26+CI26+CL26+CO26+CR26+CU26+CX26+DA26+DD26+DG26+DJ26+DM26+DP26</f>
        <v>475000</v>
      </c>
      <c r="DT26" s="81" t="n">
        <f aca="false">+D26+G26+J26+M26+P26+S26+V26+Y26+AB26+AE26+AH26+AK26+AN26+AQ26+AT26+AW26+AZ26+BC26+BF26+BI26+BL26+BO26+BR26+BU26+BX26+CA26+CD26+CG26+CJ26+CM26+CP26+CS26+CV26+CY26+DB26+DE26+DH26+DK26+DN26+DQ26</f>
        <v>470880</v>
      </c>
      <c r="DU26" s="81" t="n">
        <f aca="false">DT26-DS26</f>
        <v>-4120</v>
      </c>
      <c r="DV26" s="26" t="n">
        <f aca="false">+DV25+DU26</f>
        <v>-311431</v>
      </c>
      <c r="DW26" s="87"/>
      <c r="DX26" s="81" t="n">
        <f aca="false">+DS26-AV26</f>
        <v>35000</v>
      </c>
      <c r="DY26" s="81" t="n">
        <f aca="false">+DT26-AW26</f>
        <v>35000</v>
      </c>
      <c r="DZ26" s="26" t="n">
        <f aca="false">+DY26-DX26</f>
        <v>0</v>
      </c>
      <c r="EA26" s="26" t="n">
        <f aca="false">+EA25+DZ26</f>
        <v>-32220</v>
      </c>
      <c r="EB26" s="87"/>
      <c r="EC26" s="26" t="n">
        <f aca="false">+AX26</f>
        <v>-4120</v>
      </c>
      <c r="ED26" s="26" t="n">
        <f aca="false">+EC26</f>
        <v>-4120</v>
      </c>
      <c r="EE26" s="87"/>
      <c r="EF26" s="87"/>
      <c r="EG26" s="87"/>
      <c r="EH26" s="87"/>
      <c r="EI26" s="87"/>
      <c r="EJ26" s="87"/>
      <c r="EK26" s="87"/>
    </row>
    <row r="27" customFormat="false" ht="12.75" hidden="false" customHeight="false" outlineLevel="0" collapsed="false">
      <c r="A27" s="80" t="n">
        <f aca="false">+BaseloadMarkets!A27</f>
        <v>36729</v>
      </c>
      <c r="B27" s="80" t="str">
        <f aca="false">+BaseloadMarkets!B27</f>
        <v>Sat</v>
      </c>
      <c r="C27" s="25" t="n">
        <v>5000</v>
      </c>
      <c r="D27" s="26" t="n">
        <v>5000</v>
      </c>
      <c r="E27" s="81" t="n">
        <f aca="false">D27-C27</f>
        <v>0</v>
      </c>
      <c r="F27" s="25" t="n">
        <v>10000</v>
      </c>
      <c r="G27" s="26" t="n">
        <v>10000</v>
      </c>
      <c r="H27" s="81" t="n">
        <f aca="false">G27-F27</f>
        <v>0</v>
      </c>
      <c r="I27" s="25" t="n">
        <f aca="false">10000+10000</f>
        <v>20000</v>
      </c>
      <c r="J27" s="25" t="n">
        <f aca="false">10000+10000</f>
        <v>20000</v>
      </c>
      <c r="K27" s="81" t="n">
        <f aca="false">J27-I27</f>
        <v>0</v>
      </c>
      <c r="L27" s="25"/>
      <c r="M27" s="26"/>
      <c r="N27" s="81" t="n">
        <f aca="false">M27-L27</f>
        <v>0</v>
      </c>
      <c r="O27" s="25"/>
      <c r="P27" s="26"/>
      <c r="Q27" s="81" t="n">
        <f aca="false">P27-O27</f>
        <v>0</v>
      </c>
      <c r="R27" s="25"/>
      <c r="S27" s="26"/>
      <c r="T27" s="81" t="n">
        <f aca="false">S27-R27</f>
        <v>0</v>
      </c>
      <c r="U27" s="25"/>
      <c r="V27" s="26"/>
      <c r="W27" s="81" t="n">
        <f aca="false">V27-U27</f>
        <v>0</v>
      </c>
      <c r="X27" s="25"/>
      <c r="Y27" s="26"/>
      <c r="Z27" s="81" t="n">
        <f aca="false">Y27-X27</f>
        <v>0</v>
      </c>
      <c r="AA27" s="25"/>
      <c r="AB27" s="26"/>
      <c r="AC27" s="81" t="n">
        <f aca="false">AB27-AA27</f>
        <v>0</v>
      </c>
      <c r="AD27" s="25"/>
      <c r="AE27" s="26"/>
      <c r="AF27" s="81" t="n">
        <f aca="false">AE27-AD27</f>
        <v>0</v>
      </c>
      <c r="AG27" s="25"/>
      <c r="AH27" s="26"/>
      <c r="AI27" s="81" t="n">
        <f aca="false">AH27-AG27</f>
        <v>0</v>
      </c>
      <c r="AJ27" s="25"/>
      <c r="AK27" s="26"/>
      <c r="AL27" s="81" t="n">
        <f aca="false">AK27-AJ27</f>
        <v>0</v>
      </c>
      <c r="AM27" s="25"/>
      <c r="AN27" s="26"/>
      <c r="AO27" s="81" t="n">
        <f aca="false">AN27-AM27</f>
        <v>0</v>
      </c>
      <c r="AP27" s="25"/>
      <c r="AQ27" s="26"/>
      <c r="AR27" s="81" t="n">
        <f aca="false">AQ27-AP27</f>
        <v>0</v>
      </c>
      <c r="AS27" s="25"/>
      <c r="AT27" s="26"/>
      <c r="AU27" s="81" t="n">
        <f aca="false">AT27-AS27</f>
        <v>0</v>
      </c>
      <c r="AV27" s="82" t="n">
        <v>290000</v>
      </c>
      <c r="AW27" s="83" t="n">
        <v>290000</v>
      </c>
      <c r="AX27" s="81" t="n">
        <f aca="false">AW27-AV27</f>
        <v>0</v>
      </c>
      <c r="AY27" s="25"/>
      <c r="AZ27" s="26"/>
      <c r="BA27" s="81" t="n">
        <f aca="false">AZ27-AY27</f>
        <v>0</v>
      </c>
      <c r="BB27" s="25"/>
      <c r="BC27" s="26"/>
      <c r="BD27" s="81" t="n">
        <f aca="false">BC27-BB27</f>
        <v>0</v>
      </c>
      <c r="BE27" s="25"/>
      <c r="BF27" s="26"/>
      <c r="BG27" s="81" t="n">
        <f aca="false">BF27-BE27</f>
        <v>0</v>
      </c>
      <c r="BH27" s="25"/>
      <c r="BI27" s="26"/>
      <c r="BJ27" s="81" t="n">
        <f aca="false">BI27-BH27</f>
        <v>0</v>
      </c>
      <c r="BK27" s="25"/>
      <c r="BL27" s="26"/>
      <c r="BM27" s="81" t="n">
        <f aca="false">BL27-BK27</f>
        <v>0</v>
      </c>
      <c r="BN27" s="25"/>
      <c r="BO27" s="26"/>
      <c r="BP27" s="81" t="n">
        <f aca="false">BO27-BN27</f>
        <v>0</v>
      </c>
      <c r="BQ27" s="25"/>
      <c r="BR27" s="26"/>
      <c r="BS27" s="81" t="n">
        <f aca="false">BR27-BQ27</f>
        <v>0</v>
      </c>
      <c r="BT27" s="25"/>
      <c r="BU27" s="26"/>
      <c r="BV27" s="81" t="n">
        <f aca="false">BU27-BT27</f>
        <v>0</v>
      </c>
      <c r="BW27" s="25"/>
      <c r="BX27" s="26"/>
      <c r="BY27" s="81" t="n">
        <f aca="false">BX27-BW27</f>
        <v>0</v>
      </c>
      <c r="BZ27" s="25"/>
      <c r="CA27" s="26"/>
      <c r="CB27" s="81" t="n">
        <f aca="false">CA27-BZ27</f>
        <v>0</v>
      </c>
      <c r="CC27" s="25"/>
      <c r="CD27" s="26"/>
      <c r="CE27" s="81" t="n">
        <f aca="false">CD27-CC27</f>
        <v>0</v>
      </c>
      <c r="CF27" s="25"/>
      <c r="CG27" s="26"/>
      <c r="CH27" s="81" t="n">
        <f aca="false">CG27-CF27</f>
        <v>0</v>
      </c>
      <c r="CI27" s="25"/>
      <c r="CJ27" s="26"/>
      <c r="CK27" s="81" t="n">
        <f aca="false">CJ27-CI27</f>
        <v>0</v>
      </c>
      <c r="CL27" s="25"/>
      <c r="CM27" s="26"/>
      <c r="CN27" s="81" t="n">
        <f aca="false">CM27-CL27</f>
        <v>0</v>
      </c>
      <c r="CO27" s="25"/>
      <c r="CP27" s="26"/>
      <c r="CQ27" s="81" t="n">
        <f aca="false">CP27-CO27</f>
        <v>0</v>
      </c>
      <c r="CR27" s="25"/>
      <c r="CS27" s="26"/>
      <c r="CT27" s="81" t="n">
        <f aca="false">CS27-CR27</f>
        <v>0</v>
      </c>
      <c r="CU27" s="25"/>
      <c r="CV27" s="26"/>
      <c r="CW27" s="81" t="n">
        <f aca="false">CV27-CU27</f>
        <v>0</v>
      </c>
      <c r="CX27" s="25"/>
      <c r="CY27" s="26"/>
      <c r="CZ27" s="81" t="n">
        <f aca="false">CY27-CX27</f>
        <v>0</v>
      </c>
      <c r="DA27" s="25"/>
      <c r="DB27" s="26"/>
      <c r="DC27" s="81" t="n">
        <f aca="false">DB27-DA27</f>
        <v>0</v>
      </c>
      <c r="DD27" s="25"/>
      <c r="DE27" s="26"/>
      <c r="DF27" s="81" t="n">
        <f aca="false">DE27-DD27</f>
        <v>0</v>
      </c>
      <c r="DG27" s="25"/>
      <c r="DH27" s="26"/>
      <c r="DI27" s="81" t="n">
        <f aca="false">DH27-DG27</f>
        <v>0</v>
      </c>
      <c r="DJ27" s="25"/>
      <c r="DK27" s="26"/>
      <c r="DL27" s="81" t="n">
        <f aca="false">DK27-DJ27</f>
        <v>0</v>
      </c>
      <c r="DM27" s="25"/>
      <c r="DN27" s="26"/>
      <c r="DO27" s="81" t="n">
        <f aca="false">DN27-DM27</f>
        <v>0</v>
      </c>
      <c r="DP27" s="25"/>
      <c r="DQ27" s="26"/>
      <c r="DR27" s="81" t="n">
        <f aca="false">DQ27-DP27</f>
        <v>0</v>
      </c>
      <c r="DS27" s="81" t="n">
        <f aca="false">+C27+F27+I27+L27+O27+R27+U27+X27+AA27+AD27+AG27+AJ27+AM27+AP27+AS27+AV27+AY27+BB27+BE27+BH27+BK27+BN27+BQ27+BT27+BW27+BZ27+CC27+CF27+CI27+CL27+CO27+CR27+CU27+CX27+DA27+DD27+DG27+DJ27+DM27+DP27</f>
        <v>325000</v>
      </c>
      <c r="DT27" s="81" t="n">
        <f aca="false">+D27+G27+J27+M27+P27+S27+V27+Y27+AB27+AE27+AH27+AK27+AN27+AQ27+AT27+AW27+AZ27+BC27+BF27+BI27+BL27+BO27+BR27+BU27+BX27+CA27+CD27+CG27+CJ27+CM27+CP27+CS27+CV27+CY27+DB27+DE27+DH27+DK27+DN27+DQ27</f>
        <v>325000</v>
      </c>
      <c r="DU27" s="81" t="n">
        <f aca="false">DT27-DS27</f>
        <v>0</v>
      </c>
      <c r="DV27" s="26" t="n">
        <f aca="false">+DV26+DU27</f>
        <v>-311431</v>
      </c>
      <c r="DW27" s="87"/>
      <c r="DX27" s="81" t="n">
        <f aca="false">+DS27-AV27</f>
        <v>35000</v>
      </c>
      <c r="DY27" s="81" t="n">
        <f aca="false">+DT27-AW27</f>
        <v>35000</v>
      </c>
      <c r="DZ27" s="26" t="n">
        <f aca="false">+DY27-DX27</f>
        <v>0</v>
      </c>
      <c r="EA27" s="26" t="n">
        <f aca="false">+EA26+DZ27</f>
        <v>-32220</v>
      </c>
      <c r="EB27" s="87"/>
      <c r="EC27" s="26" t="n">
        <f aca="false">+AX27</f>
        <v>0</v>
      </c>
      <c r="ED27" s="26" t="n">
        <f aca="false">+EC27</f>
        <v>0</v>
      </c>
      <c r="EE27" s="87"/>
      <c r="EF27" s="87"/>
      <c r="EG27" s="87"/>
      <c r="EH27" s="87"/>
      <c r="EI27" s="87"/>
      <c r="EJ27" s="87"/>
      <c r="EK27" s="87"/>
    </row>
    <row r="28" customFormat="false" ht="12.75" hidden="false" customHeight="false" outlineLevel="0" collapsed="false">
      <c r="A28" s="80" t="n">
        <f aca="false">+BaseloadMarkets!A28</f>
        <v>36730</v>
      </c>
      <c r="B28" s="80" t="str">
        <f aca="false">+BaseloadMarkets!B28</f>
        <v>Sun</v>
      </c>
      <c r="C28" s="25" t="n">
        <v>5000</v>
      </c>
      <c r="D28" s="26" t="n">
        <v>5000</v>
      </c>
      <c r="E28" s="81" t="n">
        <f aca="false">D28-C28</f>
        <v>0</v>
      </c>
      <c r="F28" s="25" t="n">
        <v>10000</v>
      </c>
      <c r="G28" s="26" t="n">
        <v>10000</v>
      </c>
      <c r="H28" s="81" t="n">
        <f aca="false">G28-F28</f>
        <v>0</v>
      </c>
      <c r="I28" s="25" t="n">
        <f aca="false">10000+10000</f>
        <v>20000</v>
      </c>
      <c r="J28" s="25" t="n">
        <f aca="false">10000+10000</f>
        <v>20000</v>
      </c>
      <c r="K28" s="81" t="n">
        <f aca="false">J28-I28</f>
        <v>0</v>
      </c>
      <c r="L28" s="25"/>
      <c r="M28" s="26"/>
      <c r="N28" s="81" t="n">
        <f aca="false">M28-L28</f>
        <v>0</v>
      </c>
      <c r="O28" s="25"/>
      <c r="P28" s="26"/>
      <c r="Q28" s="81" t="n">
        <f aca="false">P28-O28</f>
        <v>0</v>
      </c>
      <c r="R28" s="25"/>
      <c r="S28" s="26"/>
      <c r="T28" s="81" t="n">
        <f aca="false">S28-R28</f>
        <v>0</v>
      </c>
      <c r="U28" s="25"/>
      <c r="V28" s="26"/>
      <c r="W28" s="81" t="n">
        <f aca="false">V28-U28</f>
        <v>0</v>
      </c>
      <c r="X28" s="25"/>
      <c r="Y28" s="26"/>
      <c r="Z28" s="81" t="n">
        <f aca="false">Y28-X28</f>
        <v>0</v>
      </c>
      <c r="AA28" s="25"/>
      <c r="AB28" s="26"/>
      <c r="AC28" s="81" t="n">
        <f aca="false">AB28-AA28</f>
        <v>0</v>
      </c>
      <c r="AD28" s="25"/>
      <c r="AE28" s="26"/>
      <c r="AF28" s="81" t="n">
        <f aca="false">AE28-AD28</f>
        <v>0</v>
      </c>
      <c r="AG28" s="25"/>
      <c r="AH28" s="26"/>
      <c r="AI28" s="81" t="n">
        <f aca="false">AH28-AG28</f>
        <v>0</v>
      </c>
      <c r="AJ28" s="25"/>
      <c r="AK28" s="26"/>
      <c r="AL28" s="81" t="n">
        <f aca="false">AK28-AJ28</f>
        <v>0</v>
      </c>
      <c r="AM28" s="25"/>
      <c r="AN28" s="26"/>
      <c r="AO28" s="81" t="n">
        <f aca="false">AN28-AM28</f>
        <v>0</v>
      </c>
      <c r="AP28" s="25"/>
      <c r="AQ28" s="26"/>
      <c r="AR28" s="81" t="n">
        <f aca="false">AQ28-AP28</f>
        <v>0</v>
      </c>
      <c r="AS28" s="25"/>
      <c r="AT28" s="26"/>
      <c r="AU28" s="81" t="n">
        <f aca="false">AT28-AS28</f>
        <v>0</v>
      </c>
      <c r="AV28" s="82" t="n">
        <v>290000</v>
      </c>
      <c r="AW28" s="83" t="n">
        <v>290000</v>
      </c>
      <c r="AX28" s="81" t="n">
        <f aca="false">AW28-AV28</f>
        <v>0</v>
      </c>
      <c r="AY28" s="25"/>
      <c r="AZ28" s="26"/>
      <c r="BA28" s="81" t="n">
        <f aca="false">AZ28-AY28</f>
        <v>0</v>
      </c>
      <c r="BB28" s="25"/>
      <c r="BC28" s="26"/>
      <c r="BD28" s="81" t="n">
        <f aca="false">BC28-BB28</f>
        <v>0</v>
      </c>
      <c r="BE28" s="25"/>
      <c r="BF28" s="26"/>
      <c r="BG28" s="81" t="n">
        <f aca="false">BF28-BE28</f>
        <v>0</v>
      </c>
      <c r="BH28" s="25"/>
      <c r="BI28" s="26"/>
      <c r="BJ28" s="81" t="n">
        <f aca="false">BI28-BH28</f>
        <v>0</v>
      </c>
      <c r="BK28" s="25"/>
      <c r="BL28" s="26"/>
      <c r="BM28" s="81" t="n">
        <f aca="false">BL28-BK28</f>
        <v>0</v>
      </c>
      <c r="BN28" s="25"/>
      <c r="BO28" s="26"/>
      <c r="BP28" s="81" t="n">
        <f aca="false">BO28-BN28</f>
        <v>0</v>
      </c>
      <c r="BQ28" s="25"/>
      <c r="BR28" s="26"/>
      <c r="BS28" s="81" t="n">
        <f aca="false">BR28-BQ28</f>
        <v>0</v>
      </c>
      <c r="BT28" s="25"/>
      <c r="BU28" s="26"/>
      <c r="BV28" s="81" t="n">
        <f aca="false">BU28-BT28</f>
        <v>0</v>
      </c>
      <c r="BW28" s="25"/>
      <c r="BX28" s="26"/>
      <c r="BY28" s="81" t="n">
        <f aca="false">BX28-BW28</f>
        <v>0</v>
      </c>
      <c r="BZ28" s="25"/>
      <c r="CA28" s="26"/>
      <c r="CB28" s="81" t="n">
        <f aca="false">CA28-BZ28</f>
        <v>0</v>
      </c>
      <c r="CC28" s="25"/>
      <c r="CD28" s="26"/>
      <c r="CE28" s="81" t="n">
        <f aca="false">CD28-CC28</f>
        <v>0</v>
      </c>
      <c r="CF28" s="25"/>
      <c r="CG28" s="26"/>
      <c r="CH28" s="81" t="n">
        <f aca="false">CG28-CF28</f>
        <v>0</v>
      </c>
      <c r="CI28" s="25"/>
      <c r="CJ28" s="26"/>
      <c r="CK28" s="81" t="n">
        <f aca="false">CJ28-CI28</f>
        <v>0</v>
      </c>
      <c r="CL28" s="25"/>
      <c r="CM28" s="26"/>
      <c r="CN28" s="81" t="n">
        <f aca="false">CM28-CL28</f>
        <v>0</v>
      </c>
      <c r="CO28" s="25"/>
      <c r="CP28" s="26"/>
      <c r="CQ28" s="81" t="n">
        <f aca="false">CP28-CO28</f>
        <v>0</v>
      </c>
      <c r="CR28" s="25"/>
      <c r="CS28" s="26"/>
      <c r="CT28" s="81" t="n">
        <f aca="false">CS28-CR28</f>
        <v>0</v>
      </c>
      <c r="CU28" s="25"/>
      <c r="CV28" s="26"/>
      <c r="CW28" s="81" t="n">
        <f aca="false">CV28-CU28</f>
        <v>0</v>
      </c>
      <c r="CX28" s="25"/>
      <c r="CY28" s="26"/>
      <c r="CZ28" s="81" t="n">
        <f aca="false">CY28-CX28</f>
        <v>0</v>
      </c>
      <c r="DA28" s="25"/>
      <c r="DB28" s="26"/>
      <c r="DC28" s="81" t="n">
        <f aca="false">DB28-DA28</f>
        <v>0</v>
      </c>
      <c r="DD28" s="25"/>
      <c r="DE28" s="26"/>
      <c r="DF28" s="81" t="n">
        <f aca="false">DE28-DD28</f>
        <v>0</v>
      </c>
      <c r="DG28" s="25"/>
      <c r="DH28" s="26"/>
      <c r="DI28" s="81" t="n">
        <f aca="false">DH28-DG28</f>
        <v>0</v>
      </c>
      <c r="DJ28" s="25"/>
      <c r="DK28" s="26"/>
      <c r="DL28" s="81" t="n">
        <f aca="false">DK28-DJ28</f>
        <v>0</v>
      </c>
      <c r="DM28" s="25"/>
      <c r="DN28" s="26"/>
      <c r="DO28" s="81" t="n">
        <f aca="false">DN28-DM28</f>
        <v>0</v>
      </c>
      <c r="DP28" s="25"/>
      <c r="DQ28" s="26"/>
      <c r="DR28" s="81" t="n">
        <f aca="false">DQ28-DP28</f>
        <v>0</v>
      </c>
      <c r="DS28" s="81" t="n">
        <f aca="false">+C28+F28+I28+L28+O28+R28+U28+X28+AA28+AD28+AG28+AJ28+AM28+AP28+AS28+AV28+AY28+BB28+BE28+BH28+BK28+BN28+BQ28+BT28+BW28+BZ28+CC28+CF28+CI28+CL28+CO28+CR28+CU28+CX28+DA28+DD28+DG28+DJ28+DM28+DP28</f>
        <v>325000</v>
      </c>
      <c r="DT28" s="81" t="n">
        <f aca="false">+D28+G28+J28+M28+P28+S28+V28+Y28+AB28+AE28+AH28+AK28+AN28+AQ28+AT28+AW28+AZ28+BC28+BF28+BI28+BL28+BO28+BR28+BU28+BX28+CA28+CD28+CG28+CJ28+CM28+CP28+CS28+CV28+CY28+DB28+DE28+DH28+DK28+DN28+DQ28</f>
        <v>325000</v>
      </c>
      <c r="DU28" s="81" t="n">
        <f aca="false">DT28-DS28</f>
        <v>0</v>
      </c>
      <c r="DV28" s="26" t="n">
        <f aca="false">+DV27+DU28</f>
        <v>-311431</v>
      </c>
      <c r="DW28" s="87"/>
      <c r="DX28" s="81" t="n">
        <f aca="false">+DS28-AV28</f>
        <v>35000</v>
      </c>
      <c r="DY28" s="81" t="n">
        <f aca="false">+DT28-AW28</f>
        <v>35000</v>
      </c>
      <c r="DZ28" s="26" t="n">
        <f aca="false">+DY28-DX28</f>
        <v>0</v>
      </c>
      <c r="EA28" s="26" t="n">
        <f aca="false">+EA27+DZ28</f>
        <v>-32220</v>
      </c>
      <c r="EB28" s="87"/>
      <c r="EC28" s="26" t="n">
        <f aca="false">+AX28</f>
        <v>0</v>
      </c>
      <c r="ED28" s="26" t="n">
        <f aca="false">+EC28</f>
        <v>0</v>
      </c>
      <c r="EE28" s="87"/>
      <c r="EF28" s="87"/>
      <c r="EG28" s="87"/>
      <c r="EH28" s="87"/>
      <c r="EI28" s="87"/>
      <c r="EJ28" s="87"/>
      <c r="EK28" s="87"/>
    </row>
    <row r="29" customFormat="false" ht="12.75" hidden="false" customHeight="false" outlineLevel="0" collapsed="false">
      <c r="A29" s="80" t="n">
        <f aca="false">+BaseloadMarkets!A29</f>
        <v>36731</v>
      </c>
      <c r="B29" s="80" t="str">
        <f aca="false">+BaseloadMarkets!B29</f>
        <v>Mon</v>
      </c>
      <c r="C29" s="25" t="n">
        <v>5000</v>
      </c>
      <c r="D29" s="26" t="n">
        <v>5000</v>
      </c>
      <c r="E29" s="81" t="n">
        <f aca="false">D29-C29</f>
        <v>0</v>
      </c>
      <c r="F29" s="25" t="n">
        <v>10000</v>
      </c>
      <c r="G29" s="26" t="n">
        <v>10000</v>
      </c>
      <c r="H29" s="81" t="n">
        <f aca="false">G29-F29</f>
        <v>0</v>
      </c>
      <c r="I29" s="25" t="n">
        <f aca="false">10000+10000</f>
        <v>20000</v>
      </c>
      <c r="J29" s="25" t="n">
        <f aca="false">10000+10000</f>
        <v>20000</v>
      </c>
      <c r="K29" s="81" t="n">
        <f aca="false">J29-I29</f>
        <v>0</v>
      </c>
      <c r="L29" s="25"/>
      <c r="M29" s="26"/>
      <c r="N29" s="81" t="n">
        <f aca="false">M29-L29</f>
        <v>0</v>
      </c>
      <c r="O29" s="25"/>
      <c r="P29" s="26"/>
      <c r="Q29" s="81" t="n">
        <f aca="false">P29-O29</f>
        <v>0</v>
      </c>
      <c r="R29" s="25"/>
      <c r="S29" s="26"/>
      <c r="T29" s="81" t="n">
        <f aca="false">S29-R29</f>
        <v>0</v>
      </c>
      <c r="U29" s="25"/>
      <c r="V29" s="26"/>
      <c r="W29" s="81" t="n">
        <f aca="false">V29-U29</f>
        <v>0</v>
      </c>
      <c r="X29" s="25"/>
      <c r="Y29" s="26"/>
      <c r="Z29" s="81" t="n">
        <f aca="false">Y29-X29</f>
        <v>0</v>
      </c>
      <c r="AA29" s="25"/>
      <c r="AB29" s="26"/>
      <c r="AC29" s="81" t="n">
        <f aca="false">AB29-AA29</f>
        <v>0</v>
      </c>
      <c r="AD29" s="25"/>
      <c r="AE29" s="26"/>
      <c r="AF29" s="81" t="n">
        <f aca="false">AE29-AD29</f>
        <v>0</v>
      </c>
      <c r="AG29" s="25"/>
      <c r="AH29" s="26"/>
      <c r="AI29" s="81" t="n">
        <f aca="false">AH29-AG29</f>
        <v>0</v>
      </c>
      <c r="AJ29" s="25"/>
      <c r="AK29" s="26"/>
      <c r="AL29" s="81" t="n">
        <f aca="false">AK29-AJ29</f>
        <v>0</v>
      </c>
      <c r="AM29" s="25"/>
      <c r="AN29" s="26"/>
      <c r="AO29" s="81" t="n">
        <f aca="false">AN29-AM29</f>
        <v>0</v>
      </c>
      <c r="AP29" s="25"/>
      <c r="AQ29" s="26"/>
      <c r="AR29" s="81" t="n">
        <f aca="false">AQ29-AP29</f>
        <v>0</v>
      </c>
      <c r="AS29" s="25"/>
      <c r="AT29" s="26"/>
      <c r="AU29" s="81" t="n">
        <f aca="false">AT29-AS29</f>
        <v>0</v>
      </c>
      <c r="AV29" s="82" t="n">
        <v>290000</v>
      </c>
      <c r="AW29" s="83" t="n">
        <v>290000</v>
      </c>
      <c r="AX29" s="81" t="n">
        <f aca="false">AW29-AV29</f>
        <v>0</v>
      </c>
      <c r="AY29" s="25"/>
      <c r="AZ29" s="26"/>
      <c r="BA29" s="81" t="n">
        <f aca="false">AZ29-AY29</f>
        <v>0</v>
      </c>
      <c r="BB29" s="25"/>
      <c r="BC29" s="26"/>
      <c r="BD29" s="81" t="n">
        <f aca="false">BC29-BB29</f>
        <v>0</v>
      </c>
      <c r="BE29" s="25"/>
      <c r="BF29" s="26"/>
      <c r="BG29" s="81" t="n">
        <f aca="false">BF29-BE29</f>
        <v>0</v>
      </c>
      <c r="BH29" s="25"/>
      <c r="BI29" s="26"/>
      <c r="BJ29" s="81" t="n">
        <f aca="false">BI29-BH29</f>
        <v>0</v>
      </c>
      <c r="BK29" s="25"/>
      <c r="BL29" s="26"/>
      <c r="BM29" s="81" t="n">
        <f aca="false">BL29-BK29</f>
        <v>0</v>
      </c>
      <c r="BN29" s="25"/>
      <c r="BO29" s="26"/>
      <c r="BP29" s="81" t="n">
        <f aca="false">BO29-BN29</f>
        <v>0</v>
      </c>
      <c r="BQ29" s="25"/>
      <c r="BR29" s="26"/>
      <c r="BS29" s="81" t="n">
        <f aca="false">BR29-BQ29</f>
        <v>0</v>
      </c>
      <c r="BT29" s="25"/>
      <c r="BU29" s="26"/>
      <c r="BV29" s="81" t="n">
        <f aca="false">BU29-BT29</f>
        <v>0</v>
      </c>
      <c r="BW29" s="25"/>
      <c r="BX29" s="26"/>
      <c r="BY29" s="81" t="n">
        <f aca="false">BX29-BW29</f>
        <v>0</v>
      </c>
      <c r="BZ29" s="25"/>
      <c r="CA29" s="26"/>
      <c r="CB29" s="81" t="n">
        <f aca="false">CA29-BZ29</f>
        <v>0</v>
      </c>
      <c r="CC29" s="25"/>
      <c r="CD29" s="26"/>
      <c r="CE29" s="81" t="n">
        <f aca="false">CD29-CC29</f>
        <v>0</v>
      </c>
      <c r="CF29" s="25"/>
      <c r="CG29" s="26"/>
      <c r="CH29" s="81" t="n">
        <f aca="false">CG29-CF29</f>
        <v>0</v>
      </c>
      <c r="CI29" s="25"/>
      <c r="CJ29" s="26"/>
      <c r="CK29" s="81" t="n">
        <f aca="false">CJ29-CI29</f>
        <v>0</v>
      </c>
      <c r="CL29" s="25"/>
      <c r="CM29" s="26"/>
      <c r="CN29" s="81" t="n">
        <f aca="false">CM29-CL29</f>
        <v>0</v>
      </c>
      <c r="CO29" s="25"/>
      <c r="CP29" s="26"/>
      <c r="CQ29" s="81" t="n">
        <f aca="false">CP29-CO29</f>
        <v>0</v>
      </c>
      <c r="CR29" s="25"/>
      <c r="CS29" s="26"/>
      <c r="CT29" s="81" t="n">
        <f aca="false">CS29-CR29</f>
        <v>0</v>
      </c>
      <c r="CU29" s="25"/>
      <c r="CV29" s="26"/>
      <c r="CW29" s="81" t="n">
        <f aca="false">CV29-CU29</f>
        <v>0</v>
      </c>
      <c r="CX29" s="25"/>
      <c r="CY29" s="26"/>
      <c r="CZ29" s="81" t="n">
        <f aca="false">CY29-CX29</f>
        <v>0</v>
      </c>
      <c r="DA29" s="25"/>
      <c r="DB29" s="26"/>
      <c r="DC29" s="81" t="n">
        <f aca="false">DB29-DA29</f>
        <v>0</v>
      </c>
      <c r="DD29" s="25"/>
      <c r="DE29" s="26"/>
      <c r="DF29" s="81" t="n">
        <f aca="false">DE29-DD29</f>
        <v>0</v>
      </c>
      <c r="DG29" s="25"/>
      <c r="DH29" s="26"/>
      <c r="DI29" s="81" t="n">
        <f aca="false">DH29-DG29</f>
        <v>0</v>
      </c>
      <c r="DJ29" s="25"/>
      <c r="DK29" s="26"/>
      <c r="DL29" s="81" t="n">
        <f aca="false">DK29-DJ29</f>
        <v>0</v>
      </c>
      <c r="DM29" s="25"/>
      <c r="DN29" s="26"/>
      <c r="DO29" s="81" t="n">
        <f aca="false">DN29-DM29</f>
        <v>0</v>
      </c>
      <c r="DP29" s="25"/>
      <c r="DQ29" s="26"/>
      <c r="DR29" s="81" t="n">
        <f aca="false">DQ29-DP29</f>
        <v>0</v>
      </c>
      <c r="DS29" s="81" t="n">
        <f aca="false">+C29+F29+I29+L29+O29+R29+U29+X29+AA29+AD29+AG29+AJ29+AM29+AP29+AS29+AV29+AY29+BB29+BE29+BH29+BK29+BN29+BQ29+BT29+BW29+BZ29+CC29+CF29+CI29+CL29+CO29+CR29+CU29+CX29+DA29+DD29+DG29+DJ29+DM29+DP29</f>
        <v>325000</v>
      </c>
      <c r="DT29" s="81" t="n">
        <f aca="false">+D29+G29+J29+M29+P29+S29+V29+Y29+AB29+AE29+AH29+AK29+AN29+AQ29+AT29+AW29+AZ29+BC29+BF29+BI29+BL29+BO29+BR29+BU29+BX29+CA29+CD29+CG29+CJ29+CM29+CP29+CS29+CV29+CY29+DB29+DE29+DH29+DK29+DN29+DQ29</f>
        <v>325000</v>
      </c>
      <c r="DU29" s="81" t="n">
        <f aca="false">DT29-DS29</f>
        <v>0</v>
      </c>
      <c r="DV29" s="26" t="n">
        <f aca="false">+DV28+DU29</f>
        <v>-311431</v>
      </c>
      <c r="DW29" s="87"/>
      <c r="DX29" s="81" t="n">
        <f aca="false">+DS29-AV29</f>
        <v>35000</v>
      </c>
      <c r="DY29" s="81" t="n">
        <f aca="false">+DT29-AW29</f>
        <v>35000</v>
      </c>
      <c r="DZ29" s="26" t="n">
        <f aca="false">+DY29-DX29</f>
        <v>0</v>
      </c>
      <c r="EA29" s="26" t="n">
        <f aca="false">+EA28+DZ29</f>
        <v>-32220</v>
      </c>
      <c r="EB29" s="87"/>
      <c r="EC29" s="26" t="n">
        <f aca="false">+AX29</f>
        <v>0</v>
      </c>
      <c r="ED29" s="26" t="n">
        <f aca="false">+EC29</f>
        <v>0</v>
      </c>
      <c r="EE29" s="87"/>
      <c r="EF29" s="87"/>
      <c r="EG29" s="87"/>
      <c r="EH29" s="87"/>
      <c r="EI29" s="87"/>
      <c r="EJ29" s="87"/>
      <c r="EK29" s="87"/>
    </row>
    <row r="30" customFormat="false" ht="12.75" hidden="false" customHeight="false" outlineLevel="0" collapsed="false">
      <c r="A30" s="80" t="n">
        <f aca="false">+BaseloadMarkets!A30</f>
        <v>36732</v>
      </c>
      <c r="B30" s="80" t="str">
        <f aca="false">+BaseloadMarkets!B30</f>
        <v>Tues</v>
      </c>
      <c r="C30" s="25" t="n">
        <v>5000</v>
      </c>
      <c r="D30" s="26" t="n">
        <v>5000</v>
      </c>
      <c r="E30" s="81" t="n">
        <f aca="false">D30-C30</f>
        <v>0</v>
      </c>
      <c r="F30" s="25" t="n">
        <v>10000</v>
      </c>
      <c r="G30" s="26" t="n">
        <v>10000</v>
      </c>
      <c r="H30" s="81" t="n">
        <f aca="false">G30-F30</f>
        <v>0</v>
      </c>
      <c r="I30" s="25" t="n">
        <f aca="false">10000+10000</f>
        <v>20000</v>
      </c>
      <c r="J30" s="25" t="n">
        <f aca="false">10000+10000</f>
        <v>20000</v>
      </c>
      <c r="K30" s="81" t="n">
        <f aca="false">J30-I30</f>
        <v>0</v>
      </c>
      <c r="L30" s="25"/>
      <c r="M30" s="26"/>
      <c r="N30" s="81" t="n">
        <f aca="false">M30-L30</f>
        <v>0</v>
      </c>
      <c r="O30" s="25"/>
      <c r="P30" s="26"/>
      <c r="Q30" s="81" t="n">
        <f aca="false">P30-O30</f>
        <v>0</v>
      </c>
      <c r="R30" s="25"/>
      <c r="S30" s="26"/>
      <c r="T30" s="81" t="n">
        <f aca="false">S30-R30</f>
        <v>0</v>
      </c>
      <c r="U30" s="25"/>
      <c r="V30" s="26"/>
      <c r="W30" s="81" t="n">
        <f aca="false">V30-U30</f>
        <v>0</v>
      </c>
      <c r="X30" s="25"/>
      <c r="Y30" s="26"/>
      <c r="Z30" s="81" t="n">
        <f aca="false">Y30-X30</f>
        <v>0</v>
      </c>
      <c r="AA30" s="25"/>
      <c r="AB30" s="26"/>
      <c r="AC30" s="81" t="n">
        <f aca="false">AB30-AA30</f>
        <v>0</v>
      </c>
      <c r="AD30" s="25"/>
      <c r="AE30" s="26"/>
      <c r="AF30" s="81" t="n">
        <f aca="false">AE30-AD30</f>
        <v>0</v>
      </c>
      <c r="AG30" s="25"/>
      <c r="AH30" s="26"/>
      <c r="AI30" s="81" t="n">
        <f aca="false">AH30-AG30</f>
        <v>0</v>
      </c>
      <c r="AJ30" s="25"/>
      <c r="AK30" s="26"/>
      <c r="AL30" s="81" t="n">
        <f aca="false">AK30-AJ30</f>
        <v>0</v>
      </c>
      <c r="AM30" s="25"/>
      <c r="AN30" s="26"/>
      <c r="AO30" s="81" t="n">
        <f aca="false">AN30-AM30</f>
        <v>0</v>
      </c>
      <c r="AP30" s="25"/>
      <c r="AQ30" s="26"/>
      <c r="AR30" s="81" t="n">
        <f aca="false">AQ30-AP30</f>
        <v>0</v>
      </c>
      <c r="AS30" s="25"/>
      <c r="AT30" s="26"/>
      <c r="AU30" s="81" t="n">
        <f aca="false">AT30-AS30</f>
        <v>0</v>
      </c>
      <c r="AV30" s="82" t="n">
        <v>220000</v>
      </c>
      <c r="AW30" s="83" t="n">
        <v>220000</v>
      </c>
      <c r="AX30" s="81" t="n">
        <f aca="false">AW30-AV30</f>
        <v>0</v>
      </c>
      <c r="AY30" s="25"/>
      <c r="AZ30" s="26"/>
      <c r="BA30" s="81" t="n">
        <f aca="false">AZ30-AY30</f>
        <v>0</v>
      </c>
      <c r="BB30" s="25"/>
      <c r="BC30" s="26"/>
      <c r="BD30" s="81" t="n">
        <f aca="false">BC30-BB30</f>
        <v>0</v>
      </c>
      <c r="BE30" s="25"/>
      <c r="BF30" s="26"/>
      <c r="BG30" s="81" t="n">
        <f aca="false">BF30-BE30</f>
        <v>0</v>
      </c>
      <c r="BH30" s="25"/>
      <c r="BI30" s="26"/>
      <c r="BJ30" s="81" t="n">
        <f aca="false">BI30-BH30</f>
        <v>0</v>
      </c>
      <c r="BK30" s="25"/>
      <c r="BL30" s="26"/>
      <c r="BM30" s="81" t="n">
        <f aca="false">BL30-BK30</f>
        <v>0</v>
      </c>
      <c r="BN30" s="25"/>
      <c r="BO30" s="26"/>
      <c r="BP30" s="81" t="n">
        <f aca="false">BO30-BN30</f>
        <v>0</v>
      </c>
      <c r="BQ30" s="25"/>
      <c r="BR30" s="26"/>
      <c r="BS30" s="81" t="n">
        <f aca="false">BR30-BQ30</f>
        <v>0</v>
      </c>
      <c r="BT30" s="25"/>
      <c r="BU30" s="26"/>
      <c r="BV30" s="81" t="n">
        <f aca="false">BU30-BT30</f>
        <v>0</v>
      </c>
      <c r="BW30" s="25"/>
      <c r="BX30" s="26"/>
      <c r="BY30" s="81" t="n">
        <f aca="false">BX30-BW30</f>
        <v>0</v>
      </c>
      <c r="BZ30" s="25"/>
      <c r="CA30" s="26"/>
      <c r="CB30" s="81" t="n">
        <f aca="false">CA30-BZ30</f>
        <v>0</v>
      </c>
      <c r="CC30" s="25"/>
      <c r="CD30" s="26"/>
      <c r="CE30" s="81" t="n">
        <f aca="false">CD30-CC30</f>
        <v>0</v>
      </c>
      <c r="CF30" s="25"/>
      <c r="CG30" s="26"/>
      <c r="CH30" s="81" t="n">
        <f aca="false">CG30-CF30</f>
        <v>0</v>
      </c>
      <c r="CI30" s="25"/>
      <c r="CJ30" s="26"/>
      <c r="CK30" s="81" t="n">
        <f aca="false">CJ30-CI30</f>
        <v>0</v>
      </c>
      <c r="CL30" s="25"/>
      <c r="CM30" s="26"/>
      <c r="CN30" s="81" t="n">
        <f aca="false">CM30-CL30</f>
        <v>0</v>
      </c>
      <c r="CO30" s="25"/>
      <c r="CP30" s="26"/>
      <c r="CQ30" s="81" t="n">
        <f aca="false">CP30-CO30</f>
        <v>0</v>
      </c>
      <c r="CR30" s="25"/>
      <c r="CS30" s="26"/>
      <c r="CT30" s="81" t="n">
        <f aca="false">CS30-CR30</f>
        <v>0</v>
      </c>
      <c r="CU30" s="25"/>
      <c r="CV30" s="26"/>
      <c r="CW30" s="81" t="n">
        <f aca="false">CV30-CU30</f>
        <v>0</v>
      </c>
      <c r="CX30" s="25"/>
      <c r="CY30" s="26"/>
      <c r="CZ30" s="81" t="n">
        <f aca="false">CY30-CX30</f>
        <v>0</v>
      </c>
      <c r="DA30" s="25"/>
      <c r="DB30" s="26"/>
      <c r="DC30" s="81" t="n">
        <f aca="false">DB30-DA30</f>
        <v>0</v>
      </c>
      <c r="DD30" s="25"/>
      <c r="DE30" s="26"/>
      <c r="DF30" s="81" t="n">
        <f aca="false">DE30-DD30</f>
        <v>0</v>
      </c>
      <c r="DG30" s="25"/>
      <c r="DH30" s="26"/>
      <c r="DI30" s="81" t="n">
        <f aca="false">DH30-DG30</f>
        <v>0</v>
      </c>
      <c r="DJ30" s="25"/>
      <c r="DK30" s="26"/>
      <c r="DL30" s="81" t="n">
        <f aca="false">DK30-DJ30</f>
        <v>0</v>
      </c>
      <c r="DM30" s="25"/>
      <c r="DN30" s="26"/>
      <c r="DO30" s="81" t="n">
        <f aca="false">DN30-DM30</f>
        <v>0</v>
      </c>
      <c r="DP30" s="25"/>
      <c r="DQ30" s="26"/>
      <c r="DR30" s="81" t="n">
        <f aca="false">DQ30-DP30</f>
        <v>0</v>
      </c>
      <c r="DS30" s="81" t="n">
        <f aca="false">+C30+F30+I30+L30+O30+R30+U30+X30+AA30+AD30+AG30+AJ30+AM30+AP30+AS30+AV30+AY30+BB30+BE30+BH30+BK30+BN30+BQ30+BT30+BW30+BZ30+CC30+CF30+CI30+CL30+CO30+CR30+CU30+CX30+DA30+DD30+DG30+DJ30+DM30+DP30</f>
        <v>255000</v>
      </c>
      <c r="DT30" s="81" t="n">
        <f aca="false">+D30+G30+J30+M30+P30+S30+V30+Y30+AB30+AE30+AH30+AK30+AN30+AQ30+AT30+AW30+AZ30+BC30+BF30+BI30+BL30+BO30+BR30+BU30+BX30+CA30+CD30+CG30+CJ30+CM30+CP30+CS30+CV30+CY30+DB30+DE30+DH30+DK30+DN30+DQ30</f>
        <v>255000</v>
      </c>
      <c r="DU30" s="81" t="n">
        <f aca="false">DT30-DS30</f>
        <v>0</v>
      </c>
      <c r="DV30" s="26" t="n">
        <f aca="false">+DV29+DU30</f>
        <v>-311431</v>
      </c>
      <c r="DW30" s="87"/>
      <c r="DX30" s="81" t="n">
        <f aca="false">+DS30-AV30</f>
        <v>35000</v>
      </c>
      <c r="DY30" s="81" t="n">
        <f aca="false">+DT30-AW30</f>
        <v>35000</v>
      </c>
      <c r="DZ30" s="26" t="n">
        <f aca="false">+DY30-DX30</f>
        <v>0</v>
      </c>
      <c r="EA30" s="26" t="n">
        <f aca="false">+EA29+DZ30</f>
        <v>-32220</v>
      </c>
      <c r="EB30" s="87"/>
      <c r="EC30" s="26" t="n">
        <f aca="false">+AX30</f>
        <v>0</v>
      </c>
      <c r="ED30" s="26" t="n">
        <f aca="false">+EC30</f>
        <v>0</v>
      </c>
      <c r="EE30" s="87"/>
      <c r="EF30" s="87"/>
      <c r="EG30" s="87"/>
      <c r="EH30" s="87"/>
      <c r="EI30" s="87"/>
      <c r="EJ30" s="87"/>
      <c r="EK30" s="87"/>
    </row>
    <row r="31" customFormat="false" ht="12.75" hidden="false" customHeight="false" outlineLevel="0" collapsed="false">
      <c r="A31" s="80" t="n">
        <f aca="false">+BaseloadMarkets!A31</f>
        <v>36733</v>
      </c>
      <c r="B31" s="80" t="str">
        <f aca="false">+BaseloadMarkets!B31</f>
        <v>Wed</v>
      </c>
      <c r="C31" s="25" t="n">
        <v>5000</v>
      </c>
      <c r="D31" s="26" t="n">
        <v>5000</v>
      </c>
      <c r="E31" s="81" t="n">
        <f aca="false">D31-C31</f>
        <v>0</v>
      </c>
      <c r="F31" s="25" t="n">
        <v>10000</v>
      </c>
      <c r="G31" s="26" t="n">
        <f aca="false">10000-5000+2709</f>
        <v>7709</v>
      </c>
      <c r="H31" s="81" t="n">
        <f aca="false">G31-F31</f>
        <v>-2291</v>
      </c>
      <c r="I31" s="25" t="n">
        <f aca="false">10000+10000</f>
        <v>20000</v>
      </c>
      <c r="J31" s="25" t="n">
        <f aca="false">10000+5434</f>
        <v>15434</v>
      </c>
      <c r="K31" s="81" t="n">
        <f aca="false">J31-I31</f>
        <v>-4566</v>
      </c>
      <c r="L31" s="25"/>
      <c r="M31" s="26"/>
      <c r="N31" s="81" t="n">
        <f aca="false">M31-L31</f>
        <v>0</v>
      </c>
      <c r="O31" s="25"/>
      <c r="P31" s="26"/>
      <c r="Q31" s="81" t="n">
        <f aca="false">P31-O31</f>
        <v>0</v>
      </c>
      <c r="R31" s="25"/>
      <c r="S31" s="26"/>
      <c r="T31" s="81" t="n">
        <f aca="false">S31-R31</f>
        <v>0</v>
      </c>
      <c r="U31" s="25"/>
      <c r="V31" s="26"/>
      <c r="W31" s="81" t="n">
        <f aca="false">V31-U31</f>
        <v>0</v>
      </c>
      <c r="X31" s="25"/>
      <c r="Y31" s="26"/>
      <c r="Z31" s="81" t="n">
        <f aca="false">Y31-X31</f>
        <v>0</v>
      </c>
      <c r="AA31" s="25"/>
      <c r="AB31" s="26"/>
      <c r="AC31" s="81" t="n">
        <f aca="false">AB31-AA31</f>
        <v>0</v>
      </c>
      <c r="AD31" s="25"/>
      <c r="AE31" s="26"/>
      <c r="AF31" s="81" t="n">
        <f aca="false">AE31-AD31</f>
        <v>0</v>
      </c>
      <c r="AG31" s="25"/>
      <c r="AH31" s="26"/>
      <c r="AI31" s="81" t="n">
        <f aca="false">AH31-AG31</f>
        <v>0</v>
      </c>
      <c r="AJ31" s="25"/>
      <c r="AK31" s="26"/>
      <c r="AL31" s="81" t="n">
        <f aca="false">AK31-AJ31</f>
        <v>0</v>
      </c>
      <c r="AM31" s="25"/>
      <c r="AN31" s="26"/>
      <c r="AO31" s="81" t="n">
        <f aca="false">AN31-AM31</f>
        <v>0</v>
      </c>
      <c r="AP31" s="25"/>
      <c r="AQ31" s="26"/>
      <c r="AR31" s="81" t="n">
        <f aca="false">AQ31-AP31</f>
        <v>0</v>
      </c>
      <c r="AS31" s="25"/>
      <c r="AT31" s="26"/>
      <c r="AU31" s="81" t="n">
        <f aca="false">AT31-AS31</f>
        <v>0</v>
      </c>
      <c r="AV31" s="82" t="n">
        <v>275000</v>
      </c>
      <c r="AW31" s="83" t="n">
        <f aca="false">275000-20000+10868-20000+10868-15000+8151-20000+5434+5434-50000+26905-40000+21737</f>
        <v>199397</v>
      </c>
      <c r="AX31" s="81" t="n">
        <f aca="false">AW31-AV31</f>
        <v>-75603</v>
      </c>
      <c r="AY31" s="25"/>
      <c r="AZ31" s="26"/>
      <c r="BA31" s="81" t="n">
        <f aca="false">AZ31-AY31</f>
        <v>0</v>
      </c>
      <c r="BB31" s="25"/>
      <c r="BC31" s="26"/>
      <c r="BD31" s="81" t="n">
        <f aca="false">BC31-BB31</f>
        <v>0</v>
      </c>
      <c r="BE31" s="25"/>
      <c r="BF31" s="26"/>
      <c r="BG31" s="81" t="n">
        <f aca="false">BF31-BE31</f>
        <v>0</v>
      </c>
      <c r="BH31" s="25"/>
      <c r="BI31" s="26"/>
      <c r="BJ31" s="81" t="n">
        <f aca="false">BI31-BH31</f>
        <v>0</v>
      </c>
      <c r="BK31" s="25"/>
      <c r="BL31" s="26"/>
      <c r="BM31" s="81" t="n">
        <f aca="false">BL31-BK31</f>
        <v>0</v>
      </c>
      <c r="BN31" s="25"/>
      <c r="BO31" s="26"/>
      <c r="BP31" s="81" t="n">
        <f aca="false">BO31-BN31</f>
        <v>0</v>
      </c>
      <c r="BQ31" s="25"/>
      <c r="BR31" s="26"/>
      <c r="BS31" s="81" t="n">
        <f aca="false">BR31-BQ31</f>
        <v>0</v>
      </c>
      <c r="BT31" s="25"/>
      <c r="BU31" s="26"/>
      <c r="BV31" s="81" t="n">
        <f aca="false">BU31-BT31</f>
        <v>0</v>
      </c>
      <c r="BW31" s="25"/>
      <c r="BX31" s="26"/>
      <c r="BY31" s="81" t="n">
        <f aca="false">BX31-BW31</f>
        <v>0</v>
      </c>
      <c r="BZ31" s="25"/>
      <c r="CA31" s="26"/>
      <c r="CB31" s="81" t="n">
        <f aca="false">CA31-BZ31</f>
        <v>0</v>
      </c>
      <c r="CC31" s="25"/>
      <c r="CD31" s="26"/>
      <c r="CE31" s="81" t="n">
        <f aca="false">CD31-CC31</f>
        <v>0</v>
      </c>
      <c r="CF31" s="25"/>
      <c r="CG31" s="26"/>
      <c r="CH31" s="81" t="n">
        <f aca="false">CG31-CF31</f>
        <v>0</v>
      </c>
      <c r="CI31" s="25"/>
      <c r="CJ31" s="26"/>
      <c r="CK31" s="81" t="n">
        <f aca="false">CJ31-CI31</f>
        <v>0</v>
      </c>
      <c r="CL31" s="25"/>
      <c r="CM31" s="26"/>
      <c r="CN31" s="81" t="n">
        <f aca="false">CM31-CL31</f>
        <v>0</v>
      </c>
      <c r="CO31" s="25"/>
      <c r="CP31" s="26"/>
      <c r="CQ31" s="81" t="n">
        <f aca="false">CP31-CO31</f>
        <v>0</v>
      </c>
      <c r="CR31" s="25"/>
      <c r="CS31" s="26"/>
      <c r="CT31" s="81" t="n">
        <f aca="false">CS31-CR31</f>
        <v>0</v>
      </c>
      <c r="CU31" s="25"/>
      <c r="CV31" s="26"/>
      <c r="CW31" s="81" t="n">
        <f aca="false">CV31-CU31</f>
        <v>0</v>
      </c>
      <c r="CX31" s="25"/>
      <c r="CY31" s="26"/>
      <c r="CZ31" s="81" t="n">
        <f aca="false">CY31-CX31</f>
        <v>0</v>
      </c>
      <c r="DA31" s="25"/>
      <c r="DB31" s="26"/>
      <c r="DC31" s="81" t="n">
        <f aca="false">DB31-DA31</f>
        <v>0</v>
      </c>
      <c r="DD31" s="25"/>
      <c r="DE31" s="26"/>
      <c r="DF31" s="81" t="n">
        <f aca="false">DE31-DD31</f>
        <v>0</v>
      </c>
      <c r="DG31" s="25"/>
      <c r="DH31" s="26"/>
      <c r="DI31" s="81" t="n">
        <f aca="false">DH31-DG31</f>
        <v>0</v>
      </c>
      <c r="DJ31" s="25"/>
      <c r="DK31" s="26"/>
      <c r="DL31" s="81" t="n">
        <f aca="false">DK31-DJ31</f>
        <v>0</v>
      </c>
      <c r="DM31" s="25"/>
      <c r="DN31" s="26"/>
      <c r="DO31" s="81" t="n">
        <f aca="false">DN31-DM31</f>
        <v>0</v>
      </c>
      <c r="DP31" s="25"/>
      <c r="DQ31" s="26"/>
      <c r="DR31" s="81" t="n">
        <f aca="false">DQ31-DP31</f>
        <v>0</v>
      </c>
      <c r="DS31" s="81" t="n">
        <f aca="false">+C31+F31+I31+L31+O31+R31+U31+X31+AA31+AD31+AG31+AJ31+AM31+AP31+AS31+AV31+AY31+BB31+BE31+BH31+BK31+BN31+BQ31+BT31+BW31+BZ31+CC31+CF31+CI31+CL31+CO31+CR31+CU31+CX31+DA31+DD31+DG31+DJ31+DM31+DP31</f>
        <v>310000</v>
      </c>
      <c r="DT31" s="81" t="n">
        <f aca="false">+D31+G31+J31+M31+P31+S31+V31+Y31+AB31+AE31+AH31+AK31+AN31+AQ31+AT31+AW31+AZ31+BC31+BF31+BI31+BL31+BO31+BR31+BU31+BX31+CA31+CD31+CG31+CJ31+CM31+CP31+CS31+CV31+CY31+DB31+DE31+DH31+DK31+DN31+DQ31</f>
        <v>227540</v>
      </c>
      <c r="DU31" s="81" t="n">
        <f aca="false">DT31-DS31</f>
        <v>-82460</v>
      </c>
      <c r="DV31" s="26" t="n">
        <f aca="false">+DV30+DU31</f>
        <v>-393891</v>
      </c>
      <c r="DW31" s="87"/>
      <c r="DX31" s="81" t="n">
        <f aca="false">+DS31-AV31</f>
        <v>35000</v>
      </c>
      <c r="DY31" s="81" t="n">
        <f aca="false">+DT31-AW31</f>
        <v>28143</v>
      </c>
      <c r="DZ31" s="26" t="n">
        <f aca="false">+DY31-DX31</f>
        <v>-6857</v>
      </c>
      <c r="EA31" s="26" t="n">
        <f aca="false">+EA30+DZ31</f>
        <v>-39077</v>
      </c>
      <c r="EB31" s="87"/>
      <c r="EC31" s="26" t="n">
        <f aca="false">+AX31</f>
        <v>-75603</v>
      </c>
      <c r="ED31" s="26" t="n">
        <f aca="false">+EC31</f>
        <v>-75603</v>
      </c>
      <c r="EE31" s="87"/>
      <c r="EF31" s="87"/>
      <c r="EG31" s="87"/>
      <c r="EH31" s="87"/>
      <c r="EI31" s="87"/>
      <c r="EJ31" s="87"/>
      <c r="EK31" s="87"/>
    </row>
    <row r="32" customFormat="false" ht="12.75" hidden="false" customHeight="false" outlineLevel="0" collapsed="false">
      <c r="A32" s="80" t="n">
        <f aca="false">+BaseloadMarkets!A32</f>
        <v>36734</v>
      </c>
      <c r="B32" s="80" t="str">
        <f aca="false">+BaseloadMarkets!B32</f>
        <v>Thu</v>
      </c>
      <c r="C32" s="25" t="n">
        <v>5000</v>
      </c>
      <c r="D32" s="26" t="n">
        <v>5000</v>
      </c>
      <c r="E32" s="81" t="n">
        <f aca="false">D32-C32</f>
        <v>0</v>
      </c>
      <c r="F32" s="25" t="n">
        <v>10000</v>
      </c>
      <c r="G32" s="26" t="n">
        <v>10000</v>
      </c>
      <c r="H32" s="81" t="n">
        <f aca="false">G32-F32</f>
        <v>0</v>
      </c>
      <c r="I32" s="25" t="n">
        <f aca="false">10000+10000</f>
        <v>20000</v>
      </c>
      <c r="J32" s="25" t="n">
        <f aca="false">10000+10000</f>
        <v>20000</v>
      </c>
      <c r="K32" s="81" t="n">
        <f aca="false">J32-I32</f>
        <v>0</v>
      </c>
      <c r="L32" s="25"/>
      <c r="M32" s="26"/>
      <c r="N32" s="81" t="n">
        <f aca="false">M32-L32</f>
        <v>0</v>
      </c>
      <c r="O32" s="25"/>
      <c r="P32" s="26"/>
      <c r="Q32" s="81" t="n">
        <f aca="false">P32-O32</f>
        <v>0</v>
      </c>
      <c r="R32" s="25"/>
      <c r="S32" s="26"/>
      <c r="T32" s="81" t="n">
        <f aca="false">S32-R32</f>
        <v>0</v>
      </c>
      <c r="U32" s="25"/>
      <c r="V32" s="26"/>
      <c r="W32" s="81" t="n">
        <f aca="false">V32-U32</f>
        <v>0</v>
      </c>
      <c r="X32" s="25"/>
      <c r="Y32" s="26"/>
      <c r="Z32" s="81" t="n">
        <f aca="false">Y32-X32</f>
        <v>0</v>
      </c>
      <c r="AA32" s="25"/>
      <c r="AB32" s="26"/>
      <c r="AC32" s="81" t="n">
        <f aca="false">AB32-AA32</f>
        <v>0</v>
      </c>
      <c r="AD32" s="25"/>
      <c r="AE32" s="26"/>
      <c r="AF32" s="81" t="n">
        <f aca="false">AE32-AD32</f>
        <v>0</v>
      </c>
      <c r="AG32" s="25"/>
      <c r="AH32" s="26"/>
      <c r="AI32" s="81" t="n">
        <f aca="false">AH32-AG32</f>
        <v>0</v>
      </c>
      <c r="AJ32" s="25"/>
      <c r="AK32" s="26"/>
      <c r="AL32" s="81" t="n">
        <f aca="false">AK32-AJ32</f>
        <v>0</v>
      </c>
      <c r="AM32" s="25"/>
      <c r="AN32" s="26"/>
      <c r="AO32" s="81" t="n">
        <f aca="false">AN32-AM32</f>
        <v>0</v>
      </c>
      <c r="AP32" s="25"/>
      <c r="AQ32" s="26"/>
      <c r="AR32" s="81" t="n">
        <f aca="false">AQ32-AP32</f>
        <v>0</v>
      </c>
      <c r="AS32" s="25"/>
      <c r="AT32" s="26"/>
      <c r="AU32" s="81" t="n">
        <f aca="false">AT32-AS32</f>
        <v>0</v>
      </c>
      <c r="AV32" s="82" t="n">
        <v>205000</v>
      </c>
      <c r="AW32" s="83" t="n">
        <v>195100</v>
      </c>
      <c r="AX32" s="81" t="n">
        <f aca="false">AW32-AV32</f>
        <v>-9900</v>
      </c>
      <c r="AY32" s="25"/>
      <c r="AZ32" s="26"/>
      <c r="BA32" s="81" t="n">
        <f aca="false">AZ32-AY32</f>
        <v>0</v>
      </c>
      <c r="BB32" s="25"/>
      <c r="BC32" s="26"/>
      <c r="BD32" s="81" t="n">
        <f aca="false">BC32-BB32</f>
        <v>0</v>
      </c>
      <c r="BE32" s="25"/>
      <c r="BF32" s="26"/>
      <c r="BG32" s="81" t="n">
        <f aca="false">BF32-BE32</f>
        <v>0</v>
      </c>
      <c r="BH32" s="25"/>
      <c r="BI32" s="26"/>
      <c r="BJ32" s="81" t="n">
        <f aca="false">BI32-BH32</f>
        <v>0</v>
      </c>
      <c r="BK32" s="25"/>
      <c r="BL32" s="26"/>
      <c r="BM32" s="81" t="n">
        <f aca="false">BL32-BK32</f>
        <v>0</v>
      </c>
      <c r="BN32" s="25"/>
      <c r="BO32" s="26"/>
      <c r="BP32" s="81" t="n">
        <f aca="false">BO32-BN32</f>
        <v>0</v>
      </c>
      <c r="BQ32" s="25"/>
      <c r="BR32" s="26"/>
      <c r="BS32" s="81" t="n">
        <f aca="false">BR32-BQ32</f>
        <v>0</v>
      </c>
      <c r="BT32" s="25"/>
      <c r="BU32" s="26"/>
      <c r="BV32" s="81" t="n">
        <f aca="false">BU32-BT32</f>
        <v>0</v>
      </c>
      <c r="BW32" s="25"/>
      <c r="BX32" s="26"/>
      <c r="BY32" s="81" t="n">
        <f aca="false">BX32-BW32</f>
        <v>0</v>
      </c>
      <c r="BZ32" s="25"/>
      <c r="CA32" s="26"/>
      <c r="CB32" s="81" t="n">
        <f aca="false">CA32-BZ32</f>
        <v>0</v>
      </c>
      <c r="CC32" s="25"/>
      <c r="CD32" s="26"/>
      <c r="CE32" s="81" t="n">
        <f aca="false">CD32-CC32</f>
        <v>0</v>
      </c>
      <c r="CF32" s="25"/>
      <c r="CG32" s="26"/>
      <c r="CH32" s="81" t="n">
        <f aca="false">CG32-CF32</f>
        <v>0</v>
      </c>
      <c r="CI32" s="25"/>
      <c r="CJ32" s="26"/>
      <c r="CK32" s="81" t="n">
        <f aca="false">CJ32-CI32</f>
        <v>0</v>
      </c>
      <c r="CL32" s="25"/>
      <c r="CM32" s="26"/>
      <c r="CN32" s="81" t="n">
        <f aca="false">CM32-CL32</f>
        <v>0</v>
      </c>
      <c r="CO32" s="25"/>
      <c r="CP32" s="26"/>
      <c r="CQ32" s="81" t="n">
        <f aca="false">CP32-CO32</f>
        <v>0</v>
      </c>
      <c r="CR32" s="25"/>
      <c r="CS32" s="26"/>
      <c r="CT32" s="81" t="n">
        <f aca="false">CS32-CR32</f>
        <v>0</v>
      </c>
      <c r="CU32" s="25"/>
      <c r="CV32" s="26"/>
      <c r="CW32" s="81" t="n">
        <f aca="false">CV32-CU32</f>
        <v>0</v>
      </c>
      <c r="CX32" s="25"/>
      <c r="CY32" s="26"/>
      <c r="CZ32" s="81" t="n">
        <f aca="false">CY32-CX32</f>
        <v>0</v>
      </c>
      <c r="DA32" s="25"/>
      <c r="DB32" s="26"/>
      <c r="DC32" s="81" t="n">
        <f aca="false">DB32-DA32</f>
        <v>0</v>
      </c>
      <c r="DD32" s="25"/>
      <c r="DE32" s="26"/>
      <c r="DF32" s="81" t="n">
        <f aca="false">DE32-DD32</f>
        <v>0</v>
      </c>
      <c r="DG32" s="25"/>
      <c r="DH32" s="26"/>
      <c r="DI32" s="81" t="n">
        <f aca="false">DH32-DG32</f>
        <v>0</v>
      </c>
      <c r="DJ32" s="25"/>
      <c r="DK32" s="26"/>
      <c r="DL32" s="81" t="n">
        <f aca="false">DK32-DJ32</f>
        <v>0</v>
      </c>
      <c r="DM32" s="25"/>
      <c r="DN32" s="26"/>
      <c r="DO32" s="81" t="n">
        <f aca="false">DN32-DM32</f>
        <v>0</v>
      </c>
      <c r="DP32" s="25"/>
      <c r="DQ32" s="26"/>
      <c r="DR32" s="81" t="n">
        <f aca="false">DQ32-DP32</f>
        <v>0</v>
      </c>
      <c r="DS32" s="81" t="n">
        <f aca="false">+C32+F32+I32+L32+O32+R32+U32+X32+AA32+AD32+AG32+AJ32+AM32+AP32+AS32+AV32+AY32+BB32+BE32+BH32+BK32+BN32+BQ32+BT32+BW32+BZ32+CC32+CF32+CI32+CL32+CO32+CR32+CU32+CX32+DA32+DD32+DG32+DJ32+DM32+DP32</f>
        <v>240000</v>
      </c>
      <c r="DT32" s="81" t="n">
        <f aca="false">+D32+G32+J32+M32+P32+S32+V32+Y32+AB32+AE32+AH32+AK32+AN32+AQ32+AT32+AW32+AZ32+BC32+BF32+BI32+BL32+BO32+BR32+BU32+BX32+CA32+CD32+CG32+CJ32+CM32+CP32+CS32+CV32+CY32+DB32+DE32+DH32+DK32+DN32+DQ32</f>
        <v>230100</v>
      </c>
      <c r="DU32" s="81" t="n">
        <f aca="false">DT32-DS32</f>
        <v>-9900</v>
      </c>
      <c r="DV32" s="26" t="n">
        <f aca="false">+DV31+DU32</f>
        <v>-403791</v>
      </c>
      <c r="DW32" s="87"/>
      <c r="DX32" s="81" t="n">
        <f aca="false">+DS32-AV32</f>
        <v>35000</v>
      </c>
      <c r="DY32" s="81" t="n">
        <f aca="false">+DT32-AW32</f>
        <v>35000</v>
      </c>
      <c r="DZ32" s="26" t="n">
        <f aca="false">+DY32-DX32</f>
        <v>0</v>
      </c>
      <c r="EA32" s="26" t="n">
        <f aca="false">+EA31+DZ32</f>
        <v>-39077</v>
      </c>
      <c r="EB32" s="87"/>
      <c r="EC32" s="26" t="n">
        <f aca="false">+AX32</f>
        <v>-9900</v>
      </c>
      <c r="ED32" s="26" t="n">
        <f aca="false">+EC32</f>
        <v>-9900</v>
      </c>
      <c r="EE32" s="87"/>
      <c r="EF32" s="87"/>
      <c r="EG32" s="87"/>
      <c r="EH32" s="87"/>
      <c r="EI32" s="87"/>
      <c r="EJ32" s="87"/>
      <c r="EK32" s="87"/>
    </row>
    <row r="33" customFormat="false" ht="12.75" hidden="false" customHeight="false" outlineLevel="0" collapsed="false">
      <c r="A33" s="80" t="n">
        <f aca="false">+BaseloadMarkets!A33</f>
        <v>36735</v>
      </c>
      <c r="B33" s="80" t="str">
        <f aca="false">+BaseloadMarkets!B33</f>
        <v>Fri</v>
      </c>
      <c r="C33" s="25" t="n">
        <v>5000</v>
      </c>
      <c r="D33" s="26" t="n">
        <v>5000</v>
      </c>
      <c r="E33" s="81" t="n">
        <f aca="false">D33-C33</f>
        <v>0</v>
      </c>
      <c r="F33" s="25" t="n">
        <v>10000</v>
      </c>
      <c r="G33" s="26" t="n">
        <v>6087</v>
      </c>
      <c r="H33" s="81" t="n">
        <f aca="false">G33-F33</f>
        <v>-3913</v>
      </c>
      <c r="I33" s="25" t="n">
        <f aca="false">10000+10000</f>
        <v>20000</v>
      </c>
      <c r="J33" s="25" t="n">
        <f aca="false">10000+10000</f>
        <v>20000</v>
      </c>
      <c r="K33" s="81" t="n">
        <f aca="false">J33-I33</f>
        <v>0</v>
      </c>
      <c r="L33" s="25"/>
      <c r="M33" s="26"/>
      <c r="N33" s="81" t="n">
        <f aca="false">M33-L33</f>
        <v>0</v>
      </c>
      <c r="O33" s="25"/>
      <c r="P33" s="26"/>
      <c r="Q33" s="81" t="n">
        <f aca="false">P33-O33</f>
        <v>0</v>
      </c>
      <c r="R33" s="25"/>
      <c r="S33" s="26"/>
      <c r="T33" s="81" t="n">
        <f aca="false">S33-R33</f>
        <v>0</v>
      </c>
      <c r="U33" s="25"/>
      <c r="V33" s="26"/>
      <c r="W33" s="81" t="n">
        <f aca="false">V33-U33</f>
        <v>0</v>
      </c>
      <c r="X33" s="25"/>
      <c r="Y33" s="26"/>
      <c r="Z33" s="81" t="n">
        <f aca="false">Y33-X33</f>
        <v>0</v>
      </c>
      <c r="AA33" s="25"/>
      <c r="AB33" s="26"/>
      <c r="AC33" s="81" t="n">
        <f aca="false">AB33-AA33</f>
        <v>0</v>
      </c>
      <c r="AD33" s="25"/>
      <c r="AE33" s="26"/>
      <c r="AF33" s="81" t="n">
        <f aca="false">AE33-AD33</f>
        <v>0</v>
      </c>
      <c r="AG33" s="25"/>
      <c r="AH33" s="26"/>
      <c r="AI33" s="81" t="n">
        <f aca="false">AH33-AG33</f>
        <v>0</v>
      </c>
      <c r="AJ33" s="25"/>
      <c r="AK33" s="26"/>
      <c r="AL33" s="81" t="n">
        <f aca="false">AK33-AJ33</f>
        <v>0</v>
      </c>
      <c r="AM33" s="25"/>
      <c r="AN33" s="26"/>
      <c r="AO33" s="81" t="n">
        <f aca="false">AN33-AM33</f>
        <v>0</v>
      </c>
      <c r="AP33" s="25"/>
      <c r="AQ33" s="26"/>
      <c r="AR33" s="81" t="n">
        <f aca="false">AQ33-AP33</f>
        <v>0</v>
      </c>
      <c r="AS33" s="25"/>
      <c r="AT33" s="26"/>
      <c r="AU33" s="81" t="n">
        <f aca="false">AT33-AS33</f>
        <v>0</v>
      </c>
      <c r="AV33" s="82" t="n">
        <f aca="false">290000-15000-19562+1398</f>
        <v>256836</v>
      </c>
      <c r="AW33" s="83" t="n">
        <v>235142</v>
      </c>
      <c r="AX33" s="81" t="n">
        <f aca="false">AW33-AV33</f>
        <v>-21694</v>
      </c>
      <c r="AY33" s="25"/>
      <c r="AZ33" s="26"/>
      <c r="BA33" s="81" t="n">
        <f aca="false">AZ33-AY33</f>
        <v>0</v>
      </c>
      <c r="BB33" s="25"/>
      <c r="BC33" s="26"/>
      <c r="BD33" s="81" t="n">
        <f aca="false">BC33-BB33</f>
        <v>0</v>
      </c>
      <c r="BE33" s="25"/>
      <c r="BF33" s="26"/>
      <c r="BG33" s="81" t="n">
        <f aca="false">BF33-BE33</f>
        <v>0</v>
      </c>
      <c r="BH33" s="25"/>
      <c r="BI33" s="26"/>
      <c r="BJ33" s="81" t="n">
        <f aca="false">BI33-BH33</f>
        <v>0</v>
      </c>
      <c r="BK33" s="25"/>
      <c r="BL33" s="26"/>
      <c r="BM33" s="81" t="n">
        <f aca="false">BL33-BK33</f>
        <v>0</v>
      </c>
      <c r="BN33" s="25"/>
      <c r="BO33" s="26"/>
      <c r="BP33" s="81" t="n">
        <f aca="false">BO33-BN33</f>
        <v>0</v>
      </c>
      <c r="BQ33" s="25"/>
      <c r="BR33" s="26"/>
      <c r="BS33" s="81" t="n">
        <f aca="false">BR33-BQ33</f>
        <v>0</v>
      </c>
      <c r="BT33" s="25"/>
      <c r="BU33" s="26"/>
      <c r="BV33" s="81" t="n">
        <f aca="false">BU33-BT33</f>
        <v>0</v>
      </c>
      <c r="BW33" s="25"/>
      <c r="BX33" s="26"/>
      <c r="BY33" s="81" t="n">
        <f aca="false">BX33-BW33</f>
        <v>0</v>
      </c>
      <c r="BZ33" s="25"/>
      <c r="CA33" s="26"/>
      <c r="CB33" s="81" t="n">
        <f aca="false">CA33-BZ33</f>
        <v>0</v>
      </c>
      <c r="CC33" s="25"/>
      <c r="CD33" s="26"/>
      <c r="CE33" s="81" t="n">
        <f aca="false">CD33-CC33</f>
        <v>0</v>
      </c>
      <c r="CF33" s="25"/>
      <c r="CG33" s="26"/>
      <c r="CH33" s="81" t="n">
        <f aca="false">CG33-CF33</f>
        <v>0</v>
      </c>
      <c r="CI33" s="25"/>
      <c r="CJ33" s="26"/>
      <c r="CK33" s="81" t="n">
        <f aca="false">CJ33-CI33</f>
        <v>0</v>
      </c>
      <c r="CL33" s="25"/>
      <c r="CM33" s="26"/>
      <c r="CN33" s="81" t="n">
        <f aca="false">CM33-CL33</f>
        <v>0</v>
      </c>
      <c r="CO33" s="25"/>
      <c r="CP33" s="26"/>
      <c r="CQ33" s="81" t="n">
        <f aca="false">CP33-CO33</f>
        <v>0</v>
      </c>
      <c r="CR33" s="25"/>
      <c r="CS33" s="26"/>
      <c r="CT33" s="81" t="n">
        <f aca="false">CS33-CR33</f>
        <v>0</v>
      </c>
      <c r="CU33" s="25"/>
      <c r="CV33" s="26"/>
      <c r="CW33" s="81" t="n">
        <f aca="false">CV33-CU33</f>
        <v>0</v>
      </c>
      <c r="CX33" s="25"/>
      <c r="CY33" s="26"/>
      <c r="CZ33" s="81" t="n">
        <f aca="false">CY33-CX33</f>
        <v>0</v>
      </c>
      <c r="DA33" s="25"/>
      <c r="DB33" s="26"/>
      <c r="DC33" s="81" t="n">
        <f aca="false">DB33-DA33</f>
        <v>0</v>
      </c>
      <c r="DD33" s="25"/>
      <c r="DE33" s="26"/>
      <c r="DF33" s="81" t="n">
        <f aca="false">DE33-DD33</f>
        <v>0</v>
      </c>
      <c r="DG33" s="25"/>
      <c r="DH33" s="26"/>
      <c r="DI33" s="81" t="n">
        <f aca="false">DH33-DG33</f>
        <v>0</v>
      </c>
      <c r="DJ33" s="25"/>
      <c r="DK33" s="26"/>
      <c r="DL33" s="81" t="n">
        <f aca="false">DK33-DJ33</f>
        <v>0</v>
      </c>
      <c r="DM33" s="25"/>
      <c r="DN33" s="26"/>
      <c r="DO33" s="81" t="n">
        <f aca="false">DN33-DM33</f>
        <v>0</v>
      </c>
      <c r="DP33" s="25"/>
      <c r="DQ33" s="26"/>
      <c r="DR33" s="81" t="n">
        <f aca="false">DQ33-DP33</f>
        <v>0</v>
      </c>
      <c r="DS33" s="81" t="n">
        <f aca="false">+C33+F33+I33+L33+O33+R33+U33+X33+AA33+AD33+AG33+AJ33+AM33+AP33+AS33+AV33+AY33+BB33+BE33+BH33+BK33+BN33+BQ33+BT33+BW33+BZ33+CC33+CF33+CI33+CL33+CO33+CR33+CU33+CX33+DA33+DD33+DG33+DJ33+DM33+DP33</f>
        <v>291836</v>
      </c>
      <c r="DT33" s="81" t="n">
        <f aca="false">+D33+G33+J33+M33+P33+S33+V33+Y33+AB33+AE33+AH33+AK33+AN33+AQ33+AT33+AW33+AZ33+BC33+BF33+BI33+BL33+BO33+BR33+BU33+BX33+CA33+CD33+CG33+CJ33+CM33+CP33+CS33+CV33+CY33+DB33+DE33+DH33+DK33+DN33+DQ33</f>
        <v>266229</v>
      </c>
      <c r="DU33" s="81" t="n">
        <f aca="false">DT33-DS33</f>
        <v>-25607</v>
      </c>
      <c r="DV33" s="26" t="n">
        <f aca="false">+DV32+DU33</f>
        <v>-429398</v>
      </c>
      <c r="DW33" s="87"/>
      <c r="DX33" s="81" t="n">
        <f aca="false">+DS33-AV33</f>
        <v>35000</v>
      </c>
      <c r="DY33" s="81" t="n">
        <f aca="false">+DT33-AW33</f>
        <v>31087</v>
      </c>
      <c r="DZ33" s="26" t="n">
        <f aca="false">+DY33-DX33</f>
        <v>-3913</v>
      </c>
      <c r="EA33" s="26" t="n">
        <f aca="false">+EA32+DZ33</f>
        <v>-42990</v>
      </c>
      <c r="EB33" s="87"/>
      <c r="EC33" s="26" t="n">
        <f aca="false">+AX33</f>
        <v>-21694</v>
      </c>
      <c r="ED33" s="26" t="n">
        <f aca="false">+EC33</f>
        <v>-21694</v>
      </c>
      <c r="EE33" s="87"/>
      <c r="EF33" s="87"/>
      <c r="EG33" s="87"/>
      <c r="EH33" s="87"/>
      <c r="EI33" s="87"/>
      <c r="EJ33" s="87"/>
      <c r="EK33" s="87"/>
    </row>
    <row r="34" customFormat="false" ht="12.75" hidden="false" customHeight="false" outlineLevel="0" collapsed="false">
      <c r="A34" s="80" t="n">
        <f aca="false">+BaseloadMarkets!A34</f>
        <v>36736</v>
      </c>
      <c r="B34" s="80" t="str">
        <f aca="false">+BaseloadMarkets!B34</f>
        <v>Sat</v>
      </c>
      <c r="C34" s="25" t="n">
        <v>5000</v>
      </c>
      <c r="D34" s="26" t="n">
        <v>5000</v>
      </c>
      <c r="E34" s="81" t="n">
        <f aca="false">D34-C34</f>
        <v>0</v>
      </c>
      <c r="F34" s="25" t="n">
        <v>10000</v>
      </c>
      <c r="G34" s="26" t="n">
        <v>10000</v>
      </c>
      <c r="H34" s="81" t="n">
        <f aca="false">G34-F34</f>
        <v>0</v>
      </c>
      <c r="I34" s="25" t="n">
        <f aca="false">10000+10000</f>
        <v>20000</v>
      </c>
      <c r="J34" s="25" t="n">
        <f aca="false">10000+10000</f>
        <v>20000</v>
      </c>
      <c r="K34" s="81" t="n">
        <f aca="false">J34-I34</f>
        <v>0</v>
      </c>
      <c r="L34" s="25"/>
      <c r="M34" s="26"/>
      <c r="N34" s="81" t="n">
        <f aca="false">M34-L34</f>
        <v>0</v>
      </c>
      <c r="O34" s="25"/>
      <c r="P34" s="26"/>
      <c r="Q34" s="81" t="n">
        <f aca="false">P34-O34</f>
        <v>0</v>
      </c>
      <c r="R34" s="25"/>
      <c r="S34" s="26"/>
      <c r="T34" s="81" t="n">
        <f aca="false">S34-R34</f>
        <v>0</v>
      </c>
      <c r="U34" s="25"/>
      <c r="V34" s="26"/>
      <c r="W34" s="81" t="n">
        <f aca="false">V34-U34</f>
        <v>0</v>
      </c>
      <c r="X34" s="25"/>
      <c r="Y34" s="26"/>
      <c r="Z34" s="81" t="n">
        <f aca="false">Y34-X34</f>
        <v>0</v>
      </c>
      <c r="AA34" s="25"/>
      <c r="AB34" s="26"/>
      <c r="AC34" s="81" t="n">
        <f aca="false">AB34-AA34</f>
        <v>0</v>
      </c>
      <c r="AD34" s="25"/>
      <c r="AE34" s="26"/>
      <c r="AF34" s="81" t="n">
        <f aca="false">AE34-AD34</f>
        <v>0</v>
      </c>
      <c r="AG34" s="25"/>
      <c r="AH34" s="26"/>
      <c r="AI34" s="81" t="n">
        <f aca="false">AH34-AG34</f>
        <v>0</v>
      </c>
      <c r="AJ34" s="25"/>
      <c r="AK34" s="26"/>
      <c r="AL34" s="81" t="n">
        <f aca="false">AK34-AJ34</f>
        <v>0</v>
      </c>
      <c r="AM34" s="25"/>
      <c r="AN34" s="26"/>
      <c r="AO34" s="81" t="n">
        <f aca="false">AN34-AM34</f>
        <v>0</v>
      </c>
      <c r="AP34" s="25"/>
      <c r="AQ34" s="26"/>
      <c r="AR34" s="81" t="n">
        <f aca="false">AQ34-AP34</f>
        <v>0</v>
      </c>
      <c r="AS34" s="25"/>
      <c r="AT34" s="26"/>
      <c r="AU34" s="81" t="n">
        <f aca="false">AT34-AS34</f>
        <v>0</v>
      </c>
      <c r="AV34" s="82" t="n">
        <v>290000</v>
      </c>
      <c r="AW34" s="83" t="n">
        <v>290000</v>
      </c>
      <c r="AX34" s="81" t="n">
        <f aca="false">AW34-AV34</f>
        <v>0</v>
      </c>
      <c r="AY34" s="25"/>
      <c r="AZ34" s="26"/>
      <c r="BA34" s="81" t="n">
        <f aca="false">AZ34-AY34</f>
        <v>0</v>
      </c>
      <c r="BB34" s="25"/>
      <c r="BC34" s="26"/>
      <c r="BD34" s="81" t="n">
        <f aca="false">BC34-BB34</f>
        <v>0</v>
      </c>
      <c r="BE34" s="25"/>
      <c r="BF34" s="26"/>
      <c r="BG34" s="81" t="n">
        <f aca="false">BF34-BE34</f>
        <v>0</v>
      </c>
      <c r="BH34" s="25"/>
      <c r="BI34" s="26"/>
      <c r="BJ34" s="81" t="n">
        <f aca="false">BI34-BH34</f>
        <v>0</v>
      </c>
      <c r="BK34" s="25"/>
      <c r="BL34" s="26"/>
      <c r="BM34" s="81" t="n">
        <f aca="false">BL34-BK34</f>
        <v>0</v>
      </c>
      <c r="BN34" s="25"/>
      <c r="BO34" s="26"/>
      <c r="BP34" s="81" t="n">
        <f aca="false">BO34-BN34</f>
        <v>0</v>
      </c>
      <c r="BQ34" s="25"/>
      <c r="BR34" s="26"/>
      <c r="BS34" s="81" t="n">
        <f aca="false">BR34-BQ34</f>
        <v>0</v>
      </c>
      <c r="BT34" s="25"/>
      <c r="BU34" s="26"/>
      <c r="BV34" s="81" t="n">
        <f aca="false">BU34-BT34</f>
        <v>0</v>
      </c>
      <c r="BW34" s="25"/>
      <c r="BX34" s="26"/>
      <c r="BY34" s="81" t="n">
        <f aca="false">BX34-BW34</f>
        <v>0</v>
      </c>
      <c r="BZ34" s="25"/>
      <c r="CA34" s="26"/>
      <c r="CB34" s="81" t="n">
        <f aca="false">CA34-BZ34</f>
        <v>0</v>
      </c>
      <c r="CC34" s="25"/>
      <c r="CD34" s="26"/>
      <c r="CE34" s="81" t="n">
        <f aca="false">CD34-CC34</f>
        <v>0</v>
      </c>
      <c r="CF34" s="25"/>
      <c r="CG34" s="26"/>
      <c r="CH34" s="81" t="n">
        <f aca="false">CG34-CF34</f>
        <v>0</v>
      </c>
      <c r="CI34" s="25"/>
      <c r="CJ34" s="26"/>
      <c r="CK34" s="81" t="n">
        <f aca="false">CJ34-CI34</f>
        <v>0</v>
      </c>
      <c r="CL34" s="25"/>
      <c r="CM34" s="26"/>
      <c r="CN34" s="81" t="n">
        <f aca="false">CM34-CL34</f>
        <v>0</v>
      </c>
      <c r="CO34" s="25"/>
      <c r="CP34" s="26"/>
      <c r="CQ34" s="81" t="n">
        <f aca="false">CP34-CO34</f>
        <v>0</v>
      </c>
      <c r="CR34" s="25"/>
      <c r="CS34" s="26"/>
      <c r="CT34" s="81" t="n">
        <f aca="false">CS34-CR34</f>
        <v>0</v>
      </c>
      <c r="CU34" s="25"/>
      <c r="CV34" s="26"/>
      <c r="CW34" s="81" t="n">
        <f aca="false">CV34-CU34</f>
        <v>0</v>
      </c>
      <c r="CX34" s="25"/>
      <c r="CY34" s="26"/>
      <c r="CZ34" s="81" t="n">
        <f aca="false">CY34-CX34</f>
        <v>0</v>
      </c>
      <c r="DA34" s="25"/>
      <c r="DB34" s="26"/>
      <c r="DC34" s="81" t="n">
        <f aca="false">DB34-DA34</f>
        <v>0</v>
      </c>
      <c r="DD34" s="25"/>
      <c r="DE34" s="26"/>
      <c r="DF34" s="81" t="n">
        <f aca="false">DE34-DD34</f>
        <v>0</v>
      </c>
      <c r="DG34" s="25"/>
      <c r="DH34" s="26"/>
      <c r="DI34" s="81" t="n">
        <f aca="false">DH34-DG34</f>
        <v>0</v>
      </c>
      <c r="DJ34" s="25"/>
      <c r="DK34" s="26"/>
      <c r="DL34" s="81" t="n">
        <f aca="false">DK34-DJ34</f>
        <v>0</v>
      </c>
      <c r="DM34" s="25"/>
      <c r="DN34" s="26"/>
      <c r="DO34" s="81" t="n">
        <f aca="false">DN34-DM34</f>
        <v>0</v>
      </c>
      <c r="DP34" s="25"/>
      <c r="DQ34" s="26"/>
      <c r="DR34" s="81" t="n">
        <f aca="false">DQ34-DP34</f>
        <v>0</v>
      </c>
      <c r="DS34" s="81" t="n">
        <f aca="false">+C34+F34+I34+L34+O34+R34+U34+X34+AA34+AD34+AG34+AJ34+AM34+AP34+AS34+AV34+AY34+BB34+BE34+BH34+BK34+BN34+BQ34+BT34+BW34+BZ34+CC34+CF34+CI34+CL34+CO34+CR34+CU34+CX34+DA34+DD34+DG34+DJ34+DM34+DP34</f>
        <v>325000</v>
      </c>
      <c r="DT34" s="81" t="n">
        <f aca="false">+D34+G34+J34+M34+P34+S34+V34+Y34+AB34+AE34+AH34+AK34+AN34+AQ34+AT34+AW34+AZ34+BC34+BF34+BI34+BL34+BO34+BR34+BU34+BX34+CA34+CD34+CG34+CJ34+CM34+CP34+CS34+CV34+CY34+DB34+DE34+DH34+DK34+DN34+DQ34</f>
        <v>325000</v>
      </c>
      <c r="DU34" s="81" t="n">
        <f aca="false">DT34-DS34</f>
        <v>0</v>
      </c>
      <c r="DV34" s="26" t="n">
        <f aca="false">+DV33+DU34</f>
        <v>-429398</v>
      </c>
      <c r="DW34" s="87"/>
      <c r="DX34" s="81" t="n">
        <f aca="false">+DS34-AV34</f>
        <v>35000</v>
      </c>
      <c r="DY34" s="81" t="n">
        <f aca="false">+DT34-AW34</f>
        <v>35000</v>
      </c>
      <c r="DZ34" s="26" t="n">
        <f aca="false">+DY34-DX34</f>
        <v>0</v>
      </c>
      <c r="EA34" s="26" t="n">
        <f aca="false">+EA33+DZ34</f>
        <v>-42990</v>
      </c>
      <c r="EB34" s="87"/>
      <c r="EC34" s="26" t="n">
        <f aca="false">+AX34</f>
        <v>0</v>
      </c>
      <c r="ED34" s="26" t="n">
        <f aca="false">+EC34</f>
        <v>0</v>
      </c>
      <c r="EE34" s="87"/>
      <c r="EF34" s="87"/>
      <c r="EG34" s="87"/>
      <c r="EH34" s="87"/>
      <c r="EI34" s="87"/>
      <c r="EJ34" s="87"/>
      <c r="EK34" s="87"/>
    </row>
    <row r="35" customFormat="false" ht="12.75" hidden="false" customHeight="false" outlineLevel="0" collapsed="false">
      <c r="A35" s="80" t="n">
        <f aca="false">+BaseloadMarkets!A35</f>
        <v>36737</v>
      </c>
      <c r="B35" s="80" t="str">
        <f aca="false">+BaseloadMarkets!B35</f>
        <v>Sun</v>
      </c>
      <c r="C35" s="25" t="n">
        <v>5000</v>
      </c>
      <c r="D35" s="26" t="n">
        <v>5000</v>
      </c>
      <c r="E35" s="81" t="n">
        <f aca="false">D35-C35</f>
        <v>0</v>
      </c>
      <c r="F35" s="25" t="n">
        <v>10000</v>
      </c>
      <c r="G35" s="26" t="n">
        <v>10000</v>
      </c>
      <c r="H35" s="81" t="n">
        <f aca="false">G35-F35</f>
        <v>0</v>
      </c>
      <c r="I35" s="25" t="n">
        <f aca="false">10000+10000</f>
        <v>20000</v>
      </c>
      <c r="J35" s="25" t="n">
        <f aca="false">10000+10000</f>
        <v>20000</v>
      </c>
      <c r="K35" s="81" t="n">
        <f aca="false">J35-I35</f>
        <v>0</v>
      </c>
      <c r="L35" s="25"/>
      <c r="M35" s="26"/>
      <c r="N35" s="81" t="n">
        <f aca="false">M35-L35</f>
        <v>0</v>
      </c>
      <c r="O35" s="25"/>
      <c r="P35" s="26"/>
      <c r="Q35" s="81" t="n">
        <f aca="false">P35-O35</f>
        <v>0</v>
      </c>
      <c r="R35" s="25"/>
      <c r="S35" s="26"/>
      <c r="T35" s="81" t="n">
        <f aca="false">S35-R35</f>
        <v>0</v>
      </c>
      <c r="U35" s="25"/>
      <c r="V35" s="26"/>
      <c r="W35" s="81" t="n">
        <f aca="false">V35-U35</f>
        <v>0</v>
      </c>
      <c r="X35" s="25"/>
      <c r="Y35" s="26"/>
      <c r="Z35" s="81" t="n">
        <f aca="false">Y35-X35</f>
        <v>0</v>
      </c>
      <c r="AA35" s="25"/>
      <c r="AB35" s="26"/>
      <c r="AC35" s="81" t="n">
        <f aca="false">AB35-AA35</f>
        <v>0</v>
      </c>
      <c r="AD35" s="25"/>
      <c r="AE35" s="26"/>
      <c r="AF35" s="81" t="n">
        <f aca="false">AE35-AD35</f>
        <v>0</v>
      </c>
      <c r="AG35" s="25"/>
      <c r="AH35" s="26"/>
      <c r="AI35" s="81" t="n">
        <f aca="false">AH35-AG35</f>
        <v>0</v>
      </c>
      <c r="AJ35" s="25"/>
      <c r="AK35" s="26"/>
      <c r="AL35" s="81" t="n">
        <f aca="false">AK35-AJ35</f>
        <v>0</v>
      </c>
      <c r="AM35" s="25"/>
      <c r="AN35" s="26"/>
      <c r="AO35" s="81" t="n">
        <f aca="false">AN35-AM35</f>
        <v>0</v>
      </c>
      <c r="AP35" s="25"/>
      <c r="AQ35" s="26"/>
      <c r="AR35" s="81" t="n">
        <f aca="false">AQ35-AP35</f>
        <v>0</v>
      </c>
      <c r="AS35" s="25"/>
      <c r="AT35" s="26"/>
      <c r="AU35" s="81" t="n">
        <f aca="false">AT35-AS35</f>
        <v>0</v>
      </c>
      <c r="AV35" s="82" t="n">
        <v>290000</v>
      </c>
      <c r="AW35" s="83" t="n">
        <v>290000</v>
      </c>
      <c r="AX35" s="81" t="n">
        <f aca="false">AW35-AV35</f>
        <v>0</v>
      </c>
      <c r="AY35" s="25"/>
      <c r="AZ35" s="26"/>
      <c r="BA35" s="81" t="n">
        <f aca="false">AZ35-AY35</f>
        <v>0</v>
      </c>
      <c r="BB35" s="25"/>
      <c r="BC35" s="26"/>
      <c r="BD35" s="81" t="n">
        <f aca="false">BC35-BB35</f>
        <v>0</v>
      </c>
      <c r="BE35" s="25"/>
      <c r="BF35" s="26"/>
      <c r="BG35" s="81" t="n">
        <f aca="false">BF35-BE35</f>
        <v>0</v>
      </c>
      <c r="BH35" s="25"/>
      <c r="BI35" s="26"/>
      <c r="BJ35" s="81" t="n">
        <f aca="false">BI35-BH35</f>
        <v>0</v>
      </c>
      <c r="BK35" s="25"/>
      <c r="BL35" s="26"/>
      <c r="BM35" s="81" t="n">
        <f aca="false">BL35-BK35</f>
        <v>0</v>
      </c>
      <c r="BN35" s="25"/>
      <c r="BO35" s="26"/>
      <c r="BP35" s="81" t="n">
        <f aca="false">BO35-BN35</f>
        <v>0</v>
      </c>
      <c r="BQ35" s="25"/>
      <c r="BR35" s="26"/>
      <c r="BS35" s="81" t="n">
        <f aca="false">BR35-BQ35</f>
        <v>0</v>
      </c>
      <c r="BT35" s="25"/>
      <c r="BU35" s="26"/>
      <c r="BV35" s="81" t="n">
        <f aca="false">BU35-BT35</f>
        <v>0</v>
      </c>
      <c r="BW35" s="25"/>
      <c r="BX35" s="26"/>
      <c r="BY35" s="81" t="n">
        <f aca="false">BX35-BW35</f>
        <v>0</v>
      </c>
      <c r="BZ35" s="25"/>
      <c r="CA35" s="26"/>
      <c r="CB35" s="81" t="n">
        <f aca="false">CA35-BZ35</f>
        <v>0</v>
      </c>
      <c r="CC35" s="25"/>
      <c r="CD35" s="26"/>
      <c r="CE35" s="81" t="n">
        <f aca="false">CD35-CC35</f>
        <v>0</v>
      </c>
      <c r="CF35" s="25"/>
      <c r="CG35" s="26"/>
      <c r="CH35" s="81" t="n">
        <f aca="false">CG35-CF35</f>
        <v>0</v>
      </c>
      <c r="CI35" s="25"/>
      <c r="CJ35" s="26"/>
      <c r="CK35" s="81" t="n">
        <f aca="false">CJ35-CI35</f>
        <v>0</v>
      </c>
      <c r="CL35" s="25"/>
      <c r="CM35" s="26"/>
      <c r="CN35" s="81" t="n">
        <f aca="false">CM35-CL35</f>
        <v>0</v>
      </c>
      <c r="CO35" s="25"/>
      <c r="CP35" s="26"/>
      <c r="CQ35" s="81" t="n">
        <f aca="false">CP35-CO35</f>
        <v>0</v>
      </c>
      <c r="CR35" s="25"/>
      <c r="CS35" s="26"/>
      <c r="CT35" s="81" t="n">
        <f aca="false">CS35-CR35</f>
        <v>0</v>
      </c>
      <c r="CU35" s="25"/>
      <c r="CV35" s="26"/>
      <c r="CW35" s="81" t="n">
        <f aca="false">CV35-CU35</f>
        <v>0</v>
      </c>
      <c r="CX35" s="25"/>
      <c r="CY35" s="26"/>
      <c r="CZ35" s="81" t="n">
        <f aca="false">CY35-CX35</f>
        <v>0</v>
      </c>
      <c r="DA35" s="25"/>
      <c r="DB35" s="26"/>
      <c r="DC35" s="81" t="n">
        <f aca="false">DB35-DA35</f>
        <v>0</v>
      </c>
      <c r="DD35" s="25"/>
      <c r="DE35" s="26"/>
      <c r="DF35" s="81" t="n">
        <f aca="false">DE35-DD35</f>
        <v>0</v>
      </c>
      <c r="DG35" s="25"/>
      <c r="DH35" s="26"/>
      <c r="DI35" s="81" t="n">
        <f aca="false">DH35-DG35</f>
        <v>0</v>
      </c>
      <c r="DJ35" s="25"/>
      <c r="DK35" s="26"/>
      <c r="DL35" s="81" t="n">
        <f aca="false">DK35-DJ35</f>
        <v>0</v>
      </c>
      <c r="DM35" s="25"/>
      <c r="DN35" s="26"/>
      <c r="DO35" s="81" t="n">
        <f aca="false">DN35-DM35</f>
        <v>0</v>
      </c>
      <c r="DP35" s="25"/>
      <c r="DQ35" s="26"/>
      <c r="DR35" s="81" t="n">
        <f aca="false">DQ35-DP35</f>
        <v>0</v>
      </c>
      <c r="DS35" s="81" t="n">
        <f aca="false">+C35+F35+I35+L35+O35+R35+U35+X35+AA35+AD35+AG35+AJ35+AM35+AP35+AS35+AV35+AY35+BB35+BE35+BH35+BK35+BN35+BQ35+BT35+BW35+BZ35+CC35+CF35+CI35+CL35+CO35+CR35+CU35+CX35+DA35+DD35+DG35+DJ35+DM35+DP35</f>
        <v>325000</v>
      </c>
      <c r="DT35" s="81" t="n">
        <f aca="false">+D35+G35+J35+M35+P35+S35+V35+Y35+AB35+AE35+AH35+AK35+AN35+AQ35+AT35+AW35+AZ35+BC35+BF35+BI35+BL35+BO35+BR35+BU35+BX35+CA35+CD35+CG35+CJ35+CM35+CP35+CS35+CV35+CY35+DB35+DE35+DH35+DK35+DN35+DQ35</f>
        <v>325000</v>
      </c>
      <c r="DU35" s="81" t="n">
        <f aca="false">DT35-DS35</f>
        <v>0</v>
      </c>
      <c r="DV35" s="26" t="n">
        <f aca="false">+DV34+DU35</f>
        <v>-429398</v>
      </c>
      <c r="DW35" s="87"/>
      <c r="DX35" s="81" t="n">
        <f aca="false">+DS35-AV35</f>
        <v>35000</v>
      </c>
      <c r="DY35" s="81" t="n">
        <f aca="false">+DT35-AW35</f>
        <v>35000</v>
      </c>
      <c r="DZ35" s="26" t="n">
        <f aca="false">+DY35-DX35</f>
        <v>0</v>
      </c>
      <c r="EA35" s="26" t="n">
        <f aca="false">+EA34+DZ35</f>
        <v>-42990</v>
      </c>
      <c r="EB35" s="87"/>
      <c r="EC35" s="26" t="n">
        <f aca="false">+AX35</f>
        <v>0</v>
      </c>
      <c r="ED35" s="26" t="n">
        <f aca="false">+EC35</f>
        <v>0</v>
      </c>
      <c r="EE35" s="87"/>
      <c r="EF35" s="87"/>
      <c r="EG35" s="87"/>
      <c r="EH35" s="87"/>
      <c r="EI35" s="87"/>
      <c r="EJ35" s="87"/>
      <c r="EK35" s="87"/>
    </row>
    <row r="36" customFormat="false" ht="12.75" hidden="false" customHeight="false" outlineLevel="0" collapsed="false">
      <c r="A36" s="80" t="n">
        <f aca="false">+BaseloadMarkets!A36</f>
        <v>36738</v>
      </c>
      <c r="B36" s="80" t="str">
        <f aca="false">+BaseloadMarkets!B36</f>
        <v>Mon</v>
      </c>
      <c r="C36" s="25" t="n">
        <v>5000</v>
      </c>
      <c r="D36" s="26" t="n">
        <v>5000</v>
      </c>
      <c r="E36" s="81" t="n">
        <f aca="false">D36-C36</f>
        <v>0</v>
      </c>
      <c r="F36" s="25" t="n">
        <v>10000</v>
      </c>
      <c r="G36" s="26" t="n">
        <v>10000</v>
      </c>
      <c r="H36" s="81" t="n">
        <f aca="false">G36-F36</f>
        <v>0</v>
      </c>
      <c r="I36" s="25" t="n">
        <f aca="false">10000+10000</f>
        <v>20000</v>
      </c>
      <c r="J36" s="25" t="n">
        <f aca="false">10000+10000</f>
        <v>20000</v>
      </c>
      <c r="K36" s="81" t="n">
        <f aca="false">J36-I36</f>
        <v>0</v>
      </c>
      <c r="L36" s="25"/>
      <c r="M36" s="26"/>
      <c r="N36" s="81" t="n">
        <f aca="false">M36-L36</f>
        <v>0</v>
      </c>
      <c r="O36" s="25"/>
      <c r="P36" s="26"/>
      <c r="Q36" s="81" t="n">
        <f aca="false">P36-O36</f>
        <v>0</v>
      </c>
      <c r="R36" s="25"/>
      <c r="S36" s="26"/>
      <c r="T36" s="81" t="n">
        <f aca="false">S36-R36</f>
        <v>0</v>
      </c>
      <c r="U36" s="25"/>
      <c r="V36" s="26"/>
      <c r="W36" s="81" t="n">
        <f aca="false">V36-U36</f>
        <v>0</v>
      </c>
      <c r="X36" s="25"/>
      <c r="Y36" s="26"/>
      <c r="Z36" s="81" t="n">
        <f aca="false">Y36-X36</f>
        <v>0</v>
      </c>
      <c r="AA36" s="25"/>
      <c r="AB36" s="26"/>
      <c r="AC36" s="81" t="n">
        <f aca="false">AB36-AA36</f>
        <v>0</v>
      </c>
      <c r="AD36" s="25"/>
      <c r="AE36" s="26"/>
      <c r="AF36" s="81" t="n">
        <f aca="false">AE36-AD36</f>
        <v>0</v>
      </c>
      <c r="AG36" s="25"/>
      <c r="AH36" s="26"/>
      <c r="AI36" s="81" t="n">
        <f aca="false">AH36-AG36</f>
        <v>0</v>
      </c>
      <c r="AJ36" s="25"/>
      <c r="AK36" s="26"/>
      <c r="AL36" s="81" t="n">
        <f aca="false">AK36-AJ36</f>
        <v>0</v>
      </c>
      <c r="AM36" s="25"/>
      <c r="AN36" s="26"/>
      <c r="AO36" s="81" t="n">
        <f aca="false">AN36-AM36</f>
        <v>0</v>
      </c>
      <c r="AP36" s="25"/>
      <c r="AQ36" s="26"/>
      <c r="AR36" s="81" t="n">
        <f aca="false">AQ36-AP36</f>
        <v>0</v>
      </c>
      <c r="AS36" s="25"/>
      <c r="AT36" s="26"/>
      <c r="AU36" s="81" t="n">
        <f aca="false">AT36-AS36</f>
        <v>0</v>
      </c>
      <c r="AV36" s="82" t="n">
        <v>290000</v>
      </c>
      <c r="AW36" s="83" t="n">
        <v>290000</v>
      </c>
      <c r="AX36" s="81" t="n">
        <f aca="false">AW36-AV36</f>
        <v>0</v>
      </c>
      <c r="AY36" s="25"/>
      <c r="AZ36" s="26"/>
      <c r="BA36" s="81" t="n">
        <f aca="false">AZ36-AY36</f>
        <v>0</v>
      </c>
      <c r="BB36" s="25"/>
      <c r="BC36" s="26"/>
      <c r="BD36" s="81" t="n">
        <f aca="false">BC36-BB36</f>
        <v>0</v>
      </c>
      <c r="BE36" s="25"/>
      <c r="BF36" s="26"/>
      <c r="BG36" s="81" t="n">
        <f aca="false">BF36-BE36</f>
        <v>0</v>
      </c>
      <c r="BH36" s="25"/>
      <c r="BI36" s="26"/>
      <c r="BJ36" s="81" t="n">
        <f aca="false">BI36-BH36</f>
        <v>0</v>
      </c>
      <c r="BK36" s="25"/>
      <c r="BL36" s="26"/>
      <c r="BM36" s="81" t="n">
        <f aca="false">BL36-BK36</f>
        <v>0</v>
      </c>
      <c r="BN36" s="25"/>
      <c r="BO36" s="26"/>
      <c r="BP36" s="81" t="n">
        <f aca="false">BO36-BN36</f>
        <v>0</v>
      </c>
      <c r="BQ36" s="25"/>
      <c r="BR36" s="26"/>
      <c r="BS36" s="81" t="n">
        <f aca="false">BR36-BQ36</f>
        <v>0</v>
      </c>
      <c r="BT36" s="25"/>
      <c r="BU36" s="26"/>
      <c r="BV36" s="81" t="n">
        <f aca="false">BU36-BT36</f>
        <v>0</v>
      </c>
      <c r="BW36" s="25"/>
      <c r="BX36" s="26"/>
      <c r="BY36" s="81" t="n">
        <f aca="false">BX36-BW36</f>
        <v>0</v>
      </c>
      <c r="BZ36" s="25"/>
      <c r="CA36" s="26"/>
      <c r="CB36" s="81" t="n">
        <f aca="false">CA36-BZ36</f>
        <v>0</v>
      </c>
      <c r="CC36" s="25"/>
      <c r="CD36" s="26"/>
      <c r="CE36" s="81" t="n">
        <f aca="false">CD36-CC36</f>
        <v>0</v>
      </c>
      <c r="CF36" s="25"/>
      <c r="CG36" s="26"/>
      <c r="CH36" s="81" t="n">
        <f aca="false">CG36-CF36</f>
        <v>0</v>
      </c>
      <c r="CI36" s="25"/>
      <c r="CJ36" s="26"/>
      <c r="CK36" s="81" t="n">
        <f aca="false">CJ36-CI36</f>
        <v>0</v>
      </c>
      <c r="CL36" s="25"/>
      <c r="CM36" s="26"/>
      <c r="CN36" s="81" t="n">
        <f aca="false">CM36-CL36</f>
        <v>0</v>
      </c>
      <c r="CO36" s="25"/>
      <c r="CP36" s="26"/>
      <c r="CQ36" s="81" t="n">
        <f aca="false">CP36-CO36</f>
        <v>0</v>
      </c>
      <c r="CR36" s="25"/>
      <c r="CS36" s="26"/>
      <c r="CT36" s="81" t="n">
        <f aca="false">CS36-CR36</f>
        <v>0</v>
      </c>
      <c r="CU36" s="25"/>
      <c r="CV36" s="26"/>
      <c r="CW36" s="81" t="n">
        <f aca="false">CV36-CU36</f>
        <v>0</v>
      </c>
      <c r="CX36" s="25"/>
      <c r="CY36" s="26"/>
      <c r="CZ36" s="81" t="n">
        <f aca="false">CY36-CX36</f>
        <v>0</v>
      </c>
      <c r="DA36" s="25"/>
      <c r="DB36" s="26"/>
      <c r="DC36" s="81" t="n">
        <f aca="false">DB36-DA36</f>
        <v>0</v>
      </c>
      <c r="DD36" s="25"/>
      <c r="DE36" s="26"/>
      <c r="DF36" s="81" t="n">
        <f aca="false">DE36-DD36</f>
        <v>0</v>
      </c>
      <c r="DG36" s="25"/>
      <c r="DH36" s="26"/>
      <c r="DI36" s="81" t="n">
        <f aca="false">DH36-DG36</f>
        <v>0</v>
      </c>
      <c r="DJ36" s="25"/>
      <c r="DK36" s="26"/>
      <c r="DL36" s="81" t="n">
        <f aca="false">DK36-DJ36</f>
        <v>0</v>
      </c>
      <c r="DM36" s="25"/>
      <c r="DN36" s="26"/>
      <c r="DO36" s="81" t="n">
        <f aca="false">DN36-DM36</f>
        <v>0</v>
      </c>
      <c r="DP36" s="25"/>
      <c r="DQ36" s="26"/>
      <c r="DR36" s="81" t="n">
        <f aca="false">DQ36-DP36</f>
        <v>0</v>
      </c>
      <c r="DS36" s="81" t="n">
        <f aca="false">+C36+F36+I36+L36+O36+R36+U36+X36+AA36+AD36+AG36+AJ36+AM36+AP36+AS36+AV36+AY36+BB36+BE36+BH36+BK36+BN36+BQ36+BT36+BW36+BZ36+CC36+CF36+CI36+CL36+CO36+CR36+CU36+CX36+DA36+DD36+DG36+DJ36+DM36+DP36</f>
        <v>325000</v>
      </c>
      <c r="DT36" s="81" t="n">
        <f aca="false">+D36+G36+J36+M36+P36+S36+V36+Y36+AB36+AE36+AH36+AK36+AN36+AQ36+AT36+AW36+AZ36+BC36+BF36+BI36+BL36+BO36+BR36+BU36+BX36+CA36+CD36+CG36+CJ36+CM36+CP36+CS36+CV36+CY36+DB36+DE36+DH36+DK36+DN36+DQ36</f>
        <v>325000</v>
      </c>
      <c r="DU36" s="81" t="n">
        <f aca="false">DT36-DS36</f>
        <v>0</v>
      </c>
      <c r="DV36" s="26" t="n">
        <f aca="false">+DV35+DU36</f>
        <v>-429398</v>
      </c>
      <c r="DW36" s="87"/>
      <c r="DX36" s="81" t="n">
        <f aca="false">+DS36-AV36</f>
        <v>35000</v>
      </c>
      <c r="DY36" s="81" t="n">
        <f aca="false">+DT36-AW36</f>
        <v>35000</v>
      </c>
      <c r="DZ36" s="26" t="n">
        <f aca="false">+DY36-DX36</f>
        <v>0</v>
      </c>
      <c r="EA36" s="26" t="n">
        <f aca="false">+EA35+DZ36</f>
        <v>-42990</v>
      </c>
      <c r="EB36" s="87"/>
      <c r="EC36" s="26" t="n">
        <f aca="false">+AX36</f>
        <v>0</v>
      </c>
      <c r="ED36" s="26" t="n">
        <f aca="false">+EC36</f>
        <v>0</v>
      </c>
      <c r="EE36" s="87"/>
      <c r="EF36" s="87"/>
      <c r="EG36" s="87"/>
      <c r="EH36" s="87"/>
      <c r="EI36" s="87"/>
      <c r="EJ36" s="87"/>
      <c r="EK36" s="87"/>
    </row>
    <row r="37" customFormat="false" ht="12.75" hidden="false" customHeight="false" outlineLevel="0" collapsed="false">
      <c r="A37" s="88" t="s">
        <v>62</v>
      </c>
      <c r="C37" s="32" t="n">
        <f aca="false">SUM(C6:C36)</f>
        <v>155000</v>
      </c>
      <c r="D37" s="32" t="n">
        <f aca="false">SUM(D6:D36)</f>
        <v>155000</v>
      </c>
      <c r="E37" s="32" t="n">
        <f aca="false">SUM(E6:E36)</f>
        <v>0</v>
      </c>
      <c r="F37" s="32" t="n">
        <f aca="false">SUM(F6:F36)</f>
        <v>310000</v>
      </c>
      <c r="G37" s="32" t="n">
        <f aca="false">SUM(G6:G36)</f>
        <v>290923</v>
      </c>
      <c r="H37" s="32" t="n">
        <f aca="false">SUM(H6:H36)</f>
        <v>-19077</v>
      </c>
      <c r="I37" s="32" t="n">
        <f aca="false">SUM(I6:I36)</f>
        <v>620000</v>
      </c>
      <c r="J37" s="32" t="n">
        <f aca="false">SUM(J6:J36)</f>
        <v>596087</v>
      </c>
      <c r="K37" s="89" t="n">
        <f aca="false">SUM(K6:K36)</f>
        <v>-23913</v>
      </c>
      <c r="L37" s="32" t="n">
        <f aca="false">SUM(L6:L36)</f>
        <v>0</v>
      </c>
      <c r="M37" s="32" t="n">
        <f aca="false">SUM(M6:M36)</f>
        <v>0</v>
      </c>
      <c r="N37" s="89" t="n">
        <f aca="false">SUM(N6:N36)</f>
        <v>0</v>
      </c>
      <c r="O37" s="32" t="n">
        <f aca="false">SUM(O6:O36)</f>
        <v>0</v>
      </c>
      <c r="P37" s="32" t="n">
        <f aca="false">SUM(P6:P36)</f>
        <v>0</v>
      </c>
      <c r="Q37" s="89" t="n">
        <f aca="false">SUM(Q6:Q36)</f>
        <v>0</v>
      </c>
      <c r="R37" s="32" t="n">
        <f aca="false">SUM(R6:R36)</f>
        <v>0</v>
      </c>
      <c r="S37" s="32" t="n">
        <f aca="false">SUM(S6:S36)</f>
        <v>0</v>
      </c>
      <c r="T37" s="89" t="n">
        <f aca="false">SUM(T6:T36)</f>
        <v>0</v>
      </c>
      <c r="U37" s="32" t="n">
        <f aca="false">SUM(U6:U36)</f>
        <v>0</v>
      </c>
      <c r="V37" s="32" t="n">
        <f aca="false">SUM(V6:V36)</f>
        <v>0</v>
      </c>
      <c r="W37" s="89" t="n">
        <f aca="false">SUM(W6:W36)</f>
        <v>0</v>
      </c>
      <c r="X37" s="32" t="n">
        <f aca="false">SUM(X6:X36)</f>
        <v>0</v>
      </c>
      <c r="Y37" s="32" t="n">
        <f aca="false">SUM(Y6:Y36)</f>
        <v>0</v>
      </c>
      <c r="Z37" s="89" t="n">
        <f aca="false">SUM(Z6:Z36)</f>
        <v>0</v>
      </c>
      <c r="AA37" s="32" t="n">
        <f aca="false">SUM(AA6:AA36)</f>
        <v>0</v>
      </c>
      <c r="AB37" s="32" t="n">
        <f aca="false">SUM(AB6:AB36)</f>
        <v>0</v>
      </c>
      <c r="AC37" s="89" t="n">
        <f aca="false">SUM(AC6:AC36)</f>
        <v>0</v>
      </c>
      <c r="AD37" s="32" t="n">
        <f aca="false">SUM(AD6:AD36)</f>
        <v>0</v>
      </c>
      <c r="AE37" s="32" t="n">
        <f aca="false">SUM(AE6:AE36)</f>
        <v>0</v>
      </c>
      <c r="AF37" s="89" t="n">
        <f aca="false">SUM(AF6:AF36)</f>
        <v>0</v>
      </c>
      <c r="AG37" s="32" t="n">
        <f aca="false">SUM(AG6:AG36)</f>
        <v>0</v>
      </c>
      <c r="AH37" s="32" t="n">
        <f aca="false">SUM(AH6:AH36)</f>
        <v>0</v>
      </c>
      <c r="AI37" s="89" t="n">
        <f aca="false">SUM(AI6:AI36)</f>
        <v>0</v>
      </c>
      <c r="AJ37" s="32" t="n">
        <f aca="false">SUM(AJ6:AJ36)</f>
        <v>0</v>
      </c>
      <c r="AK37" s="32" t="n">
        <f aca="false">SUM(AK6:AK36)</f>
        <v>0</v>
      </c>
      <c r="AL37" s="89" t="n">
        <f aca="false">SUM(AL6:AL36)</f>
        <v>0</v>
      </c>
      <c r="AM37" s="32" t="n">
        <f aca="false">SUM(AM6:AM36)</f>
        <v>0</v>
      </c>
      <c r="AN37" s="32" t="n">
        <f aca="false">SUM(AN6:AN36)</f>
        <v>0</v>
      </c>
      <c r="AO37" s="89" t="n">
        <f aca="false">SUM(AO6:AO36)</f>
        <v>0</v>
      </c>
      <c r="AP37" s="32" t="n">
        <f aca="false">SUM(AP6:AP36)</f>
        <v>0</v>
      </c>
      <c r="AQ37" s="32" t="n">
        <f aca="false">SUM(AQ6:AQ36)</f>
        <v>0</v>
      </c>
      <c r="AR37" s="89" t="n">
        <f aca="false">SUM(AR6:AR36)</f>
        <v>0</v>
      </c>
      <c r="AS37" s="32" t="n">
        <f aca="false">SUM(AS6:AS36)</f>
        <v>0</v>
      </c>
      <c r="AT37" s="32" t="n">
        <f aca="false">SUM(AT6:AT36)</f>
        <v>0</v>
      </c>
      <c r="AU37" s="89" t="n">
        <f aca="false">SUM(AU6:AU36)</f>
        <v>0</v>
      </c>
      <c r="AV37" s="90" t="n">
        <f aca="false">SUM(AV6:AV36)</f>
        <v>7816836</v>
      </c>
      <c r="AW37" s="90" t="n">
        <f aca="false">SUM(AW6:AW36)</f>
        <v>7430428</v>
      </c>
      <c r="AX37" s="89" t="n">
        <f aca="false">SUM(AX6:AX36)</f>
        <v>-386408</v>
      </c>
      <c r="AY37" s="32" t="n">
        <f aca="false">SUM(AY6:AY36)</f>
        <v>0</v>
      </c>
      <c r="AZ37" s="32" t="n">
        <f aca="false">SUM(AZ6:AZ36)</f>
        <v>0</v>
      </c>
      <c r="BA37" s="89" t="n">
        <f aca="false">SUM(BA6:BA36)</f>
        <v>0</v>
      </c>
      <c r="BB37" s="32" t="n">
        <f aca="false">SUM(BB6:BB36)</f>
        <v>0</v>
      </c>
      <c r="BC37" s="32" t="n">
        <f aca="false">SUM(BC6:BC36)</f>
        <v>0</v>
      </c>
      <c r="BD37" s="89" t="n">
        <f aca="false">SUM(BD6:BD36)</f>
        <v>0</v>
      </c>
      <c r="BE37" s="32" t="n">
        <f aca="false">SUM(BE6:BE36)</f>
        <v>0</v>
      </c>
      <c r="BF37" s="32" t="n">
        <f aca="false">SUM(BF6:BF36)</f>
        <v>0</v>
      </c>
      <c r="BG37" s="32" t="n">
        <f aca="false">SUM(BG6:BG36)</f>
        <v>0</v>
      </c>
      <c r="BH37" s="32" t="n">
        <f aca="false">SUM(BH6:BH36)</f>
        <v>0</v>
      </c>
      <c r="BI37" s="32" t="n">
        <f aca="false">SUM(BI6:BI36)</f>
        <v>0</v>
      </c>
      <c r="BJ37" s="89" t="n">
        <f aca="false">SUM(BJ6:BJ36)</f>
        <v>0</v>
      </c>
      <c r="BK37" s="32" t="n">
        <f aca="false">SUM(BK6:BK36)</f>
        <v>0</v>
      </c>
      <c r="BL37" s="32" t="n">
        <f aca="false">SUM(BL6:BL36)</f>
        <v>0</v>
      </c>
      <c r="BM37" s="89" t="n">
        <f aca="false">SUM(BM6:BM36)</f>
        <v>0</v>
      </c>
      <c r="BN37" s="32" t="n">
        <f aca="false">SUM(BN6:BN36)</f>
        <v>0</v>
      </c>
      <c r="BO37" s="32" t="n">
        <f aca="false">SUM(BO6:BO36)</f>
        <v>0</v>
      </c>
      <c r="BP37" s="89" t="n">
        <f aca="false">SUM(BP6:BP36)</f>
        <v>0</v>
      </c>
      <c r="BQ37" s="32" t="n">
        <f aca="false">SUM(BQ6:BQ36)</f>
        <v>0</v>
      </c>
      <c r="BR37" s="32" t="n">
        <f aca="false">SUM(BR6:BR36)</f>
        <v>0</v>
      </c>
      <c r="BS37" s="89" t="n">
        <f aca="false">SUM(BS6:BS36)</f>
        <v>0</v>
      </c>
      <c r="BT37" s="32" t="n">
        <f aca="false">SUM(BT6:BT36)</f>
        <v>0</v>
      </c>
      <c r="BU37" s="32" t="n">
        <f aca="false">SUM(BU6:BU36)</f>
        <v>0</v>
      </c>
      <c r="BV37" s="89" t="n">
        <f aca="false">SUM(BV6:BV36)</f>
        <v>0</v>
      </c>
      <c r="BW37" s="32" t="n">
        <f aca="false">SUM(BW6:BW36)</f>
        <v>0</v>
      </c>
      <c r="BX37" s="32" t="n">
        <f aca="false">SUM(BX6:BX36)</f>
        <v>0</v>
      </c>
      <c r="BY37" s="89" t="n">
        <f aca="false">SUM(BY6:BY36)</f>
        <v>0</v>
      </c>
      <c r="BZ37" s="32" t="n">
        <f aca="false">SUM(BZ6:BZ36)</f>
        <v>0</v>
      </c>
      <c r="CA37" s="32" t="n">
        <f aca="false">SUM(CA6:CA36)</f>
        <v>0</v>
      </c>
      <c r="CB37" s="89" t="n">
        <f aca="false">SUM(CB6:CB36)</f>
        <v>0</v>
      </c>
      <c r="CC37" s="32" t="n">
        <f aca="false">SUM(CC6:CC36)</f>
        <v>0</v>
      </c>
      <c r="CD37" s="32" t="n">
        <f aca="false">SUM(CD6:CD36)</f>
        <v>0</v>
      </c>
      <c r="CE37" s="89" t="n">
        <f aca="false">SUM(CE6:CE36)</f>
        <v>0</v>
      </c>
      <c r="CF37" s="32" t="n">
        <f aca="false">SUM(CF6:CF36)</f>
        <v>0</v>
      </c>
      <c r="CG37" s="32" t="n">
        <f aca="false">SUM(CG6:CG36)</f>
        <v>0</v>
      </c>
      <c r="CH37" s="89" t="n">
        <f aca="false">SUM(CH6:CH36)</f>
        <v>0</v>
      </c>
      <c r="CI37" s="32" t="n">
        <f aca="false">SUM(CI6:CI36)</f>
        <v>0</v>
      </c>
      <c r="CJ37" s="32" t="n">
        <f aca="false">SUM(CJ6:CJ36)</f>
        <v>0</v>
      </c>
      <c r="CK37" s="89" t="n">
        <f aca="false">SUM(CK6:CK36)</f>
        <v>0</v>
      </c>
      <c r="CL37" s="32" t="n">
        <f aca="false">SUM(CL6:CL36)</f>
        <v>0</v>
      </c>
      <c r="CM37" s="32" t="n">
        <f aca="false">SUM(CM6:CM36)</f>
        <v>0</v>
      </c>
      <c r="CN37" s="89" t="n">
        <f aca="false">SUM(CN6:CN36)</f>
        <v>0</v>
      </c>
      <c r="CO37" s="32" t="n">
        <f aca="false">SUM(CO6:CO36)</f>
        <v>0</v>
      </c>
      <c r="CP37" s="32" t="n">
        <f aca="false">SUM(CP6:CP36)</f>
        <v>0</v>
      </c>
      <c r="CQ37" s="89" t="n">
        <f aca="false">SUM(CQ6:CQ36)</f>
        <v>0</v>
      </c>
      <c r="CR37" s="32" t="n">
        <f aca="false">SUM(CR6:CR36)</f>
        <v>0</v>
      </c>
      <c r="CS37" s="32" t="n">
        <f aca="false">SUM(CS6:CS36)</f>
        <v>0</v>
      </c>
      <c r="CT37" s="89" t="n">
        <f aca="false">SUM(CT6:CT36)</f>
        <v>0</v>
      </c>
      <c r="CU37" s="32" t="n">
        <f aca="false">SUM(CU6:CU36)</f>
        <v>0</v>
      </c>
      <c r="CV37" s="32" t="n">
        <f aca="false">SUM(CV6:CV36)</f>
        <v>0</v>
      </c>
      <c r="CW37" s="89" t="n">
        <f aca="false">SUM(CW6:CW36)</f>
        <v>0</v>
      </c>
      <c r="CX37" s="32" t="n">
        <f aca="false">SUM(CX6:CX36)</f>
        <v>0</v>
      </c>
      <c r="CY37" s="32" t="n">
        <f aca="false">SUM(CY6:CY36)</f>
        <v>0</v>
      </c>
      <c r="CZ37" s="89" t="n">
        <f aca="false">SUM(CZ6:CZ36)</f>
        <v>0</v>
      </c>
      <c r="DA37" s="32" t="n">
        <f aca="false">SUM(DA6:DA36)</f>
        <v>0</v>
      </c>
      <c r="DB37" s="32" t="n">
        <f aca="false">SUM(DB6:DB36)</f>
        <v>0</v>
      </c>
      <c r="DC37" s="89" t="n">
        <f aca="false">SUM(DC6:DC36)</f>
        <v>0</v>
      </c>
      <c r="DD37" s="32" t="n">
        <f aca="false">SUM(DD6:DD36)</f>
        <v>0</v>
      </c>
      <c r="DE37" s="32" t="n">
        <f aca="false">SUM(DE6:DE36)</f>
        <v>0</v>
      </c>
      <c r="DF37" s="89" t="n">
        <f aca="false">SUM(DF6:DF36)</f>
        <v>0</v>
      </c>
      <c r="DG37" s="32" t="n">
        <f aca="false">SUM(DG6:DG36)</f>
        <v>0</v>
      </c>
      <c r="DH37" s="32" t="n">
        <f aca="false">SUM(DH6:DH36)</f>
        <v>0</v>
      </c>
      <c r="DI37" s="89" t="n">
        <f aca="false">SUM(DI6:DI36)</f>
        <v>0</v>
      </c>
      <c r="DJ37" s="32" t="n">
        <f aca="false">SUM(DJ6:DJ36)</f>
        <v>0</v>
      </c>
      <c r="DK37" s="32" t="n">
        <f aca="false">SUM(DK6:DK36)</f>
        <v>0</v>
      </c>
      <c r="DL37" s="89" t="n">
        <f aca="false">SUM(DL6:DL36)</f>
        <v>0</v>
      </c>
      <c r="DM37" s="32" t="n">
        <f aca="false">SUM(DM6:DM36)</f>
        <v>0</v>
      </c>
      <c r="DN37" s="32" t="n">
        <f aca="false">SUM(DN6:DN36)</f>
        <v>0</v>
      </c>
      <c r="DO37" s="89" t="n">
        <f aca="false">SUM(DO6:DO36)</f>
        <v>0</v>
      </c>
      <c r="DP37" s="32" t="n">
        <f aca="false">SUM(DP6:DP36)</f>
        <v>0</v>
      </c>
      <c r="DQ37" s="32" t="n">
        <f aca="false">SUM(DQ6:DQ36)</f>
        <v>0</v>
      </c>
      <c r="DR37" s="89" t="n">
        <f aca="false">SUM(DR6:DR36)</f>
        <v>0</v>
      </c>
      <c r="DS37" s="91" t="n">
        <f aca="false">SUM(DS6:DS36)</f>
        <v>8901836</v>
      </c>
      <c r="DT37" s="89" t="n">
        <f aca="false">SUM(DT6:DT36)</f>
        <v>8472438</v>
      </c>
      <c r="DU37" s="89" t="n">
        <f aca="false">SUM(DU6:DU36)</f>
        <v>-429398</v>
      </c>
      <c r="DV37" s="32"/>
      <c r="DW37" s="32"/>
      <c r="DX37" s="32"/>
      <c r="DY37" s="9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93"/>
      <c r="EM37" s="93"/>
      <c r="EN37" s="93"/>
      <c r="EO37" s="93"/>
      <c r="EP37" s="93"/>
      <c r="EQ37" s="93"/>
      <c r="ER37" s="93"/>
      <c r="ES37" s="93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5"/>
      <c r="FQ37" s="95"/>
      <c r="FR37" s="95"/>
      <c r="FS37" s="95"/>
      <c r="FT37" s="95"/>
      <c r="FU37" s="95"/>
      <c r="FV37" s="95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12.75" hidden="false" customHeight="false" outlineLevel="0" collapsed="false">
      <c r="A38" s="97"/>
      <c r="D38" s="35"/>
      <c r="E38" s="35"/>
      <c r="G38" s="35"/>
      <c r="H38" s="35"/>
      <c r="J38" s="35"/>
      <c r="K38" s="35"/>
      <c r="M38" s="35"/>
      <c r="N38" s="35"/>
      <c r="P38" s="35"/>
      <c r="Q38" s="35"/>
      <c r="S38" s="35"/>
      <c r="T38" s="35"/>
      <c r="V38" s="35"/>
      <c r="W38" s="35"/>
      <c r="Y38" s="35"/>
      <c r="Z38" s="44"/>
      <c r="AB38" s="35"/>
      <c r="AC38" s="44"/>
      <c r="AE38" s="35"/>
      <c r="AF38" s="44"/>
      <c r="AH38" s="35"/>
      <c r="AI38" s="44"/>
      <c r="AK38" s="35"/>
      <c r="AL38" s="44"/>
      <c r="AN38" s="35"/>
      <c r="AO38" s="44"/>
      <c r="AQ38" s="35"/>
      <c r="AR38" s="44"/>
      <c r="AS38" s="4"/>
      <c r="AT38" s="35"/>
      <c r="AU38" s="44"/>
      <c r="AW38" s="98"/>
      <c r="AX38" s="35"/>
      <c r="AZ38" s="35"/>
      <c r="BA38" s="44"/>
      <c r="BC38" s="35"/>
      <c r="BD38" s="44"/>
      <c r="BF38" s="35"/>
      <c r="BG38" s="35"/>
      <c r="BI38" s="35"/>
      <c r="BJ38" s="35"/>
      <c r="BL38" s="35"/>
      <c r="BM38" s="35"/>
      <c r="BO38" s="35"/>
      <c r="BP38" s="35"/>
      <c r="BR38" s="35"/>
      <c r="BS38" s="35"/>
      <c r="BU38" s="35"/>
      <c r="BV38" s="35"/>
      <c r="BX38" s="35"/>
      <c r="BY38" s="35"/>
      <c r="CA38" s="35"/>
      <c r="CB38" s="35"/>
      <c r="CD38" s="35"/>
      <c r="CE38" s="35"/>
      <c r="CG38" s="35"/>
      <c r="CH38" s="35"/>
      <c r="CJ38" s="35"/>
      <c r="CK38" s="35"/>
      <c r="CM38" s="35"/>
      <c r="CN38" s="35"/>
      <c r="CP38" s="35"/>
      <c r="CQ38" s="35"/>
      <c r="CS38" s="35"/>
      <c r="CT38" s="35"/>
      <c r="CV38" s="35"/>
      <c r="CW38" s="35"/>
      <c r="CY38" s="35"/>
      <c r="CZ38" s="35"/>
      <c r="DB38" s="35"/>
      <c r="DC38" s="35"/>
      <c r="DE38" s="35"/>
      <c r="DF38" s="44"/>
      <c r="DH38" s="35"/>
      <c r="DI38" s="35"/>
      <c r="DK38" s="35"/>
      <c r="DL38" s="44"/>
      <c r="DN38" s="35"/>
      <c r="DO38" s="44"/>
      <c r="DQ38" s="35"/>
      <c r="DR38" s="44"/>
      <c r="DS38" s="44"/>
      <c r="DT38" s="35"/>
      <c r="DU38" s="35"/>
      <c r="DV38" s="35"/>
      <c r="DW38" s="35"/>
      <c r="DX38" s="35"/>
      <c r="DY38" s="99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100"/>
      <c r="EM38" s="100"/>
      <c r="EN38" s="100"/>
      <c r="EO38" s="100"/>
      <c r="EP38" s="100"/>
      <c r="EQ38" s="100"/>
      <c r="ER38" s="100"/>
      <c r="ES38" s="100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2"/>
      <c r="FQ38" s="102"/>
      <c r="FR38" s="102"/>
      <c r="FS38" s="102"/>
      <c r="FT38" s="102"/>
      <c r="FU38" s="102"/>
      <c r="FV38" s="102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</row>
    <row r="39" customFormat="false" ht="12.75" hidden="false" customHeight="false" outlineLevel="0" collapsed="false">
      <c r="A39" s="104" t="n">
        <v>1</v>
      </c>
      <c r="B39" s="42" t="n">
        <f aca="false">1+A39</f>
        <v>2</v>
      </c>
      <c r="C39" s="42" t="n">
        <f aca="false">1+B39</f>
        <v>3</v>
      </c>
      <c r="D39" s="42" t="n">
        <f aca="false">1+C39</f>
        <v>4</v>
      </c>
      <c r="E39" s="42" t="n">
        <f aca="false">1+D39</f>
        <v>5</v>
      </c>
      <c r="F39" s="42" t="n">
        <f aca="false">1+E39</f>
        <v>6</v>
      </c>
      <c r="G39" s="42" t="n">
        <f aca="false">1+F39</f>
        <v>7</v>
      </c>
      <c r="H39" s="42" t="n">
        <f aca="false">1+G39</f>
        <v>8</v>
      </c>
      <c r="I39" s="42" t="n">
        <f aca="false">1+H39</f>
        <v>9</v>
      </c>
      <c r="J39" s="42" t="n">
        <f aca="false">1+I39</f>
        <v>10</v>
      </c>
      <c r="K39" s="42" t="n">
        <f aca="false">1+J39</f>
        <v>11</v>
      </c>
      <c r="L39" s="42" t="n">
        <f aca="false">1+K39</f>
        <v>12</v>
      </c>
      <c r="M39" s="42" t="n">
        <f aca="false">1+L39</f>
        <v>13</v>
      </c>
      <c r="N39" s="42" t="n">
        <f aca="false">1+M39</f>
        <v>14</v>
      </c>
      <c r="O39" s="42" t="n">
        <f aca="false">1+N39</f>
        <v>15</v>
      </c>
      <c r="P39" s="42" t="n">
        <f aca="false">1+O39</f>
        <v>16</v>
      </c>
      <c r="Q39" s="42" t="n">
        <f aca="false">1+P39</f>
        <v>17</v>
      </c>
      <c r="R39" s="42" t="n">
        <f aca="false">1+Q39</f>
        <v>18</v>
      </c>
      <c r="S39" s="42" t="n">
        <f aca="false">1+R39</f>
        <v>19</v>
      </c>
      <c r="T39" s="42" t="n">
        <f aca="false">1+S39</f>
        <v>20</v>
      </c>
      <c r="U39" s="42" t="n">
        <f aca="false">1+T39</f>
        <v>21</v>
      </c>
      <c r="V39" s="42" t="n">
        <f aca="false">1+U39</f>
        <v>22</v>
      </c>
      <c r="W39" s="42" t="n">
        <f aca="false">1+V39</f>
        <v>23</v>
      </c>
      <c r="X39" s="42" t="n">
        <f aca="false">1+W39</f>
        <v>24</v>
      </c>
      <c r="Y39" s="42" t="n">
        <f aca="false">1+X39</f>
        <v>25</v>
      </c>
      <c r="Z39" s="42" t="n">
        <f aca="false">1+Y39</f>
        <v>26</v>
      </c>
      <c r="AA39" s="42" t="n">
        <f aca="false">1+Z39</f>
        <v>27</v>
      </c>
      <c r="AB39" s="42" t="n">
        <f aca="false">1+AA39</f>
        <v>28</v>
      </c>
      <c r="AC39" s="42" t="n">
        <f aca="false">1+AB39</f>
        <v>29</v>
      </c>
      <c r="AD39" s="42" t="n">
        <f aca="false">1+AC39</f>
        <v>30</v>
      </c>
      <c r="AE39" s="42" t="n">
        <f aca="false">1+AD39</f>
        <v>31</v>
      </c>
      <c r="AF39" s="42" t="n">
        <f aca="false">1+AE39</f>
        <v>32</v>
      </c>
      <c r="AG39" s="42" t="n">
        <f aca="false">1+AF39</f>
        <v>33</v>
      </c>
      <c r="AH39" s="42" t="n">
        <f aca="false">1+AG39</f>
        <v>34</v>
      </c>
      <c r="AI39" s="42" t="n">
        <f aca="false">1+AH39</f>
        <v>35</v>
      </c>
      <c r="AJ39" s="42" t="n">
        <f aca="false">1+AI39</f>
        <v>36</v>
      </c>
      <c r="AK39" s="42" t="n">
        <f aca="false">1+AJ39</f>
        <v>37</v>
      </c>
      <c r="AL39" s="42" t="n">
        <f aca="false">1+AK39</f>
        <v>38</v>
      </c>
      <c r="AM39" s="42" t="n">
        <f aca="false">1+AL39</f>
        <v>39</v>
      </c>
      <c r="AN39" s="42" t="n">
        <f aca="false">1+AM39</f>
        <v>40</v>
      </c>
      <c r="AO39" s="42" t="n">
        <f aca="false">1+AN39</f>
        <v>41</v>
      </c>
      <c r="AP39" s="42" t="n">
        <f aca="false">1+AO39</f>
        <v>42</v>
      </c>
      <c r="AQ39" s="42" t="n">
        <f aca="false">1+AP39</f>
        <v>43</v>
      </c>
      <c r="AR39" s="42" t="n">
        <f aca="false">1+AQ39</f>
        <v>44</v>
      </c>
      <c r="AS39" s="42" t="n">
        <f aca="false">1+AR39</f>
        <v>45</v>
      </c>
      <c r="AT39" s="42" t="n">
        <f aca="false">1+AS39</f>
        <v>46</v>
      </c>
      <c r="AU39" s="42" t="n">
        <f aca="false">1+AT39</f>
        <v>47</v>
      </c>
      <c r="AV39" s="105" t="n">
        <f aca="false">1+AU39</f>
        <v>48</v>
      </c>
      <c r="AW39" s="105" t="n">
        <f aca="false">1+AV39</f>
        <v>49</v>
      </c>
      <c r="AX39" s="42" t="n">
        <f aca="false">1+AW39</f>
        <v>50</v>
      </c>
      <c r="AY39" s="42" t="n">
        <f aca="false">1+AX39</f>
        <v>51</v>
      </c>
      <c r="AZ39" s="42" t="n">
        <f aca="false">1+AY39</f>
        <v>52</v>
      </c>
      <c r="BA39" s="42" t="n">
        <f aca="false">1+AZ39</f>
        <v>53</v>
      </c>
      <c r="BB39" s="42" t="n">
        <f aca="false">1+BA39</f>
        <v>54</v>
      </c>
      <c r="BC39" s="42" t="n">
        <f aca="false">1+BB39</f>
        <v>55</v>
      </c>
      <c r="BD39" s="42" t="n">
        <f aca="false">1+BC39</f>
        <v>56</v>
      </c>
      <c r="BE39" s="42" t="n">
        <f aca="false">1+BD39</f>
        <v>57</v>
      </c>
      <c r="BF39" s="42" t="n">
        <f aca="false">1+BE39</f>
        <v>58</v>
      </c>
      <c r="BG39" s="42" t="n">
        <f aca="false">1+BF39</f>
        <v>59</v>
      </c>
      <c r="BH39" s="42" t="n">
        <f aca="false">1+BG39</f>
        <v>60</v>
      </c>
      <c r="BI39" s="42" t="n">
        <f aca="false">1+BH39</f>
        <v>61</v>
      </c>
      <c r="BJ39" s="42" t="n">
        <f aca="false">1+BI39</f>
        <v>62</v>
      </c>
      <c r="BK39" s="42" t="n">
        <f aca="false">1+BJ39</f>
        <v>63</v>
      </c>
      <c r="BL39" s="42" t="n">
        <f aca="false">1+BK39</f>
        <v>64</v>
      </c>
      <c r="BM39" s="42" t="n">
        <f aca="false">1+BL39</f>
        <v>65</v>
      </c>
      <c r="BN39" s="42" t="n">
        <f aca="false">1+BM39</f>
        <v>66</v>
      </c>
      <c r="BO39" s="42" t="n">
        <f aca="false">1+BN39</f>
        <v>67</v>
      </c>
      <c r="BP39" s="42" t="n">
        <f aca="false">1+BO39</f>
        <v>68</v>
      </c>
      <c r="BQ39" s="42" t="n">
        <f aca="false">1+BP39</f>
        <v>69</v>
      </c>
      <c r="BR39" s="42" t="n">
        <f aca="false">1+BQ39</f>
        <v>70</v>
      </c>
      <c r="BS39" s="42" t="n">
        <f aca="false">1+BR39</f>
        <v>71</v>
      </c>
      <c r="BT39" s="42" t="n">
        <f aca="false">1+BS39</f>
        <v>72</v>
      </c>
      <c r="BU39" s="42" t="n">
        <f aca="false">1+BT39</f>
        <v>73</v>
      </c>
      <c r="BV39" s="42" t="n">
        <f aca="false">1+BU39</f>
        <v>74</v>
      </c>
      <c r="BW39" s="42" t="n">
        <f aca="false">1+BV39</f>
        <v>75</v>
      </c>
      <c r="BX39" s="42" t="n">
        <f aca="false">1+BW39</f>
        <v>76</v>
      </c>
      <c r="BY39" s="42" t="n">
        <f aca="false">1+BX39</f>
        <v>77</v>
      </c>
      <c r="BZ39" s="42" t="n">
        <f aca="false">1+BY39</f>
        <v>78</v>
      </c>
      <c r="CA39" s="42" t="n">
        <f aca="false">1+BZ39</f>
        <v>79</v>
      </c>
      <c r="CB39" s="42" t="n">
        <f aca="false">1+CA39</f>
        <v>80</v>
      </c>
      <c r="CC39" s="42" t="n">
        <f aca="false">1+CB39</f>
        <v>81</v>
      </c>
      <c r="CD39" s="42" t="n">
        <f aca="false">1+CC39</f>
        <v>82</v>
      </c>
      <c r="CE39" s="42" t="n">
        <f aca="false">1+CD39</f>
        <v>83</v>
      </c>
      <c r="CF39" s="42" t="n">
        <f aca="false">1+CE39</f>
        <v>84</v>
      </c>
      <c r="CG39" s="42" t="n">
        <f aca="false">1+CF39</f>
        <v>85</v>
      </c>
      <c r="CH39" s="42" t="n">
        <f aca="false">1+CG39</f>
        <v>86</v>
      </c>
      <c r="CI39" s="42" t="n">
        <f aca="false">1+CH39</f>
        <v>87</v>
      </c>
      <c r="CJ39" s="42" t="n">
        <f aca="false">1+CI39</f>
        <v>88</v>
      </c>
      <c r="CK39" s="42" t="n">
        <f aca="false">1+CJ39</f>
        <v>89</v>
      </c>
      <c r="CL39" s="42" t="n">
        <f aca="false">1+CK39</f>
        <v>90</v>
      </c>
      <c r="CM39" s="42" t="n">
        <f aca="false">1+CL39</f>
        <v>91</v>
      </c>
      <c r="CN39" s="42" t="n">
        <f aca="false">1+CM39</f>
        <v>92</v>
      </c>
      <c r="CO39" s="42" t="n">
        <f aca="false">1+CN39</f>
        <v>93</v>
      </c>
      <c r="CP39" s="42" t="n">
        <f aca="false">1+CO39</f>
        <v>94</v>
      </c>
      <c r="CQ39" s="42" t="n">
        <f aca="false">1+CP39</f>
        <v>95</v>
      </c>
      <c r="CR39" s="42" t="n">
        <f aca="false">1+CQ39</f>
        <v>96</v>
      </c>
      <c r="CS39" s="42" t="n">
        <f aca="false">1+CR39</f>
        <v>97</v>
      </c>
      <c r="CT39" s="42" t="n">
        <f aca="false">1+CS39</f>
        <v>98</v>
      </c>
      <c r="CU39" s="42" t="n">
        <f aca="false">1+CT39</f>
        <v>99</v>
      </c>
      <c r="CV39" s="42" t="n">
        <f aca="false">1+CU39</f>
        <v>100</v>
      </c>
      <c r="CW39" s="42" t="n">
        <f aca="false">1+CV39</f>
        <v>101</v>
      </c>
      <c r="CX39" s="42" t="n">
        <f aca="false">1+CW39</f>
        <v>102</v>
      </c>
      <c r="CY39" s="42" t="n">
        <f aca="false">1+CX39</f>
        <v>103</v>
      </c>
      <c r="CZ39" s="42" t="n">
        <f aca="false">1+CY39</f>
        <v>104</v>
      </c>
      <c r="DA39" s="42" t="n">
        <f aca="false">1+CZ39</f>
        <v>105</v>
      </c>
      <c r="DB39" s="42" t="n">
        <f aca="false">1+DA39</f>
        <v>106</v>
      </c>
      <c r="DC39" s="42" t="n">
        <f aca="false">1+DB39</f>
        <v>107</v>
      </c>
      <c r="DD39" s="42" t="n">
        <f aca="false">1+DC39</f>
        <v>108</v>
      </c>
      <c r="DE39" s="42" t="n">
        <f aca="false">1+DD39</f>
        <v>109</v>
      </c>
      <c r="DF39" s="42" t="n">
        <f aca="false">1+DE39</f>
        <v>110</v>
      </c>
      <c r="DG39" s="42" t="n">
        <f aca="false">1+DF39</f>
        <v>111</v>
      </c>
      <c r="DH39" s="42" t="n">
        <f aca="false">1+DG39</f>
        <v>112</v>
      </c>
      <c r="DI39" s="42" t="n">
        <f aca="false">1+DH39</f>
        <v>113</v>
      </c>
      <c r="DJ39" s="42" t="n">
        <f aca="false">1+DI39</f>
        <v>114</v>
      </c>
      <c r="DK39" s="42" t="n">
        <f aca="false">1+DJ39</f>
        <v>115</v>
      </c>
      <c r="DL39" s="42" t="n">
        <f aca="false">1+DK39</f>
        <v>116</v>
      </c>
      <c r="DM39" s="42" t="n">
        <f aca="false">1+DL39</f>
        <v>117</v>
      </c>
      <c r="DN39" s="42" t="n">
        <f aca="false">1+DM39</f>
        <v>118</v>
      </c>
      <c r="DO39" s="42" t="n">
        <f aca="false">1+DN39</f>
        <v>119</v>
      </c>
      <c r="DP39" s="42" t="n">
        <f aca="false">1+DO39</f>
        <v>120</v>
      </c>
      <c r="DQ39" s="42" t="n">
        <f aca="false">1+DP39</f>
        <v>121</v>
      </c>
      <c r="DR39" s="42" t="n">
        <f aca="false">1+DQ39</f>
        <v>122</v>
      </c>
      <c r="DS39" s="42" t="n">
        <f aca="false">1+DR39</f>
        <v>123</v>
      </c>
      <c r="DT39" s="42" t="n">
        <f aca="false">1+DS39</f>
        <v>124</v>
      </c>
      <c r="DU39" s="42" t="n">
        <f aca="false">1+DT39</f>
        <v>125</v>
      </c>
      <c r="DV39" s="42" t="n">
        <f aca="false">1+DU39</f>
        <v>126</v>
      </c>
      <c r="DW39" s="42" t="n">
        <f aca="false">1+DV39</f>
        <v>127</v>
      </c>
      <c r="DX39" s="42" t="n">
        <f aca="false">1+DW39</f>
        <v>128</v>
      </c>
      <c r="DY39" s="42" t="n">
        <f aca="false">1+DX39</f>
        <v>129</v>
      </c>
      <c r="DZ39" s="42" t="n">
        <f aca="false">1+DY39</f>
        <v>130</v>
      </c>
      <c r="EA39" s="42" t="n">
        <f aca="false">1+DZ39</f>
        <v>131</v>
      </c>
      <c r="EB39" s="42" t="n">
        <f aca="false">1+EA39</f>
        <v>132</v>
      </c>
      <c r="EC39" s="42" t="n">
        <f aca="false">1+EB39</f>
        <v>133</v>
      </c>
      <c r="ED39" s="42" t="n">
        <f aca="false">1+EC39</f>
        <v>134</v>
      </c>
      <c r="EE39" s="42" t="n">
        <f aca="false">1+ED39</f>
        <v>135</v>
      </c>
      <c r="EF39" s="42" t="n">
        <f aca="false">1+EE39</f>
        <v>136</v>
      </c>
      <c r="EG39" s="42" t="n">
        <f aca="false">1+EF39</f>
        <v>137</v>
      </c>
      <c r="EH39" s="42" t="n">
        <f aca="false">1+EG39</f>
        <v>138</v>
      </c>
      <c r="EI39" s="42" t="n">
        <f aca="false">1+EH39</f>
        <v>139</v>
      </c>
      <c r="EJ39" s="42" t="n">
        <f aca="false">1+EI39</f>
        <v>140</v>
      </c>
      <c r="EK39" s="42" t="n">
        <f aca="false">1+EJ39</f>
        <v>141</v>
      </c>
      <c r="EL39" s="42" t="n">
        <f aca="false">1+EK39</f>
        <v>142</v>
      </c>
      <c r="EM39" s="42" t="n">
        <f aca="false">1+EL39</f>
        <v>143</v>
      </c>
      <c r="EN39" s="42" t="n">
        <f aca="false">1+EM39</f>
        <v>144</v>
      </c>
      <c r="EO39" s="42" t="n">
        <f aca="false">1+EN39</f>
        <v>145</v>
      </c>
      <c r="EP39" s="42" t="n">
        <f aca="false">1+EO39</f>
        <v>146</v>
      </c>
      <c r="EQ39" s="42" t="n">
        <f aca="false">1+EP39</f>
        <v>147</v>
      </c>
      <c r="ER39" s="42" t="n">
        <f aca="false">1+EQ39</f>
        <v>148</v>
      </c>
      <c r="ES39" s="42" t="n">
        <f aca="false">1+ER39</f>
        <v>149</v>
      </c>
      <c r="ET39" s="42" t="n">
        <f aca="false">1+ES39</f>
        <v>150</v>
      </c>
      <c r="EU39" s="42" t="n">
        <f aca="false">1+ET39</f>
        <v>151</v>
      </c>
      <c r="EV39" s="42" t="n">
        <f aca="false">1+EU39</f>
        <v>152</v>
      </c>
      <c r="EW39" s="42" t="n">
        <f aca="false">1+EV39</f>
        <v>153</v>
      </c>
      <c r="EX39" s="42" t="n">
        <f aca="false">1+EW39</f>
        <v>154</v>
      </c>
      <c r="EY39" s="42" t="n">
        <f aca="false">1+EX39</f>
        <v>155</v>
      </c>
      <c r="EZ39" s="42" t="n">
        <f aca="false">1+EY39</f>
        <v>156</v>
      </c>
      <c r="FA39" s="42" t="n">
        <f aca="false">1+EZ39</f>
        <v>157</v>
      </c>
      <c r="FB39" s="42" t="n">
        <f aca="false">1+FA39</f>
        <v>158</v>
      </c>
      <c r="FC39" s="42" t="n">
        <f aca="false">1+FB39</f>
        <v>159</v>
      </c>
      <c r="FD39" s="42" t="n">
        <f aca="false">1+FC39</f>
        <v>160</v>
      </c>
      <c r="FE39" s="42" t="n">
        <f aca="false">1+FD39</f>
        <v>161</v>
      </c>
      <c r="FF39" s="42" t="n">
        <f aca="false">1+FE39</f>
        <v>162</v>
      </c>
      <c r="FG39" s="42" t="n">
        <f aca="false">1+FF39</f>
        <v>163</v>
      </c>
      <c r="FH39" s="42" t="n">
        <f aca="false">1+FG39</f>
        <v>164</v>
      </c>
      <c r="FI39" s="42" t="n">
        <f aca="false">1+FH39</f>
        <v>165</v>
      </c>
      <c r="FJ39" s="42" t="n">
        <f aca="false">1+FI39</f>
        <v>166</v>
      </c>
      <c r="FK39" s="42" t="n">
        <f aca="false">1+FJ39</f>
        <v>167</v>
      </c>
      <c r="FL39" s="42" t="n">
        <f aca="false">1+FK39</f>
        <v>168</v>
      </c>
      <c r="FM39" s="42" t="n">
        <f aca="false">1+FL39</f>
        <v>169</v>
      </c>
      <c r="FN39" s="42" t="n">
        <f aca="false">1+FM39</f>
        <v>170</v>
      </c>
      <c r="FO39" s="42" t="n">
        <f aca="false">1+FN39</f>
        <v>171</v>
      </c>
      <c r="FP39" s="42" t="n">
        <f aca="false">1+FO39</f>
        <v>172</v>
      </c>
      <c r="FQ39" s="42" t="n">
        <f aca="false">1+FP39</f>
        <v>173</v>
      </c>
      <c r="FR39" s="42" t="n">
        <f aca="false">1+FQ39</f>
        <v>174</v>
      </c>
      <c r="FS39" s="42" t="n">
        <f aca="false">1+FR39</f>
        <v>175</v>
      </c>
      <c r="FT39" s="42" t="n">
        <f aca="false">1+FS39</f>
        <v>176</v>
      </c>
      <c r="FU39" s="42" t="n">
        <f aca="false">1+FT39</f>
        <v>177</v>
      </c>
      <c r="FV39" s="42" t="n">
        <f aca="false">1+FU39</f>
        <v>178</v>
      </c>
      <c r="FW39" s="42" t="n">
        <f aca="false">1+FV39</f>
        <v>179</v>
      </c>
      <c r="FX39" s="42" t="n">
        <f aca="false">1+FW39</f>
        <v>180</v>
      </c>
      <c r="FY39" s="42" t="n">
        <f aca="false">1+FX39</f>
        <v>181</v>
      </c>
      <c r="FZ39" s="42" t="n">
        <f aca="false">1+FY39</f>
        <v>182</v>
      </c>
      <c r="GA39" s="42" t="n">
        <f aca="false">1+FZ39</f>
        <v>183</v>
      </c>
      <c r="GB39" s="42" t="n">
        <f aca="false">1+GA39</f>
        <v>184</v>
      </c>
      <c r="GC39" s="42" t="n">
        <f aca="false">1+GB39</f>
        <v>185</v>
      </c>
      <c r="GD39" s="42" t="n">
        <f aca="false">1+GC39</f>
        <v>186</v>
      </c>
      <c r="GE39" s="42" t="n">
        <f aca="false">1+GD39</f>
        <v>187</v>
      </c>
      <c r="GF39" s="42" t="n">
        <f aca="false">1+GE39</f>
        <v>188</v>
      </c>
      <c r="GG39" s="42" t="n">
        <f aca="false">1+GF39</f>
        <v>189</v>
      </c>
      <c r="GH39" s="42" t="n">
        <f aca="false">1+GG39</f>
        <v>190</v>
      </c>
      <c r="GI39" s="42" t="n">
        <f aca="false">1+GH39</f>
        <v>191</v>
      </c>
      <c r="GJ39" s="42" t="n">
        <f aca="false">1+GI39</f>
        <v>192</v>
      </c>
      <c r="GK39" s="42" t="n">
        <f aca="false">1+GJ39</f>
        <v>193</v>
      </c>
      <c r="GL39" s="42" t="n">
        <f aca="false">1+GK39</f>
        <v>194</v>
      </c>
      <c r="GM39" s="42" t="n">
        <f aca="false">1+GL39</f>
        <v>195</v>
      </c>
      <c r="GN39" s="42" t="n">
        <f aca="false">1+GM39</f>
        <v>196</v>
      </c>
      <c r="GO39" s="42" t="n">
        <f aca="false">1+GN39</f>
        <v>197</v>
      </c>
      <c r="GP39" s="42" t="n">
        <f aca="false">1+GO39</f>
        <v>198</v>
      </c>
      <c r="GQ39" s="42" t="n">
        <f aca="false">1+GP39</f>
        <v>199</v>
      </c>
      <c r="GR39" s="42" t="n">
        <f aca="false">1+GQ39</f>
        <v>200</v>
      </c>
      <c r="GS39" s="42" t="n">
        <f aca="false">1+GR39</f>
        <v>201</v>
      </c>
      <c r="GT39" s="42" t="n">
        <f aca="false">1+GS39</f>
        <v>202</v>
      </c>
      <c r="GU39" s="42" t="n">
        <f aca="false">1+GT39</f>
        <v>203</v>
      </c>
      <c r="GV39" s="42" t="n">
        <f aca="false">1+GU39</f>
        <v>204</v>
      </c>
      <c r="GW39" s="42" t="n">
        <f aca="false">1+GV39</f>
        <v>205</v>
      </c>
      <c r="GX39" s="42" t="n">
        <f aca="false">1+GW39</f>
        <v>206</v>
      </c>
      <c r="GY39" s="42" t="n">
        <f aca="false">1+GX39</f>
        <v>207</v>
      </c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  <c r="IW39" s="50"/>
    </row>
    <row r="40" customFormat="false" ht="12.75" hidden="false" customHeight="false" outlineLevel="0" collapsed="false">
      <c r="A40" s="46"/>
      <c r="DS40" s="44"/>
    </row>
    <row r="41" customFormat="false" ht="12.75" hidden="false" customHeight="false" outlineLevel="0" collapsed="false">
      <c r="A41" s="46"/>
    </row>
    <row r="42" customFormat="false" ht="12.75" hidden="false" customHeight="false" outlineLevel="0" collapsed="false">
      <c r="A42" s="46"/>
    </row>
    <row r="43" customFormat="false" ht="12.75" hidden="false" customHeight="false" outlineLevel="0" collapsed="false">
      <c r="A43" s="46"/>
    </row>
    <row r="44" customFormat="false" ht="12.75" hidden="false" customHeight="false" outlineLevel="0" collapsed="false">
      <c r="A44" s="0"/>
      <c r="B44" s="0"/>
      <c r="D44" s="0"/>
      <c r="E44" s="0"/>
      <c r="G44" s="0"/>
      <c r="H44" s="0"/>
      <c r="J44" s="0"/>
      <c r="K44" s="0"/>
      <c r="M44" s="0"/>
      <c r="N44" s="0"/>
      <c r="P44" s="0"/>
      <c r="Q44" s="0"/>
      <c r="S44" s="0"/>
      <c r="T44" s="0"/>
      <c r="V44" s="0"/>
      <c r="W44" s="0"/>
      <c r="Y44" s="0"/>
      <c r="Z44" s="0"/>
      <c r="AB44" s="0"/>
      <c r="AC44" s="0"/>
      <c r="AE44" s="0"/>
      <c r="AF44" s="0"/>
      <c r="AH44" s="0"/>
      <c r="AI44" s="0"/>
      <c r="AK44" s="0"/>
      <c r="AL44" s="0"/>
      <c r="AN44" s="0"/>
      <c r="AO44" s="0"/>
      <c r="AQ44" s="0"/>
      <c r="AR44" s="0"/>
      <c r="AT44" s="0"/>
      <c r="AU44" s="0"/>
      <c r="AW44" s="106"/>
      <c r="AX44" s="0"/>
      <c r="AZ44" s="0"/>
      <c r="BA44" s="0"/>
      <c r="BC44" s="0"/>
      <c r="BD44" s="0"/>
      <c r="BF44" s="0"/>
      <c r="BG44" s="0"/>
      <c r="BI44" s="0"/>
      <c r="BJ44" s="0"/>
      <c r="BL44" s="0"/>
      <c r="BM44" s="0"/>
      <c r="BO44" s="0"/>
      <c r="BP44" s="0"/>
      <c r="BR44" s="0"/>
      <c r="BS44" s="0"/>
      <c r="BU44" s="0"/>
      <c r="BV44" s="0"/>
      <c r="BX44" s="0"/>
      <c r="BY44" s="0"/>
      <c r="CA44" s="0"/>
      <c r="CB44" s="0"/>
      <c r="CD44" s="0"/>
      <c r="CE44" s="0"/>
      <c r="CG44" s="0"/>
      <c r="CH44" s="0"/>
      <c r="CJ44" s="0"/>
      <c r="CK44" s="0"/>
      <c r="CM44" s="0"/>
      <c r="CN44" s="0"/>
      <c r="CP44" s="0"/>
      <c r="CQ44" s="0"/>
      <c r="CS44" s="0"/>
      <c r="CT44" s="0"/>
      <c r="CV44" s="0"/>
      <c r="CW44" s="0"/>
      <c r="CY44" s="0"/>
      <c r="CZ44" s="0"/>
      <c r="DB44" s="0"/>
      <c r="DC44" s="0"/>
      <c r="DE44" s="0"/>
      <c r="DF44" s="0"/>
      <c r="DH44" s="0"/>
      <c r="DI44" s="0"/>
      <c r="DK44" s="0"/>
      <c r="DL44" s="0"/>
      <c r="DN44" s="0"/>
      <c r="DO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6"/>
    </row>
    <row r="46" customFormat="false" ht="12.75" hidden="false" customHeight="false" outlineLevel="0" collapsed="false">
      <c r="A46" s="46"/>
    </row>
    <row r="47" customFormat="false" ht="12.75" hidden="false" customHeight="false" outlineLevel="0" collapsed="false">
      <c r="A47" s="46"/>
    </row>
    <row r="48" customFormat="false" ht="12.75" hidden="false" customHeight="false" outlineLevel="0" collapsed="false">
      <c r="A48" s="46"/>
    </row>
    <row r="49" customFormat="false" ht="12.75" hidden="false" customHeight="false" outlineLevel="0" collapsed="false">
      <c r="A49" s="46"/>
    </row>
    <row r="50" customFormat="false" ht="12.75" hidden="false" customHeight="false" outlineLevel="0" collapsed="false">
      <c r="A50" s="46"/>
    </row>
    <row r="51" customFormat="false" ht="12.75" hidden="false" customHeight="false" outlineLevel="0" collapsed="false">
      <c r="A51" s="46"/>
    </row>
    <row r="52" customFormat="false" ht="12.75" hidden="false" customHeight="false" outlineLevel="0" collapsed="false">
      <c r="A52" s="46"/>
    </row>
    <row r="53" customFormat="false" ht="12.75" hidden="false" customHeight="false" outlineLevel="0" collapsed="false">
      <c r="A53" s="46"/>
    </row>
    <row r="54" customFormat="false" ht="12.75" hidden="false" customHeight="false" outlineLevel="0" collapsed="false">
      <c r="A54" s="46"/>
    </row>
    <row r="55" customFormat="false" ht="12.75" hidden="false" customHeight="false" outlineLevel="0" collapsed="false">
      <c r="A55" s="46"/>
    </row>
    <row r="56" customFormat="false" ht="12.75" hidden="false" customHeight="false" outlineLevel="0" collapsed="false">
      <c r="A56" s="46"/>
    </row>
    <row r="57" customFormat="false" ht="12.75" hidden="false" customHeight="false" outlineLevel="0" collapsed="false">
      <c r="A57" s="46"/>
    </row>
    <row r="58" customFormat="false" ht="12.75" hidden="false" customHeight="false" outlineLevel="0" collapsed="false">
      <c r="A58" s="46"/>
    </row>
    <row r="59" customFormat="false" ht="12.75" hidden="false" customHeight="false" outlineLevel="0" collapsed="false">
      <c r="A59" s="46"/>
    </row>
    <row r="60" customFormat="false" ht="12.75" hidden="false" customHeight="false" outlineLevel="0" collapsed="false">
      <c r="A60" s="46"/>
    </row>
    <row r="61" customFormat="false" ht="12.75" hidden="false" customHeight="false" outlineLevel="0" collapsed="false">
      <c r="A61" s="46"/>
    </row>
    <row r="62" customFormat="false" ht="12.75" hidden="false" customHeight="false" outlineLevel="0" collapsed="false">
      <c r="A62" s="46"/>
    </row>
    <row r="63" customFormat="false" ht="12.75" hidden="false" customHeight="false" outlineLevel="0" collapsed="false">
      <c r="A63" s="46"/>
    </row>
    <row r="64" customFormat="false" ht="12.75" hidden="false" customHeight="false" outlineLevel="0" collapsed="false">
      <c r="A64" s="46"/>
    </row>
    <row r="65" customFormat="false" ht="12.75" hidden="false" customHeight="false" outlineLevel="0" collapsed="false">
      <c r="A65" s="46"/>
    </row>
    <row r="66" customFormat="false" ht="12.75" hidden="false" customHeight="false" outlineLevel="0" collapsed="false">
      <c r="A66" s="46"/>
    </row>
    <row r="67" customFormat="false" ht="12.75" hidden="false" customHeight="false" outlineLevel="0" collapsed="false">
      <c r="A67" s="46"/>
    </row>
    <row r="68" customFormat="false" ht="12.75" hidden="false" customHeight="false" outlineLevel="0" collapsed="false">
      <c r="A68" s="46"/>
    </row>
    <row r="69" customFormat="false" ht="12.75" hidden="false" customHeight="false" outlineLevel="0" collapsed="false">
      <c r="A69" s="46"/>
    </row>
    <row r="70" customFormat="false" ht="12.75" hidden="false" customHeight="false" outlineLevel="0" collapsed="false">
      <c r="A70" s="46"/>
    </row>
    <row r="71" customFormat="false" ht="12.75" hidden="false" customHeight="false" outlineLevel="0" collapsed="false">
      <c r="A71" s="46"/>
    </row>
    <row r="72" customFormat="false" ht="12.75" hidden="false" customHeight="false" outlineLevel="0" collapsed="false">
      <c r="A72" s="46"/>
    </row>
    <row r="73" customFormat="false" ht="12.75" hidden="false" customHeight="false" outlineLevel="0" collapsed="false">
      <c r="A73" s="46"/>
    </row>
    <row r="74" customFormat="false" ht="12.75" hidden="false" customHeight="false" outlineLevel="0" collapsed="false">
      <c r="A74" s="46"/>
    </row>
    <row r="75" customFormat="false" ht="12.75" hidden="false" customHeight="false" outlineLevel="0" collapsed="false">
      <c r="A75" s="46"/>
    </row>
    <row r="76" customFormat="false" ht="12.75" hidden="false" customHeight="false" outlineLevel="0" collapsed="false">
      <c r="A76" s="46"/>
    </row>
    <row r="77" customFormat="false" ht="12.75" hidden="false" customHeight="false" outlineLevel="0" collapsed="false">
      <c r="A77" s="46"/>
    </row>
    <row r="78" customFormat="false" ht="12.75" hidden="false" customHeight="false" outlineLevel="0" collapsed="false">
      <c r="A78" s="46"/>
    </row>
    <row r="79" customFormat="false" ht="12.75" hidden="false" customHeight="false" outlineLevel="0" collapsed="false">
      <c r="A79" s="46"/>
    </row>
    <row r="80" customFormat="false" ht="12.75" hidden="false" customHeight="false" outlineLevel="0" collapsed="false">
      <c r="A80" s="46"/>
    </row>
    <row r="81" customFormat="false" ht="12.75" hidden="false" customHeight="false" outlineLevel="0" collapsed="false">
      <c r="A81" s="46"/>
    </row>
    <row r="82" customFormat="false" ht="12.75" hidden="false" customHeight="false" outlineLevel="0" collapsed="false">
      <c r="A82" s="46"/>
    </row>
    <row r="83" customFormat="false" ht="12.75" hidden="false" customHeight="false" outlineLevel="0" collapsed="false">
      <c r="A83" s="46"/>
    </row>
    <row r="84" customFormat="false" ht="12.75" hidden="false" customHeight="false" outlineLevel="0" collapsed="false">
      <c r="A84" s="46"/>
    </row>
    <row r="85" customFormat="false" ht="12.75" hidden="false" customHeight="false" outlineLevel="0" collapsed="false">
      <c r="A85" s="46"/>
    </row>
    <row r="86" customFormat="false" ht="12.75" hidden="false" customHeight="false" outlineLevel="0" collapsed="false">
      <c r="A86" s="46"/>
    </row>
    <row r="87" customFormat="false" ht="12.75" hidden="false" customHeight="false" outlineLevel="0" collapsed="false">
      <c r="A87" s="46"/>
    </row>
    <row r="88" customFormat="false" ht="12.75" hidden="false" customHeight="false" outlineLevel="0" collapsed="false">
      <c r="A88" s="46"/>
    </row>
    <row r="89" customFormat="false" ht="12.75" hidden="false" customHeight="false" outlineLevel="0" collapsed="false">
      <c r="A89" s="46"/>
    </row>
    <row r="90" customFormat="false" ht="12.75" hidden="false" customHeight="false" outlineLevel="0" collapsed="false">
      <c r="A90" s="46"/>
    </row>
    <row r="91" customFormat="false" ht="12.75" hidden="false" customHeight="false" outlineLevel="0" collapsed="false">
      <c r="A91" s="46"/>
    </row>
    <row r="92" customFormat="false" ht="12.75" hidden="false" customHeight="false" outlineLevel="0" collapsed="false">
      <c r="A92" s="46"/>
    </row>
    <row r="93" customFormat="false" ht="12.75" hidden="false" customHeight="false" outlineLevel="0" collapsed="false">
      <c r="A93" s="46"/>
    </row>
    <row r="94" customFormat="false" ht="12.75" hidden="false" customHeight="false" outlineLevel="0" collapsed="false">
      <c r="A94" s="46"/>
    </row>
    <row r="95" customFormat="false" ht="12.75" hidden="false" customHeight="false" outlineLevel="0" collapsed="false">
      <c r="A95" s="46"/>
    </row>
    <row r="96" customFormat="false" ht="12.75" hidden="false" customHeight="false" outlineLevel="0" collapsed="false">
      <c r="A96" s="46"/>
    </row>
    <row r="97" customFormat="false" ht="12.75" hidden="false" customHeight="false" outlineLevel="0" collapsed="false">
      <c r="A97" s="46"/>
    </row>
    <row r="98" customFormat="false" ht="12.75" hidden="false" customHeight="false" outlineLevel="0" collapsed="false">
      <c r="A98" s="46"/>
    </row>
    <row r="99" customFormat="false" ht="12.75" hidden="false" customHeight="false" outlineLevel="0" collapsed="false">
      <c r="A99" s="46"/>
    </row>
    <row r="100" customFormat="false" ht="12.75" hidden="false" customHeight="false" outlineLevel="0" collapsed="false">
      <c r="A100" s="46"/>
    </row>
    <row r="101" customFormat="false" ht="12.75" hidden="false" customHeight="false" outlineLevel="0" collapsed="false">
      <c r="A101" s="46"/>
    </row>
    <row r="102" customFormat="false" ht="12.75" hidden="false" customHeight="false" outlineLevel="0" collapsed="false">
      <c r="A102" s="46"/>
    </row>
    <row r="103" customFormat="false" ht="12.75" hidden="false" customHeight="false" outlineLevel="0" collapsed="false">
      <c r="A103" s="46"/>
    </row>
    <row r="104" customFormat="false" ht="12.75" hidden="false" customHeight="false" outlineLevel="0" collapsed="false">
      <c r="A104" s="46"/>
    </row>
    <row r="105" customFormat="false" ht="12.75" hidden="false" customHeight="false" outlineLevel="0" collapsed="false">
      <c r="A105" s="46"/>
    </row>
    <row r="106" customFormat="false" ht="12.75" hidden="false" customHeight="false" outlineLevel="0" collapsed="false">
      <c r="A106" s="46"/>
    </row>
    <row r="107" customFormat="false" ht="12.75" hidden="false" customHeight="false" outlineLevel="0" collapsed="false">
      <c r="A107" s="46"/>
    </row>
    <row r="108" customFormat="false" ht="12.75" hidden="false" customHeight="false" outlineLevel="0" collapsed="false">
      <c r="A108" s="46"/>
    </row>
    <row r="109" customFormat="false" ht="12.75" hidden="false" customHeight="false" outlineLevel="0" collapsed="false">
      <c r="A109" s="46"/>
    </row>
    <row r="110" customFormat="false" ht="12.75" hidden="false" customHeight="false" outlineLevel="0" collapsed="false">
      <c r="A110" s="46"/>
    </row>
    <row r="111" customFormat="false" ht="12.75" hidden="false" customHeight="false" outlineLevel="0" collapsed="false">
      <c r="A111" s="46"/>
    </row>
    <row r="112" customFormat="false" ht="12.75" hidden="false" customHeight="false" outlineLevel="0" collapsed="false">
      <c r="A112" s="46"/>
    </row>
    <row r="113" customFormat="false" ht="12.75" hidden="false" customHeight="false" outlineLevel="0" collapsed="false">
      <c r="A113" s="46"/>
    </row>
    <row r="114" customFormat="false" ht="12.75" hidden="false" customHeight="false" outlineLevel="0" collapsed="false">
      <c r="A114" s="46"/>
    </row>
    <row r="115" customFormat="false" ht="12.75" hidden="false" customHeight="false" outlineLevel="0" collapsed="false">
      <c r="A115" s="46"/>
    </row>
    <row r="116" customFormat="false" ht="12.75" hidden="false" customHeight="false" outlineLevel="0" collapsed="false">
      <c r="A116" s="46"/>
    </row>
    <row r="117" customFormat="false" ht="12.75" hidden="false" customHeight="false" outlineLevel="0" collapsed="false">
      <c r="A117" s="46"/>
    </row>
    <row r="118" customFormat="false" ht="12.75" hidden="false" customHeight="false" outlineLevel="0" collapsed="false">
      <c r="A118" s="46"/>
    </row>
    <row r="119" customFormat="false" ht="12.75" hidden="false" customHeight="false" outlineLevel="0" collapsed="false">
      <c r="A119" s="46"/>
    </row>
    <row r="120" customFormat="false" ht="12.75" hidden="false" customHeight="false" outlineLevel="0" collapsed="false">
      <c r="A120" s="46"/>
    </row>
    <row r="121" customFormat="false" ht="12.75" hidden="false" customHeight="false" outlineLevel="0" collapsed="false">
      <c r="A121" s="46"/>
    </row>
    <row r="122" customFormat="false" ht="12.75" hidden="false" customHeight="false" outlineLevel="0" collapsed="false">
      <c r="A122" s="46"/>
    </row>
    <row r="123" customFormat="false" ht="12.75" hidden="false" customHeight="false" outlineLevel="0" collapsed="false">
      <c r="A123" s="46"/>
    </row>
    <row r="124" customFormat="false" ht="12.75" hidden="false" customHeight="false" outlineLevel="0" collapsed="false">
      <c r="A124" s="46"/>
    </row>
    <row r="125" customFormat="false" ht="12.75" hidden="false" customHeight="false" outlineLevel="0" collapsed="false">
      <c r="A125" s="46"/>
    </row>
    <row r="126" customFormat="false" ht="12.75" hidden="false" customHeight="false" outlineLevel="0" collapsed="false">
      <c r="A126" s="46"/>
    </row>
    <row r="127" customFormat="false" ht="12.75" hidden="false" customHeight="false" outlineLevel="0" collapsed="false">
      <c r="A127" s="46"/>
    </row>
    <row r="128" customFormat="false" ht="12.75" hidden="false" customHeight="false" outlineLevel="0" collapsed="false">
      <c r="A128" s="46"/>
    </row>
    <row r="129" customFormat="false" ht="12.75" hidden="false" customHeight="false" outlineLevel="0" collapsed="false">
      <c r="A129" s="46"/>
    </row>
    <row r="130" customFormat="false" ht="12.75" hidden="false" customHeight="false" outlineLevel="0" collapsed="false">
      <c r="A130" s="46"/>
    </row>
    <row r="131" customFormat="false" ht="12.75" hidden="false" customHeight="false" outlineLevel="0" collapsed="false">
      <c r="A131" s="46"/>
    </row>
    <row r="132" customFormat="false" ht="12.75" hidden="false" customHeight="false" outlineLevel="0" collapsed="false">
      <c r="A132" s="46"/>
    </row>
    <row r="133" customFormat="false" ht="12.75" hidden="false" customHeight="false" outlineLevel="0" collapsed="false">
      <c r="A133" s="46"/>
    </row>
    <row r="134" customFormat="false" ht="12.75" hidden="false" customHeight="false" outlineLevel="0" collapsed="false">
      <c r="A134" s="46"/>
    </row>
    <row r="135" customFormat="false" ht="12.75" hidden="false" customHeight="false" outlineLevel="0" collapsed="false">
      <c r="A135" s="46"/>
    </row>
    <row r="136" customFormat="false" ht="12.75" hidden="false" customHeight="false" outlineLevel="0" collapsed="false">
      <c r="A136" s="46"/>
    </row>
    <row r="137" customFormat="false" ht="12.75" hidden="false" customHeight="false" outlineLevel="0" collapsed="false">
      <c r="A137" s="46"/>
    </row>
    <row r="138" customFormat="false" ht="12.75" hidden="false" customHeight="false" outlineLevel="0" collapsed="false">
      <c r="A138" s="46"/>
    </row>
    <row r="139" customFormat="false" ht="12.75" hidden="false" customHeight="false" outlineLevel="0" collapsed="false">
      <c r="A139" s="46"/>
    </row>
    <row r="140" customFormat="false" ht="12.75" hidden="false" customHeight="false" outlineLevel="0" collapsed="false">
      <c r="A140" s="46"/>
    </row>
    <row r="141" customFormat="false" ht="12.75" hidden="false" customHeight="false" outlineLevel="0" collapsed="false">
      <c r="A141" s="46"/>
    </row>
    <row r="142" customFormat="false" ht="12.75" hidden="false" customHeight="false" outlineLevel="0" collapsed="false">
      <c r="A142" s="46"/>
    </row>
    <row r="143" customFormat="false" ht="12.75" hidden="false" customHeight="false" outlineLevel="0" collapsed="false">
      <c r="A143" s="46"/>
    </row>
    <row r="144" customFormat="false" ht="12.75" hidden="false" customHeight="false" outlineLevel="0" collapsed="false">
      <c r="A144" s="46"/>
    </row>
    <row r="145" customFormat="false" ht="12.75" hidden="false" customHeight="false" outlineLevel="0" collapsed="false">
      <c r="A145" s="46"/>
    </row>
    <row r="146" customFormat="false" ht="12.75" hidden="false" customHeight="false" outlineLevel="0" collapsed="false">
      <c r="A146" s="46"/>
    </row>
    <row r="147" customFormat="false" ht="12.75" hidden="false" customHeight="false" outlineLevel="0" collapsed="false">
      <c r="A147" s="46"/>
    </row>
    <row r="148" customFormat="false" ht="12.75" hidden="false" customHeight="false" outlineLevel="0" collapsed="false">
      <c r="A148" s="46"/>
    </row>
    <row r="149" customFormat="false" ht="12.75" hidden="false" customHeight="false" outlineLevel="0" collapsed="false">
      <c r="A149" s="46"/>
    </row>
    <row r="150" customFormat="false" ht="12.75" hidden="false" customHeight="false" outlineLevel="0" collapsed="false">
      <c r="A150" s="46"/>
    </row>
    <row r="151" customFormat="false" ht="12.75" hidden="false" customHeight="false" outlineLevel="0" collapsed="false">
      <c r="A151" s="46"/>
    </row>
    <row r="152" customFormat="false" ht="12.75" hidden="false" customHeight="false" outlineLevel="0" collapsed="false">
      <c r="A152" s="46"/>
    </row>
    <row r="153" customFormat="false" ht="12.75" hidden="false" customHeight="false" outlineLevel="0" collapsed="false">
      <c r="A153" s="46"/>
    </row>
    <row r="154" customFormat="false" ht="12.75" hidden="false" customHeight="false" outlineLevel="0" collapsed="false">
      <c r="A154" s="46"/>
    </row>
    <row r="155" customFormat="false" ht="12.75" hidden="false" customHeight="false" outlineLevel="0" collapsed="false">
      <c r="A155" s="46"/>
    </row>
    <row r="156" customFormat="false" ht="12.75" hidden="false" customHeight="false" outlineLevel="0" collapsed="false">
      <c r="A156" s="46"/>
    </row>
    <row r="157" customFormat="false" ht="12.75" hidden="false" customHeight="false" outlineLevel="0" collapsed="false">
      <c r="A157" s="46"/>
    </row>
    <row r="158" customFormat="false" ht="12.75" hidden="false" customHeight="false" outlineLevel="0" collapsed="false">
      <c r="A158" s="46"/>
    </row>
    <row r="159" customFormat="false" ht="12.75" hidden="false" customHeight="false" outlineLevel="0" collapsed="false">
      <c r="A159" s="46"/>
    </row>
    <row r="160" customFormat="false" ht="12.75" hidden="false" customHeight="false" outlineLevel="0" collapsed="false">
      <c r="A160" s="46"/>
    </row>
    <row r="161" customFormat="false" ht="12.75" hidden="false" customHeight="false" outlineLevel="0" collapsed="false">
      <c r="A161" s="46"/>
    </row>
    <row r="162" customFormat="false" ht="12.75" hidden="false" customHeight="false" outlineLevel="0" collapsed="false">
      <c r="A162" s="46"/>
    </row>
    <row r="163" customFormat="false" ht="12.75" hidden="false" customHeight="false" outlineLevel="0" collapsed="false">
      <c r="A163" s="46"/>
    </row>
    <row r="164" customFormat="false" ht="12.75" hidden="false" customHeight="false" outlineLevel="0" collapsed="false">
      <c r="A164" s="46"/>
    </row>
    <row r="165" customFormat="false" ht="12.75" hidden="false" customHeight="false" outlineLevel="0" collapsed="false">
      <c r="A165" s="46"/>
    </row>
    <row r="166" customFormat="false" ht="12.75" hidden="false" customHeight="false" outlineLevel="0" collapsed="false">
      <c r="A166" s="46"/>
    </row>
    <row r="167" customFormat="false" ht="12.75" hidden="false" customHeight="false" outlineLevel="0" collapsed="false">
      <c r="A167" s="46"/>
    </row>
    <row r="168" customFormat="false" ht="12.75" hidden="false" customHeight="false" outlineLevel="0" collapsed="false">
      <c r="A168" s="46"/>
    </row>
    <row r="169" customFormat="false" ht="12.75" hidden="false" customHeight="false" outlineLevel="0" collapsed="false">
      <c r="A169" s="46"/>
    </row>
    <row r="170" customFormat="false" ht="12.75" hidden="false" customHeight="false" outlineLevel="0" collapsed="false">
      <c r="A170" s="46"/>
    </row>
    <row r="171" customFormat="false" ht="12.75" hidden="false" customHeight="false" outlineLevel="0" collapsed="false">
      <c r="A171" s="46"/>
    </row>
    <row r="172" customFormat="false" ht="12.75" hidden="false" customHeight="false" outlineLevel="0" collapsed="false">
      <c r="A172" s="46"/>
    </row>
    <row r="173" customFormat="false" ht="12.75" hidden="false" customHeight="false" outlineLevel="0" collapsed="false">
      <c r="A173" s="46"/>
    </row>
    <row r="174" customFormat="false" ht="12.75" hidden="false" customHeight="false" outlineLevel="0" collapsed="false">
      <c r="A174" s="46"/>
    </row>
    <row r="175" customFormat="false" ht="12.75" hidden="false" customHeight="false" outlineLevel="0" collapsed="false">
      <c r="A175" s="46"/>
    </row>
    <row r="176" customFormat="false" ht="12.75" hidden="false" customHeight="false" outlineLevel="0" collapsed="false">
      <c r="A176" s="46"/>
    </row>
    <row r="177" customFormat="false" ht="12.75" hidden="false" customHeight="false" outlineLevel="0" collapsed="false">
      <c r="A177" s="46"/>
    </row>
    <row r="178" customFormat="false" ht="12.75" hidden="false" customHeight="false" outlineLevel="0" collapsed="false">
      <c r="A178" s="46"/>
    </row>
    <row r="179" customFormat="false" ht="12.75" hidden="false" customHeight="false" outlineLevel="0" collapsed="false">
      <c r="A179" s="46"/>
    </row>
    <row r="180" customFormat="false" ht="12.75" hidden="false" customHeight="false" outlineLevel="0" collapsed="false">
      <c r="A180" s="46"/>
    </row>
    <row r="181" customFormat="false" ht="12.75" hidden="false" customHeight="false" outlineLevel="0" collapsed="false">
      <c r="A181" s="46"/>
    </row>
    <row r="182" customFormat="false" ht="12.75" hidden="false" customHeight="false" outlineLevel="0" collapsed="false">
      <c r="A182" s="46"/>
    </row>
    <row r="183" customFormat="false" ht="12.75" hidden="false" customHeight="false" outlineLevel="0" collapsed="false">
      <c r="A183" s="46"/>
    </row>
    <row r="184" customFormat="false" ht="12.75" hidden="false" customHeight="false" outlineLevel="0" collapsed="false">
      <c r="A184" s="46"/>
    </row>
    <row r="185" customFormat="false" ht="12.75" hidden="false" customHeight="false" outlineLevel="0" collapsed="false">
      <c r="A185" s="46"/>
    </row>
    <row r="186" customFormat="false" ht="12.75" hidden="false" customHeight="false" outlineLevel="0" collapsed="false">
      <c r="A186" s="46"/>
    </row>
    <row r="187" customFormat="false" ht="12.75" hidden="false" customHeight="false" outlineLevel="0" collapsed="false">
      <c r="A187" s="46"/>
    </row>
    <row r="188" customFormat="false" ht="12.75" hidden="false" customHeight="false" outlineLevel="0" collapsed="false">
      <c r="A188" s="46"/>
    </row>
    <row r="189" customFormat="false" ht="12.75" hidden="false" customHeight="false" outlineLevel="0" collapsed="false">
      <c r="A189" s="46"/>
    </row>
    <row r="190" customFormat="false" ht="12.75" hidden="false" customHeight="false" outlineLevel="0" collapsed="false">
      <c r="A190" s="46"/>
    </row>
    <row r="191" customFormat="false" ht="12.75" hidden="false" customHeight="false" outlineLevel="0" collapsed="false">
      <c r="A191" s="46"/>
    </row>
    <row r="192" customFormat="false" ht="12.75" hidden="false" customHeight="false" outlineLevel="0" collapsed="false">
      <c r="A192" s="46"/>
    </row>
    <row r="193" customFormat="false" ht="12.75" hidden="false" customHeight="false" outlineLevel="0" collapsed="false">
      <c r="A193" s="46"/>
    </row>
    <row r="194" customFormat="false" ht="12.75" hidden="false" customHeight="false" outlineLevel="0" collapsed="false">
      <c r="A194" s="46"/>
    </row>
    <row r="195" customFormat="false" ht="12.75" hidden="false" customHeight="false" outlineLevel="0" collapsed="false">
      <c r="A195" s="46"/>
    </row>
    <row r="196" customFormat="false" ht="12.75" hidden="false" customHeight="false" outlineLevel="0" collapsed="false">
      <c r="A196" s="46"/>
    </row>
    <row r="197" customFormat="false" ht="12.75" hidden="false" customHeight="false" outlineLevel="0" collapsed="false">
      <c r="A197" s="46"/>
    </row>
    <row r="198" customFormat="false" ht="12.75" hidden="false" customHeight="false" outlineLevel="0" collapsed="false">
      <c r="A198" s="46"/>
    </row>
    <row r="199" customFormat="false" ht="12.75" hidden="false" customHeight="false" outlineLevel="0" collapsed="false">
      <c r="A199" s="46"/>
    </row>
    <row r="200" customFormat="false" ht="12.75" hidden="false" customHeight="false" outlineLevel="0" collapsed="false">
      <c r="A200" s="46"/>
    </row>
    <row r="201" customFormat="false" ht="12.75" hidden="false" customHeight="false" outlineLevel="0" collapsed="false">
      <c r="A201" s="46"/>
    </row>
    <row r="202" customFormat="false" ht="12.75" hidden="false" customHeight="false" outlineLevel="0" collapsed="false">
      <c r="A202" s="46"/>
    </row>
    <row r="203" customFormat="false" ht="12.75" hidden="false" customHeight="false" outlineLevel="0" collapsed="false">
      <c r="A203" s="46"/>
    </row>
    <row r="204" customFormat="false" ht="12.75" hidden="false" customHeight="false" outlineLevel="0" collapsed="false">
      <c r="A204" s="46"/>
    </row>
    <row r="205" customFormat="false" ht="12.75" hidden="false" customHeight="false" outlineLevel="0" collapsed="false">
      <c r="A205" s="46"/>
    </row>
    <row r="206" customFormat="false" ht="12.75" hidden="false" customHeight="false" outlineLevel="0" collapsed="false">
      <c r="A206" s="46"/>
    </row>
    <row r="207" customFormat="false" ht="12.75" hidden="false" customHeight="false" outlineLevel="0" collapsed="false">
      <c r="A207" s="46"/>
    </row>
    <row r="208" customFormat="false" ht="12.75" hidden="false" customHeight="false" outlineLevel="0" collapsed="false">
      <c r="A208" s="46"/>
    </row>
    <row r="209" customFormat="false" ht="12.75" hidden="false" customHeight="false" outlineLevel="0" collapsed="false">
      <c r="A209" s="46"/>
    </row>
    <row r="210" customFormat="false" ht="12.75" hidden="false" customHeight="false" outlineLevel="0" collapsed="false">
      <c r="A210" s="46"/>
    </row>
    <row r="211" customFormat="false" ht="12.75" hidden="false" customHeight="false" outlineLevel="0" collapsed="false">
      <c r="A211" s="46"/>
    </row>
    <row r="212" customFormat="false" ht="12.75" hidden="false" customHeight="false" outlineLevel="0" collapsed="false">
      <c r="A212" s="46"/>
    </row>
    <row r="213" customFormat="false" ht="12.75" hidden="false" customHeight="false" outlineLevel="0" collapsed="false">
      <c r="A213" s="46"/>
    </row>
    <row r="214" customFormat="false" ht="12.75" hidden="false" customHeight="false" outlineLevel="0" collapsed="false">
      <c r="A214" s="46"/>
    </row>
    <row r="215" customFormat="false" ht="12.75" hidden="false" customHeight="false" outlineLevel="0" collapsed="false">
      <c r="A215" s="46"/>
    </row>
    <row r="216" customFormat="false" ht="12.75" hidden="false" customHeight="false" outlineLevel="0" collapsed="false">
      <c r="A216" s="46"/>
    </row>
    <row r="217" customFormat="false" ht="12.75" hidden="false" customHeight="false" outlineLevel="0" collapsed="false">
      <c r="A217" s="46"/>
    </row>
    <row r="218" customFormat="false" ht="12.75" hidden="false" customHeight="false" outlineLevel="0" collapsed="false">
      <c r="A218" s="46"/>
    </row>
    <row r="219" customFormat="false" ht="12.75" hidden="false" customHeight="false" outlineLevel="0" collapsed="false">
      <c r="A219" s="46"/>
    </row>
    <row r="220" customFormat="false" ht="12.75" hidden="false" customHeight="false" outlineLevel="0" collapsed="false">
      <c r="A220" s="46"/>
    </row>
    <row r="221" customFormat="false" ht="12.75" hidden="false" customHeight="false" outlineLevel="0" collapsed="false">
      <c r="A221" s="46"/>
    </row>
    <row r="222" customFormat="false" ht="12.75" hidden="false" customHeight="false" outlineLevel="0" collapsed="false">
      <c r="A222" s="46"/>
    </row>
    <row r="223" customFormat="false" ht="12.75" hidden="false" customHeight="false" outlineLevel="0" collapsed="false">
      <c r="A223" s="46"/>
    </row>
    <row r="224" customFormat="false" ht="12.75" hidden="false" customHeight="false" outlineLevel="0" collapsed="false">
      <c r="A224" s="46"/>
    </row>
    <row r="225" customFormat="false" ht="12.75" hidden="false" customHeight="false" outlineLevel="0" collapsed="false">
      <c r="A225" s="46"/>
    </row>
    <row r="226" customFormat="false" ht="12.75" hidden="false" customHeight="false" outlineLevel="0" collapsed="false">
      <c r="A226" s="46"/>
    </row>
    <row r="227" customFormat="false" ht="12.75" hidden="false" customHeight="false" outlineLevel="0" collapsed="false">
      <c r="A227" s="46"/>
    </row>
    <row r="228" customFormat="false" ht="12.75" hidden="false" customHeight="false" outlineLevel="0" collapsed="false">
      <c r="A228" s="46"/>
    </row>
    <row r="229" customFormat="false" ht="12.75" hidden="false" customHeight="false" outlineLevel="0" collapsed="false">
      <c r="A229" s="46"/>
    </row>
    <row r="230" customFormat="false" ht="12.75" hidden="false" customHeight="false" outlineLevel="0" collapsed="false">
      <c r="A230" s="46"/>
    </row>
    <row r="231" customFormat="false" ht="12.75" hidden="false" customHeight="false" outlineLevel="0" collapsed="false">
      <c r="A231" s="46"/>
    </row>
    <row r="232" customFormat="false" ht="12.75" hidden="false" customHeight="false" outlineLevel="0" collapsed="false">
      <c r="A232" s="46"/>
    </row>
    <row r="233" customFormat="false" ht="12.75" hidden="false" customHeight="false" outlineLevel="0" collapsed="false">
      <c r="A233" s="46"/>
    </row>
    <row r="234" customFormat="false" ht="12.75" hidden="false" customHeight="false" outlineLevel="0" collapsed="false">
      <c r="A234" s="46"/>
    </row>
    <row r="235" customFormat="false" ht="12.75" hidden="false" customHeight="false" outlineLevel="0" collapsed="false">
      <c r="A235" s="46"/>
    </row>
    <row r="236" customFormat="false" ht="12.75" hidden="false" customHeight="false" outlineLevel="0" collapsed="false">
      <c r="A236" s="46"/>
    </row>
    <row r="237" customFormat="false" ht="12.75" hidden="false" customHeight="false" outlineLevel="0" collapsed="false">
      <c r="A237" s="46"/>
    </row>
    <row r="238" customFormat="false" ht="12.75" hidden="false" customHeight="false" outlineLevel="0" collapsed="false">
      <c r="A238" s="46"/>
    </row>
    <row r="239" customFormat="false" ht="12.75" hidden="false" customHeight="false" outlineLevel="0" collapsed="false">
      <c r="A239" s="46"/>
    </row>
    <row r="240" customFormat="false" ht="12.75" hidden="false" customHeight="false" outlineLevel="0" collapsed="false">
      <c r="A240" s="46"/>
    </row>
    <row r="241" customFormat="false" ht="12.75" hidden="false" customHeight="false" outlineLevel="0" collapsed="false">
      <c r="A241" s="46"/>
    </row>
    <row r="242" customFormat="false" ht="12.75" hidden="false" customHeight="false" outlineLevel="0" collapsed="false">
      <c r="A242" s="46"/>
    </row>
    <row r="243" customFormat="false" ht="12.75" hidden="false" customHeight="false" outlineLevel="0" collapsed="false">
      <c r="A243" s="46"/>
    </row>
    <row r="244" customFormat="false" ht="12.75" hidden="false" customHeight="false" outlineLevel="0" collapsed="false">
      <c r="A244" s="46"/>
    </row>
    <row r="245" customFormat="false" ht="12.75" hidden="false" customHeight="false" outlineLevel="0" collapsed="false">
      <c r="A245" s="46"/>
    </row>
    <row r="246" customFormat="false" ht="12.75" hidden="false" customHeight="false" outlineLevel="0" collapsed="false">
      <c r="A246" s="46"/>
    </row>
    <row r="247" customFormat="false" ht="12.75" hidden="false" customHeight="false" outlineLevel="0" collapsed="false">
      <c r="A247" s="46"/>
    </row>
    <row r="248" customFormat="false" ht="12.75" hidden="false" customHeight="false" outlineLevel="0" collapsed="false">
      <c r="A248" s="46"/>
    </row>
    <row r="249" customFormat="false" ht="12.75" hidden="false" customHeight="false" outlineLevel="0" collapsed="false">
      <c r="A249" s="46"/>
    </row>
    <row r="250" customFormat="false" ht="12.75" hidden="false" customHeight="false" outlineLevel="0" collapsed="false">
      <c r="A250" s="46"/>
    </row>
    <row r="251" customFormat="false" ht="12.75" hidden="false" customHeight="false" outlineLevel="0" collapsed="false">
      <c r="A251" s="46"/>
    </row>
    <row r="252" customFormat="false" ht="12.75" hidden="false" customHeight="false" outlineLevel="0" collapsed="false">
      <c r="A252" s="46"/>
    </row>
    <row r="253" customFormat="false" ht="12.75" hidden="false" customHeight="false" outlineLevel="0" collapsed="false">
      <c r="A253" s="46"/>
    </row>
    <row r="254" customFormat="false" ht="12.75" hidden="false" customHeight="false" outlineLevel="0" collapsed="false">
      <c r="A254" s="46"/>
    </row>
    <row r="255" customFormat="false" ht="12.75" hidden="false" customHeight="false" outlineLevel="0" collapsed="false">
      <c r="A255" s="46"/>
    </row>
    <row r="256" customFormat="false" ht="12.75" hidden="false" customHeight="false" outlineLevel="0" collapsed="false">
      <c r="A256" s="46"/>
    </row>
    <row r="257" customFormat="false" ht="12.75" hidden="false" customHeight="false" outlineLevel="0" collapsed="false">
      <c r="A257" s="46"/>
    </row>
    <row r="258" customFormat="false" ht="12.75" hidden="false" customHeight="false" outlineLevel="0" collapsed="false">
      <c r="A258" s="46"/>
    </row>
    <row r="259" customFormat="false" ht="12.75" hidden="false" customHeight="false" outlineLevel="0" collapsed="false">
      <c r="A259" s="46"/>
    </row>
    <row r="260" customFormat="false" ht="12.75" hidden="false" customHeight="false" outlineLevel="0" collapsed="false">
      <c r="A260" s="46"/>
    </row>
    <row r="261" customFormat="false" ht="12.75" hidden="false" customHeight="false" outlineLevel="0" collapsed="false">
      <c r="A261" s="46"/>
    </row>
    <row r="262" customFormat="false" ht="12.75" hidden="false" customHeight="false" outlineLevel="0" collapsed="false">
      <c r="A262" s="46"/>
    </row>
    <row r="263" customFormat="false" ht="12.75" hidden="false" customHeight="false" outlineLevel="0" collapsed="false">
      <c r="A263" s="46"/>
    </row>
    <row r="264" customFormat="false" ht="12.75" hidden="false" customHeight="false" outlineLevel="0" collapsed="false">
      <c r="A264" s="46"/>
    </row>
    <row r="265" customFormat="false" ht="12.75" hidden="false" customHeight="false" outlineLevel="0" collapsed="false">
      <c r="A265" s="46"/>
    </row>
    <row r="266" customFormat="false" ht="12.75" hidden="false" customHeight="false" outlineLevel="0" collapsed="false">
      <c r="A266" s="46"/>
    </row>
    <row r="267" customFormat="false" ht="12.75" hidden="false" customHeight="false" outlineLevel="0" collapsed="false">
      <c r="A267" s="46"/>
    </row>
    <row r="268" customFormat="false" ht="12.75" hidden="false" customHeight="false" outlineLevel="0" collapsed="false">
      <c r="A268" s="46"/>
    </row>
    <row r="269" customFormat="false" ht="12.75" hidden="false" customHeight="false" outlineLevel="0" collapsed="false">
      <c r="A269" s="46"/>
    </row>
    <row r="270" customFormat="false" ht="12.75" hidden="false" customHeight="false" outlineLevel="0" collapsed="false">
      <c r="A270" s="46"/>
    </row>
    <row r="271" customFormat="false" ht="12.75" hidden="false" customHeight="false" outlineLevel="0" collapsed="false">
      <c r="A271" s="46"/>
    </row>
    <row r="272" customFormat="false" ht="12.75" hidden="false" customHeight="false" outlineLevel="0" collapsed="false">
      <c r="A272" s="46"/>
    </row>
    <row r="273" customFormat="false" ht="12.75" hidden="false" customHeight="false" outlineLevel="0" collapsed="false">
      <c r="A273" s="46"/>
    </row>
    <row r="274" customFormat="false" ht="12.75" hidden="false" customHeight="false" outlineLevel="0" collapsed="false">
      <c r="A274" s="46"/>
    </row>
    <row r="275" customFormat="false" ht="12.75" hidden="false" customHeight="false" outlineLevel="0" collapsed="false">
      <c r="A275" s="46"/>
    </row>
    <row r="276" customFormat="false" ht="12.75" hidden="false" customHeight="false" outlineLevel="0" collapsed="false">
      <c r="A276" s="46"/>
    </row>
    <row r="277" customFormat="false" ht="12.75" hidden="false" customHeight="false" outlineLevel="0" collapsed="false">
      <c r="A277" s="46"/>
    </row>
    <row r="278" customFormat="false" ht="12.75" hidden="false" customHeight="false" outlineLevel="0" collapsed="false">
      <c r="A278" s="46"/>
    </row>
    <row r="279" customFormat="false" ht="12.75" hidden="false" customHeight="false" outlineLevel="0" collapsed="false">
      <c r="A279" s="46"/>
    </row>
    <row r="280" customFormat="false" ht="12.75" hidden="false" customHeight="false" outlineLevel="0" collapsed="false">
      <c r="A280" s="46"/>
    </row>
    <row r="281" customFormat="false" ht="12.75" hidden="false" customHeight="false" outlineLevel="0" collapsed="false">
      <c r="A281" s="46"/>
    </row>
    <row r="282" customFormat="false" ht="12.75" hidden="false" customHeight="false" outlineLevel="0" collapsed="false">
      <c r="A282" s="46"/>
    </row>
    <row r="283" customFormat="false" ht="12.75" hidden="false" customHeight="false" outlineLevel="0" collapsed="false">
      <c r="A283" s="46"/>
    </row>
    <row r="284" customFormat="false" ht="12.75" hidden="false" customHeight="false" outlineLevel="0" collapsed="false">
      <c r="A284" s="46"/>
    </row>
    <row r="285" customFormat="false" ht="12.75" hidden="false" customHeight="false" outlineLevel="0" collapsed="false">
      <c r="A285" s="46"/>
    </row>
    <row r="286" customFormat="false" ht="12.75" hidden="false" customHeight="false" outlineLevel="0" collapsed="false">
      <c r="A286" s="46"/>
    </row>
    <row r="287" customFormat="false" ht="12.75" hidden="false" customHeight="false" outlineLevel="0" collapsed="false">
      <c r="A287" s="46"/>
    </row>
    <row r="288" customFormat="false" ht="12.75" hidden="false" customHeight="false" outlineLevel="0" collapsed="false">
      <c r="A288" s="46"/>
    </row>
    <row r="289" customFormat="false" ht="12.75" hidden="false" customHeight="false" outlineLevel="0" collapsed="false">
      <c r="A289" s="46"/>
    </row>
    <row r="290" customFormat="false" ht="12.75" hidden="false" customHeight="false" outlineLevel="0" collapsed="false">
      <c r="A290" s="46"/>
    </row>
    <row r="291" customFormat="false" ht="12.75" hidden="false" customHeight="false" outlineLevel="0" collapsed="false">
      <c r="A291" s="46"/>
    </row>
    <row r="292" customFormat="false" ht="12.75" hidden="false" customHeight="false" outlineLevel="0" collapsed="false">
      <c r="A292" s="46"/>
    </row>
    <row r="293" customFormat="false" ht="12.75" hidden="false" customHeight="false" outlineLevel="0" collapsed="false">
      <c r="A293" s="46"/>
    </row>
    <row r="294" customFormat="false" ht="12.75" hidden="false" customHeight="false" outlineLevel="0" collapsed="false">
      <c r="A294" s="46"/>
    </row>
    <row r="295" customFormat="false" ht="12.75" hidden="false" customHeight="false" outlineLevel="0" collapsed="false">
      <c r="A295" s="46"/>
    </row>
    <row r="296" customFormat="false" ht="12.75" hidden="false" customHeight="false" outlineLevel="0" collapsed="false">
      <c r="A296" s="46"/>
    </row>
    <row r="297" customFormat="false" ht="12.75" hidden="false" customHeight="false" outlineLevel="0" collapsed="false">
      <c r="A297" s="46"/>
    </row>
    <row r="298" customFormat="false" ht="12.75" hidden="false" customHeight="false" outlineLevel="0" collapsed="false">
      <c r="A298" s="46"/>
    </row>
    <row r="299" customFormat="false" ht="12.75" hidden="false" customHeight="false" outlineLevel="0" collapsed="false">
      <c r="A299" s="46"/>
    </row>
    <row r="300" customFormat="false" ht="12.75" hidden="false" customHeight="false" outlineLevel="0" collapsed="false">
      <c r="A300" s="46"/>
    </row>
    <row r="301" customFormat="false" ht="12.75" hidden="false" customHeight="false" outlineLevel="0" collapsed="false">
      <c r="A301" s="46"/>
    </row>
    <row r="302" customFormat="false" ht="12.75" hidden="false" customHeight="false" outlineLevel="0" collapsed="false">
      <c r="A302" s="46"/>
    </row>
    <row r="303" customFormat="false" ht="12.75" hidden="false" customHeight="false" outlineLevel="0" collapsed="false">
      <c r="A303" s="46"/>
    </row>
    <row r="304" customFormat="false" ht="12.75" hidden="false" customHeight="false" outlineLevel="0" collapsed="false">
      <c r="A304" s="46"/>
    </row>
    <row r="305" customFormat="false" ht="12.75" hidden="false" customHeight="false" outlineLevel="0" collapsed="false">
      <c r="A305" s="46"/>
    </row>
    <row r="306" customFormat="false" ht="12.75" hidden="false" customHeight="false" outlineLevel="0" collapsed="false">
      <c r="A306" s="46"/>
    </row>
    <row r="307" customFormat="false" ht="12.75" hidden="false" customHeight="false" outlineLevel="0" collapsed="false">
      <c r="A307" s="46"/>
    </row>
    <row r="308" customFormat="false" ht="12.75" hidden="false" customHeight="false" outlineLevel="0" collapsed="false">
      <c r="A308" s="46"/>
    </row>
    <row r="309" customFormat="false" ht="12.75" hidden="false" customHeight="false" outlineLevel="0" collapsed="false">
      <c r="A309" s="46"/>
    </row>
    <row r="310" customFormat="false" ht="12.75" hidden="false" customHeight="false" outlineLevel="0" collapsed="false">
      <c r="A310" s="46"/>
    </row>
    <row r="311" customFormat="false" ht="12.75" hidden="false" customHeight="false" outlineLevel="0" collapsed="false">
      <c r="A311" s="46"/>
    </row>
    <row r="312" customFormat="false" ht="12.75" hidden="false" customHeight="false" outlineLevel="0" collapsed="false">
      <c r="A312" s="46"/>
    </row>
    <row r="313" customFormat="false" ht="12.75" hidden="false" customHeight="false" outlineLevel="0" collapsed="false">
      <c r="A313" s="46"/>
    </row>
    <row r="314" customFormat="false" ht="12.75" hidden="false" customHeight="false" outlineLevel="0" collapsed="false">
      <c r="A314" s="46"/>
    </row>
    <row r="315" customFormat="false" ht="12.75" hidden="false" customHeight="false" outlineLevel="0" collapsed="false">
      <c r="A315" s="46"/>
    </row>
    <row r="316" customFormat="false" ht="12.75" hidden="false" customHeight="false" outlineLevel="0" collapsed="false">
      <c r="A316" s="46"/>
    </row>
    <row r="317" customFormat="false" ht="12.75" hidden="false" customHeight="false" outlineLevel="0" collapsed="false">
      <c r="A317" s="46"/>
    </row>
    <row r="318" customFormat="false" ht="12.75" hidden="false" customHeight="false" outlineLevel="0" collapsed="false">
      <c r="A318" s="46"/>
    </row>
    <row r="319" customFormat="false" ht="12.75" hidden="false" customHeight="false" outlineLevel="0" collapsed="false">
      <c r="A319" s="46"/>
    </row>
    <row r="320" customFormat="false" ht="12.75" hidden="false" customHeight="false" outlineLevel="0" collapsed="false">
      <c r="A320" s="46"/>
    </row>
    <row r="321" customFormat="false" ht="12.75" hidden="false" customHeight="false" outlineLevel="0" collapsed="false">
      <c r="A321" s="46"/>
    </row>
    <row r="322" customFormat="false" ht="12.75" hidden="false" customHeight="false" outlineLevel="0" collapsed="false">
      <c r="A322" s="46"/>
    </row>
    <row r="323" customFormat="false" ht="12.75" hidden="false" customHeight="false" outlineLevel="0" collapsed="false">
      <c r="A323" s="46"/>
    </row>
    <row r="324" customFormat="false" ht="12.75" hidden="false" customHeight="false" outlineLevel="0" collapsed="false">
      <c r="A324" s="46"/>
    </row>
    <row r="325" customFormat="false" ht="12.75" hidden="false" customHeight="false" outlineLevel="0" collapsed="false">
      <c r="A325" s="46"/>
    </row>
    <row r="326" customFormat="false" ht="12.75" hidden="false" customHeight="false" outlineLevel="0" collapsed="false">
      <c r="A326" s="46"/>
    </row>
    <row r="327" customFormat="false" ht="12.75" hidden="false" customHeight="false" outlineLevel="0" collapsed="false">
      <c r="A327" s="46"/>
    </row>
    <row r="328" customFormat="false" ht="12.75" hidden="false" customHeight="false" outlineLevel="0" collapsed="false">
      <c r="A328" s="46"/>
    </row>
    <row r="329" customFormat="false" ht="12.75" hidden="false" customHeight="false" outlineLevel="0" collapsed="false">
      <c r="A329" s="46"/>
    </row>
    <row r="330" customFormat="false" ht="12.75" hidden="false" customHeight="false" outlineLevel="0" collapsed="false">
      <c r="A330" s="46"/>
    </row>
    <row r="331" customFormat="false" ht="12.75" hidden="false" customHeight="false" outlineLevel="0" collapsed="false">
      <c r="A331" s="46"/>
    </row>
    <row r="332" customFormat="false" ht="12.75" hidden="false" customHeight="false" outlineLevel="0" collapsed="false">
      <c r="A332" s="46"/>
    </row>
    <row r="333" customFormat="false" ht="12.75" hidden="false" customHeight="false" outlineLevel="0" collapsed="false">
      <c r="A333" s="46"/>
    </row>
    <row r="334" customFormat="false" ht="12.75" hidden="false" customHeight="false" outlineLevel="0" collapsed="false">
      <c r="A334" s="46"/>
    </row>
    <row r="335" customFormat="false" ht="12.75" hidden="false" customHeight="false" outlineLevel="0" collapsed="false">
      <c r="A335" s="46"/>
    </row>
    <row r="336" customFormat="false" ht="12.75" hidden="false" customHeight="false" outlineLevel="0" collapsed="false">
      <c r="A336" s="46"/>
    </row>
    <row r="337" customFormat="false" ht="12.75" hidden="false" customHeight="false" outlineLevel="0" collapsed="false">
      <c r="A337" s="46"/>
    </row>
    <row r="338" customFormat="false" ht="12.75" hidden="false" customHeight="false" outlineLevel="0" collapsed="false">
      <c r="A338" s="46"/>
    </row>
    <row r="339" customFormat="false" ht="12.75" hidden="false" customHeight="false" outlineLevel="0" collapsed="false">
      <c r="A339" s="46"/>
    </row>
    <row r="340" customFormat="false" ht="12.75" hidden="false" customHeight="false" outlineLevel="0" collapsed="false">
      <c r="A340" s="46"/>
    </row>
    <row r="341" customFormat="false" ht="12.75" hidden="false" customHeight="false" outlineLevel="0" collapsed="false">
      <c r="A341" s="46"/>
    </row>
    <row r="342" customFormat="false" ht="12.75" hidden="false" customHeight="false" outlineLevel="0" collapsed="false">
      <c r="A342" s="46"/>
    </row>
    <row r="343" customFormat="false" ht="12.75" hidden="false" customHeight="false" outlineLevel="0" collapsed="false">
      <c r="A343" s="46"/>
    </row>
    <row r="344" customFormat="false" ht="12.75" hidden="false" customHeight="false" outlineLevel="0" collapsed="false">
      <c r="A344" s="46"/>
    </row>
    <row r="345" customFormat="false" ht="12.75" hidden="false" customHeight="false" outlineLevel="0" collapsed="false">
      <c r="A345" s="46"/>
    </row>
    <row r="346" customFormat="false" ht="12.75" hidden="false" customHeight="false" outlineLevel="0" collapsed="false">
      <c r="A346" s="46"/>
    </row>
    <row r="347" customFormat="false" ht="12.75" hidden="false" customHeight="false" outlineLevel="0" collapsed="false">
      <c r="A347" s="46"/>
    </row>
    <row r="348" customFormat="false" ht="12.75" hidden="false" customHeight="false" outlineLevel="0" collapsed="false">
      <c r="A348" s="46"/>
    </row>
    <row r="349" customFormat="false" ht="12.75" hidden="false" customHeight="false" outlineLevel="0" collapsed="false">
      <c r="A349" s="46"/>
    </row>
    <row r="350" customFormat="false" ht="12.75" hidden="false" customHeight="false" outlineLevel="0" collapsed="false">
      <c r="A350" s="46"/>
    </row>
    <row r="351" customFormat="false" ht="12.75" hidden="false" customHeight="false" outlineLevel="0" collapsed="false">
      <c r="A351" s="46"/>
    </row>
    <row r="352" customFormat="false" ht="12.75" hidden="false" customHeight="false" outlineLevel="0" collapsed="false">
      <c r="A352" s="46"/>
    </row>
    <row r="353" customFormat="false" ht="12.75" hidden="false" customHeight="false" outlineLevel="0" collapsed="false">
      <c r="A353" s="46"/>
    </row>
    <row r="354" customFormat="false" ht="12.75" hidden="false" customHeight="false" outlineLevel="0" collapsed="false">
      <c r="A354" s="46"/>
    </row>
    <row r="355" customFormat="false" ht="12.75" hidden="false" customHeight="false" outlineLevel="0" collapsed="false">
      <c r="A355" s="46"/>
    </row>
    <row r="356" customFormat="false" ht="12.75" hidden="false" customHeight="false" outlineLevel="0" collapsed="false">
      <c r="A356" s="46"/>
    </row>
    <row r="357" customFormat="false" ht="12.75" hidden="false" customHeight="false" outlineLevel="0" collapsed="false">
      <c r="A357" s="46"/>
    </row>
    <row r="358" customFormat="false" ht="12.75" hidden="false" customHeight="false" outlineLevel="0" collapsed="false">
      <c r="A358" s="46"/>
    </row>
    <row r="359" customFormat="false" ht="12.75" hidden="false" customHeight="false" outlineLevel="0" collapsed="false">
      <c r="A359" s="46"/>
    </row>
    <row r="360" customFormat="false" ht="12.75" hidden="false" customHeight="false" outlineLevel="0" collapsed="false">
      <c r="A360" s="46"/>
    </row>
    <row r="361" customFormat="false" ht="12.75" hidden="false" customHeight="false" outlineLevel="0" collapsed="false">
      <c r="A361" s="46"/>
    </row>
    <row r="362" customFormat="false" ht="12.75" hidden="false" customHeight="false" outlineLevel="0" collapsed="false">
      <c r="A362" s="46"/>
    </row>
    <row r="363" customFormat="false" ht="12.75" hidden="false" customHeight="false" outlineLevel="0" collapsed="false">
      <c r="A363" s="46"/>
    </row>
    <row r="364" customFormat="false" ht="12.75" hidden="false" customHeight="false" outlineLevel="0" collapsed="false">
      <c r="A364" s="46"/>
    </row>
    <row r="365" customFormat="false" ht="12.75" hidden="false" customHeight="false" outlineLevel="0" collapsed="false">
      <c r="A365" s="46"/>
    </row>
    <row r="366" customFormat="false" ht="12.75" hidden="false" customHeight="false" outlineLevel="0" collapsed="false">
      <c r="A366" s="46"/>
    </row>
    <row r="367" customFormat="false" ht="12.75" hidden="false" customHeight="false" outlineLevel="0" collapsed="false">
      <c r="A367" s="46"/>
    </row>
    <row r="368" customFormat="false" ht="12.75" hidden="false" customHeight="false" outlineLevel="0" collapsed="false">
      <c r="A368" s="46"/>
    </row>
    <row r="369" customFormat="false" ht="12.75" hidden="false" customHeight="false" outlineLevel="0" collapsed="false">
      <c r="A369" s="46"/>
    </row>
    <row r="370" customFormat="false" ht="12.75" hidden="false" customHeight="false" outlineLevel="0" collapsed="false">
      <c r="A370" s="46"/>
    </row>
    <row r="371" customFormat="false" ht="12.75" hidden="false" customHeight="false" outlineLevel="0" collapsed="false">
      <c r="A371" s="46"/>
    </row>
    <row r="372" customFormat="false" ht="12.75" hidden="false" customHeight="false" outlineLevel="0" collapsed="false">
      <c r="A372" s="46"/>
    </row>
    <row r="373" customFormat="false" ht="12.75" hidden="false" customHeight="false" outlineLevel="0" collapsed="false">
      <c r="A373" s="46"/>
    </row>
    <row r="374" customFormat="false" ht="12.75" hidden="false" customHeight="false" outlineLevel="0" collapsed="false">
      <c r="A374" s="46"/>
    </row>
    <row r="375" customFormat="false" ht="12.75" hidden="false" customHeight="false" outlineLevel="0" collapsed="false">
      <c r="A375" s="46"/>
    </row>
    <row r="376" customFormat="false" ht="12.75" hidden="false" customHeight="false" outlineLevel="0" collapsed="false">
      <c r="A376" s="46"/>
    </row>
    <row r="377" customFormat="false" ht="12.75" hidden="false" customHeight="false" outlineLevel="0" collapsed="false">
      <c r="A377" s="46"/>
    </row>
    <row r="378" customFormat="false" ht="12.75" hidden="false" customHeight="false" outlineLevel="0" collapsed="false">
      <c r="A378" s="46"/>
    </row>
    <row r="379" customFormat="false" ht="12.75" hidden="false" customHeight="false" outlineLevel="0" collapsed="false">
      <c r="A379" s="46"/>
    </row>
    <row r="380" customFormat="false" ht="12.75" hidden="false" customHeight="false" outlineLevel="0" collapsed="false">
      <c r="A380" s="46"/>
    </row>
    <row r="381" customFormat="false" ht="12.75" hidden="false" customHeight="false" outlineLevel="0" collapsed="false">
      <c r="A381" s="46"/>
    </row>
    <row r="382" customFormat="false" ht="12.75" hidden="false" customHeight="false" outlineLevel="0" collapsed="false">
      <c r="A382" s="46"/>
    </row>
    <row r="383" customFormat="false" ht="12.75" hidden="false" customHeight="false" outlineLevel="0" collapsed="false">
      <c r="A383" s="46"/>
    </row>
    <row r="384" customFormat="false" ht="12.75" hidden="false" customHeight="false" outlineLevel="0" collapsed="false">
      <c r="A384" s="46"/>
    </row>
    <row r="385" customFormat="false" ht="12.75" hidden="false" customHeight="false" outlineLevel="0" collapsed="false">
      <c r="A385" s="46"/>
    </row>
    <row r="386" customFormat="false" ht="12.75" hidden="false" customHeight="false" outlineLevel="0" collapsed="false">
      <c r="A386" s="46"/>
    </row>
    <row r="387" customFormat="false" ht="12.75" hidden="false" customHeight="false" outlineLevel="0" collapsed="false">
      <c r="A387" s="46"/>
    </row>
    <row r="388" customFormat="false" ht="12.75" hidden="false" customHeight="false" outlineLevel="0" collapsed="false">
      <c r="A388" s="46"/>
    </row>
    <row r="389" customFormat="false" ht="12.75" hidden="false" customHeight="false" outlineLevel="0" collapsed="false">
      <c r="A389" s="46"/>
    </row>
    <row r="390" customFormat="false" ht="12.75" hidden="false" customHeight="false" outlineLevel="0" collapsed="false">
      <c r="A390" s="46"/>
    </row>
    <row r="391" customFormat="false" ht="12.75" hidden="false" customHeight="false" outlineLevel="0" collapsed="false">
      <c r="A391" s="46"/>
    </row>
    <row r="392" customFormat="false" ht="12.75" hidden="false" customHeight="false" outlineLevel="0" collapsed="false">
      <c r="A392" s="46"/>
    </row>
    <row r="393" customFormat="false" ht="12.75" hidden="false" customHeight="false" outlineLevel="0" collapsed="false">
      <c r="A393" s="46"/>
    </row>
    <row r="394" customFormat="false" ht="12.75" hidden="false" customHeight="false" outlineLevel="0" collapsed="false">
      <c r="A394" s="46"/>
    </row>
    <row r="395" customFormat="false" ht="12.75" hidden="false" customHeight="false" outlineLevel="0" collapsed="false">
      <c r="A395" s="46"/>
    </row>
    <row r="396" customFormat="false" ht="12.75" hidden="false" customHeight="false" outlineLevel="0" collapsed="false">
      <c r="A396" s="46"/>
    </row>
    <row r="397" customFormat="false" ht="12.75" hidden="false" customHeight="false" outlineLevel="0" collapsed="false">
      <c r="A397" s="46"/>
    </row>
    <row r="398" customFormat="false" ht="12.75" hidden="false" customHeight="false" outlineLevel="0" collapsed="false">
      <c r="A398" s="46"/>
    </row>
    <row r="399" customFormat="false" ht="12.75" hidden="false" customHeight="false" outlineLevel="0" collapsed="false">
      <c r="A399" s="46"/>
    </row>
    <row r="400" customFormat="false" ht="12.75" hidden="false" customHeight="false" outlineLevel="0" collapsed="false">
      <c r="A400" s="46"/>
    </row>
    <row r="401" customFormat="false" ht="12.75" hidden="false" customHeight="false" outlineLevel="0" collapsed="false">
      <c r="A401" s="46"/>
    </row>
    <row r="402" customFormat="false" ht="12.75" hidden="false" customHeight="false" outlineLevel="0" collapsed="false">
      <c r="A402" s="46"/>
    </row>
    <row r="403" customFormat="false" ht="12.75" hidden="false" customHeight="false" outlineLevel="0" collapsed="false">
      <c r="A403" s="46"/>
    </row>
    <row r="404" customFormat="false" ht="12.75" hidden="false" customHeight="false" outlineLevel="0" collapsed="false">
      <c r="A404" s="46"/>
    </row>
    <row r="405" customFormat="false" ht="12.75" hidden="false" customHeight="false" outlineLevel="0" collapsed="false">
      <c r="A405" s="46"/>
    </row>
    <row r="406" customFormat="false" ht="12.75" hidden="false" customHeight="false" outlineLevel="0" collapsed="false">
      <c r="A406" s="46"/>
    </row>
    <row r="407" customFormat="false" ht="12.75" hidden="false" customHeight="false" outlineLevel="0" collapsed="false">
      <c r="A407" s="46"/>
    </row>
    <row r="408" customFormat="false" ht="12.75" hidden="false" customHeight="false" outlineLevel="0" collapsed="false">
      <c r="A408" s="46"/>
    </row>
    <row r="409" customFormat="false" ht="12.75" hidden="false" customHeight="false" outlineLevel="0" collapsed="false">
      <c r="A409" s="46"/>
    </row>
    <row r="410" customFormat="false" ht="12.75" hidden="false" customHeight="false" outlineLevel="0" collapsed="false">
      <c r="A410" s="46"/>
    </row>
    <row r="411" customFormat="false" ht="12.75" hidden="false" customHeight="false" outlineLevel="0" collapsed="false">
      <c r="A411" s="46"/>
    </row>
    <row r="412" customFormat="false" ht="12.75" hidden="false" customHeight="false" outlineLevel="0" collapsed="false">
      <c r="A412" s="46"/>
    </row>
    <row r="413" customFormat="false" ht="12.75" hidden="false" customHeight="false" outlineLevel="0" collapsed="false">
      <c r="A413" s="46"/>
    </row>
    <row r="414" customFormat="false" ht="12.75" hidden="false" customHeight="false" outlineLevel="0" collapsed="false">
      <c r="A414" s="46"/>
    </row>
    <row r="415" customFormat="false" ht="12.75" hidden="false" customHeight="false" outlineLevel="0" collapsed="false">
      <c r="A415" s="46"/>
    </row>
    <row r="416" customFormat="false" ht="12.75" hidden="false" customHeight="false" outlineLevel="0" collapsed="false">
      <c r="A416" s="46"/>
    </row>
    <row r="417" customFormat="false" ht="12.75" hidden="false" customHeight="false" outlineLevel="0" collapsed="false">
      <c r="A417" s="46"/>
    </row>
    <row r="418" customFormat="false" ht="12.75" hidden="false" customHeight="false" outlineLevel="0" collapsed="false">
      <c r="A418" s="46"/>
    </row>
    <row r="419" customFormat="false" ht="12.75" hidden="false" customHeight="false" outlineLevel="0" collapsed="false">
      <c r="A419" s="46"/>
    </row>
    <row r="420" customFormat="false" ht="12.75" hidden="false" customHeight="false" outlineLevel="0" collapsed="false">
      <c r="A420" s="46"/>
    </row>
    <row r="421" customFormat="false" ht="12.75" hidden="false" customHeight="false" outlineLevel="0" collapsed="false">
      <c r="A421" s="46"/>
    </row>
    <row r="422" customFormat="false" ht="12.75" hidden="false" customHeight="false" outlineLevel="0" collapsed="false">
      <c r="A422" s="46"/>
    </row>
    <row r="423" customFormat="false" ht="12.75" hidden="false" customHeight="false" outlineLevel="0" collapsed="false">
      <c r="A423" s="46"/>
    </row>
    <row r="424" customFormat="false" ht="12.75" hidden="false" customHeight="false" outlineLevel="0" collapsed="false">
      <c r="A424" s="46"/>
    </row>
    <row r="425" customFormat="false" ht="12.75" hidden="false" customHeight="false" outlineLevel="0" collapsed="false">
      <c r="A425" s="46"/>
    </row>
    <row r="426" customFormat="false" ht="12.75" hidden="false" customHeight="false" outlineLevel="0" collapsed="false">
      <c r="A426" s="46"/>
    </row>
    <row r="427" customFormat="false" ht="12.75" hidden="false" customHeight="false" outlineLevel="0" collapsed="false">
      <c r="A427" s="46"/>
    </row>
    <row r="428" customFormat="false" ht="12.75" hidden="false" customHeight="false" outlineLevel="0" collapsed="false">
      <c r="A428" s="46"/>
    </row>
    <row r="429" customFormat="false" ht="12.75" hidden="false" customHeight="false" outlineLevel="0" collapsed="false">
      <c r="A429" s="46"/>
    </row>
    <row r="430" customFormat="false" ht="12.75" hidden="false" customHeight="false" outlineLevel="0" collapsed="false">
      <c r="A430" s="46"/>
    </row>
    <row r="431" customFormat="false" ht="12.75" hidden="false" customHeight="false" outlineLevel="0" collapsed="false">
      <c r="A431" s="46"/>
    </row>
    <row r="432" customFormat="false" ht="12.75" hidden="false" customHeight="false" outlineLevel="0" collapsed="false">
      <c r="A432" s="46"/>
    </row>
    <row r="433" customFormat="false" ht="12.75" hidden="false" customHeight="false" outlineLevel="0" collapsed="false">
      <c r="A433" s="46"/>
    </row>
    <row r="434" customFormat="false" ht="12.75" hidden="false" customHeight="false" outlineLevel="0" collapsed="false">
      <c r="A434" s="46"/>
    </row>
    <row r="435" customFormat="false" ht="12.75" hidden="false" customHeight="false" outlineLevel="0" collapsed="false">
      <c r="A435" s="46"/>
    </row>
    <row r="436" customFormat="false" ht="12.75" hidden="false" customHeight="false" outlineLevel="0" collapsed="false">
      <c r="A436" s="46"/>
    </row>
    <row r="437" customFormat="false" ht="12.75" hidden="false" customHeight="false" outlineLevel="0" collapsed="false">
      <c r="A437" s="46"/>
    </row>
    <row r="438" customFormat="false" ht="12.75" hidden="false" customHeight="false" outlineLevel="0" collapsed="false">
      <c r="A438" s="46"/>
    </row>
    <row r="439" customFormat="false" ht="12.75" hidden="false" customHeight="false" outlineLevel="0" collapsed="false">
      <c r="A439" s="46"/>
    </row>
    <row r="440" customFormat="false" ht="12.75" hidden="false" customHeight="false" outlineLevel="0" collapsed="false">
      <c r="A440" s="46"/>
    </row>
    <row r="441" customFormat="false" ht="12.75" hidden="false" customHeight="false" outlineLevel="0" collapsed="false">
      <c r="A441" s="46"/>
    </row>
    <row r="442" customFormat="false" ht="12.75" hidden="false" customHeight="false" outlineLevel="0" collapsed="false">
      <c r="A442" s="46"/>
    </row>
    <row r="443" customFormat="false" ht="12.75" hidden="false" customHeight="false" outlineLevel="0" collapsed="false">
      <c r="A443" s="46"/>
    </row>
    <row r="444" customFormat="false" ht="12.75" hidden="false" customHeight="false" outlineLevel="0" collapsed="false">
      <c r="A444" s="46"/>
    </row>
    <row r="445" customFormat="false" ht="12.75" hidden="false" customHeight="false" outlineLevel="0" collapsed="false">
      <c r="A445" s="46"/>
    </row>
    <row r="446" customFormat="false" ht="12.75" hidden="false" customHeight="false" outlineLevel="0" collapsed="false">
      <c r="A446" s="46"/>
    </row>
    <row r="447" customFormat="false" ht="12.75" hidden="false" customHeight="false" outlineLevel="0" collapsed="false">
      <c r="A447" s="46"/>
    </row>
    <row r="448" customFormat="false" ht="12.75" hidden="false" customHeight="false" outlineLevel="0" collapsed="false">
      <c r="A448" s="46"/>
    </row>
    <row r="449" customFormat="false" ht="12.75" hidden="false" customHeight="false" outlineLevel="0" collapsed="false">
      <c r="A449" s="46"/>
    </row>
    <row r="450" customFormat="false" ht="12.75" hidden="false" customHeight="false" outlineLevel="0" collapsed="false">
      <c r="A450" s="46"/>
    </row>
    <row r="451" customFormat="false" ht="12.75" hidden="false" customHeight="false" outlineLevel="0" collapsed="false">
      <c r="A451" s="46"/>
    </row>
    <row r="452" customFormat="false" ht="12.75" hidden="false" customHeight="false" outlineLevel="0" collapsed="false">
      <c r="A452" s="46"/>
    </row>
    <row r="453" customFormat="false" ht="12.75" hidden="false" customHeight="false" outlineLevel="0" collapsed="false">
      <c r="A453" s="46"/>
    </row>
    <row r="454" customFormat="false" ht="12.75" hidden="false" customHeight="false" outlineLevel="0" collapsed="false">
      <c r="A454" s="46"/>
    </row>
    <row r="455" customFormat="false" ht="12.75" hidden="false" customHeight="false" outlineLevel="0" collapsed="false">
      <c r="A455" s="46"/>
    </row>
    <row r="456" customFormat="false" ht="12.75" hidden="false" customHeight="false" outlineLevel="0" collapsed="false">
      <c r="A456" s="46"/>
    </row>
    <row r="457" customFormat="false" ht="12.75" hidden="false" customHeight="false" outlineLevel="0" collapsed="false">
      <c r="A457" s="46"/>
    </row>
    <row r="458" customFormat="false" ht="12.75" hidden="false" customHeight="false" outlineLevel="0" collapsed="false">
      <c r="A458" s="46"/>
    </row>
    <row r="459" customFormat="false" ht="12.75" hidden="false" customHeight="false" outlineLevel="0" collapsed="false">
      <c r="A459" s="46"/>
    </row>
    <row r="460" customFormat="false" ht="12.75" hidden="false" customHeight="false" outlineLevel="0" collapsed="false">
      <c r="A460" s="46"/>
    </row>
    <row r="461" customFormat="false" ht="12.75" hidden="false" customHeight="false" outlineLevel="0" collapsed="false">
      <c r="A461" s="46"/>
    </row>
    <row r="462" customFormat="false" ht="12.75" hidden="false" customHeight="false" outlineLevel="0" collapsed="false">
      <c r="A462" s="46"/>
    </row>
    <row r="463" customFormat="false" ht="12.75" hidden="false" customHeight="false" outlineLevel="0" collapsed="false">
      <c r="A463" s="46"/>
    </row>
    <row r="464" customFormat="false" ht="12.75" hidden="false" customHeight="false" outlineLevel="0" collapsed="false">
      <c r="A464" s="46"/>
    </row>
    <row r="465" customFormat="false" ht="12.75" hidden="false" customHeight="false" outlineLevel="0" collapsed="false">
      <c r="A465" s="46"/>
    </row>
    <row r="466" customFormat="false" ht="12.75" hidden="false" customHeight="false" outlineLevel="0" collapsed="false">
      <c r="A466" s="46"/>
    </row>
    <row r="467" customFormat="false" ht="12.75" hidden="false" customHeight="false" outlineLevel="0" collapsed="false">
      <c r="A467" s="46"/>
    </row>
    <row r="468" customFormat="false" ht="12.75" hidden="false" customHeight="false" outlineLevel="0" collapsed="false">
      <c r="A468" s="46"/>
    </row>
    <row r="469" customFormat="false" ht="12.75" hidden="false" customHeight="false" outlineLevel="0" collapsed="false">
      <c r="A469" s="46"/>
    </row>
    <row r="470" customFormat="false" ht="12.75" hidden="false" customHeight="false" outlineLevel="0" collapsed="false">
      <c r="A470" s="46"/>
    </row>
    <row r="471" customFormat="false" ht="12.75" hidden="false" customHeight="false" outlineLevel="0" collapsed="false">
      <c r="A471" s="46"/>
    </row>
    <row r="472" customFormat="false" ht="12.75" hidden="false" customHeight="false" outlineLevel="0" collapsed="false">
      <c r="A472" s="46"/>
    </row>
    <row r="473" customFormat="false" ht="12.75" hidden="false" customHeight="false" outlineLevel="0" collapsed="false">
      <c r="A473" s="46"/>
    </row>
    <row r="474" customFormat="false" ht="12.75" hidden="false" customHeight="false" outlineLevel="0" collapsed="false">
      <c r="A474" s="46"/>
    </row>
    <row r="475" customFormat="false" ht="12.75" hidden="false" customHeight="false" outlineLevel="0" collapsed="false">
      <c r="A475" s="46"/>
    </row>
    <row r="476" customFormat="false" ht="12.75" hidden="false" customHeight="false" outlineLevel="0" collapsed="false">
      <c r="A476" s="46"/>
    </row>
    <row r="477" customFormat="false" ht="12.75" hidden="false" customHeight="false" outlineLevel="0" collapsed="false">
      <c r="A477" s="46"/>
    </row>
    <row r="478" customFormat="false" ht="12.75" hidden="false" customHeight="false" outlineLevel="0" collapsed="false">
      <c r="A478" s="46"/>
    </row>
    <row r="479" customFormat="false" ht="12.75" hidden="false" customHeight="false" outlineLevel="0" collapsed="false">
      <c r="A479" s="46"/>
    </row>
    <row r="480" customFormat="false" ht="12.75" hidden="false" customHeight="false" outlineLevel="0" collapsed="false">
      <c r="A480" s="46"/>
    </row>
    <row r="481" customFormat="false" ht="12.75" hidden="false" customHeight="false" outlineLevel="0" collapsed="false">
      <c r="A481" s="46"/>
    </row>
    <row r="482" customFormat="false" ht="12.75" hidden="false" customHeight="false" outlineLevel="0" collapsed="false">
      <c r="A482" s="46"/>
    </row>
    <row r="483" customFormat="false" ht="12.75" hidden="false" customHeight="false" outlineLevel="0" collapsed="false">
      <c r="A483" s="46"/>
    </row>
    <row r="484" customFormat="false" ht="12.75" hidden="false" customHeight="false" outlineLevel="0" collapsed="false">
      <c r="A484" s="46"/>
    </row>
    <row r="485" customFormat="false" ht="12.75" hidden="false" customHeight="false" outlineLevel="0" collapsed="false">
      <c r="A485" s="46"/>
    </row>
    <row r="486" customFormat="false" ht="12.75" hidden="false" customHeight="false" outlineLevel="0" collapsed="false">
      <c r="A486" s="46"/>
    </row>
    <row r="487" customFormat="false" ht="12.75" hidden="false" customHeight="false" outlineLevel="0" collapsed="false">
      <c r="A487" s="46"/>
    </row>
    <row r="488" customFormat="false" ht="12.75" hidden="false" customHeight="false" outlineLevel="0" collapsed="false">
      <c r="A488" s="46"/>
    </row>
    <row r="489" customFormat="false" ht="12.75" hidden="false" customHeight="false" outlineLevel="0" collapsed="false">
      <c r="A489" s="46"/>
    </row>
    <row r="490" customFormat="false" ht="12.75" hidden="false" customHeight="false" outlineLevel="0" collapsed="false">
      <c r="A490" s="46"/>
    </row>
    <row r="491" customFormat="false" ht="12.75" hidden="false" customHeight="false" outlineLevel="0" collapsed="false">
      <c r="A491" s="46"/>
    </row>
    <row r="492" customFormat="false" ht="12.75" hidden="false" customHeight="false" outlineLevel="0" collapsed="false">
      <c r="A492" s="46"/>
    </row>
    <row r="493" customFormat="false" ht="12.75" hidden="false" customHeight="false" outlineLevel="0" collapsed="false">
      <c r="A493" s="46"/>
    </row>
    <row r="494" customFormat="false" ht="12.75" hidden="false" customHeight="false" outlineLevel="0" collapsed="false">
      <c r="A494" s="46"/>
    </row>
    <row r="495" customFormat="false" ht="12.75" hidden="false" customHeight="false" outlineLevel="0" collapsed="false">
      <c r="A495" s="46"/>
    </row>
    <row r="496" customFormat="false" ht="12.75" hidden="false" customHeight="false" outlineLevel="0" collapsed="false">
      <c r="A496" s="46"/>
    </row>
    <row r="497" customFormat="false" ht="12.75" hidden="false" customHeight="false" outlineLevel="0" collapsed="false">
      <c r="A497" s="46"/>
    </row>
    <row r="498" customFormat="false" ht="12.75" hidden="false" customHeight="false" outlineLevel="0" collapsed="false">
      <c r="A498" s="46"/>
    </row>
    <row r="499" customFormat="false" ht="12.75" hidden="false" customHeight="false" outlineLevel="0" collapsed="false">
      <c r="A499" s="46"/>
    </row>
    <row r="500" customFormat="false" ht="12.75" hidden="false" customHeight="false" outlineLevel="0" collapsed="false">
      <c r="A500" s="46"/>
    </row>
    <row r="501" customFormat="false" ht="12.75" hidden="false" customHeight="false" outlineLevel="0" collapsed="false">
      <c r="A501" s="46"/>
    </row>
    <row r="502" customFormat="false" ht="12.75" hidden="false" customHeight="false" outlineLevel="0" collapsed="false">
      <c r="A502" s="46"/>
    </row>
    <row r="503" customFormat="false" ht="12.75" hidden="false" customHeight="false" outlineLevel="0" collapsed="false">
      <c r="A503" s="46"/>
    </row>
    <row r="504" customFormat="false" ht="12.75" hidden="false" customHeight="false" outlineLevel="0" collapsed="false">
      <c r="A504" s="46"/>
    </row>
    <row r="505" customFormat="false" ht="12.75" hidden="false" customHeight="false" outlineLevel="0" collapsed="false">
      <c r="A505" s="46"/>
    </row>
    <row r="506" customFormat="false" ht="12.75" hidden="false" customHeight="false" outlineLevel="0" collapsed="false">
      <c r="A506" s="46"/>
    </row>
    <row r="507" customFormat="false" ht="12.75" hidden="false" customHeight="false" outlineLevel="0" collapsed="false">
      <c r="A507" s="46"/>
    </row>
    <row r="508" customFormat="false" ht="12.75" hidden="false" customHeight="false" outlineLevel="0" collapsed="false">
      <c r="A508" s="46"/>
    </row>
    <row r="509" customFormat="false" ht="12.75" hidden="false" customHeight="false" outlineLevel="0" collapsed="false">
      <c r="A509" s="46"/>
    </row>
    <row r="510" customFormat="false" ht="12.75" hidden="false" customHeight="false" outlineLevel="0" collapsed="false">
      <c r="A510" s="46"/>
    </row>
    <row r="511" customFormat="false" ht="12.75" hidden="false" customHeight="false" outlineLevel="0" collapsed="false">
      <c r="A511" s="46"/>
    </row>
    <row r="512" customFormat="false" ht="12.75" hidden="false" customHeight="false" outlineLevel="0" collapsed="false">
      <c r="A512" s="46"/>
    </row>
    <row r="513" customFormat="false" ht="12.75" hidden="false" customHeight="false" outlineLevel="0" collapsed="false">
      <c r="A513" s="46"/>
    </row>
    <row r="514" customFormat="false" ht="12.75" hidden="false" customHeight="false" outlineLevel="0" collapsed="false">
      <c r="A514" s="46"/>
    </row>
    <row r="515" customFormat="false" ht="12.75" hidden="false" customHeight="false" outlineLevel="0" collapsed="false">
      <c r="A515" s="46"/>
    </row>
  </sheetData>
  <printOptions headings="false" gridLines="true" gridLinesSet="true" horizontalCentered="true" verticalCentered="true"/>
  <pageMargins left="0" right="0" top="0" bottom="0" header="0" footer="0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3" manualBreakCount="3">
    <brk id="14" man="true" max="65535" min="0"/>
    <brk id="26" man="true" max="65535" min="0"/>
    <brk id="38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5" topLeftCell="P6" activePane="bottomRight" state="frozen"/>
      <selection pane="topLeft" activeCell="A1" activeCellId="0" sqref="A1"/>
      <selection pane="topRight" activeCell="P1" activeCellId="0" sqref="P1"/>
      <selection pane="bottomLeft" activeCell="A6" activeCellId="0" sqref="A6"/>
      <selection pane="bottomRight" activeCell="U11" activeCellId="0" sqref="U11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5" width="15.15"/>
    <col collapsed="false" customWidth="false" hidden="false" outlineLevel="0" max="2" min="2" style="46" width="15.15"/>
    <col collapsed="false" customWidth="true" hidden="false" outlineLevel="0" max="3" min="3" style="3" width="19.15"/>
    <col collapsed="false" customWidth="false" hidden="false" outlineLevel="0" max="5" min="4" style="3" width="15.15"/>
    <col collapsed="false" customWidth="true" hidden="false" outlineLevel="0" max="6" min="6" style="3" width="18.15"/>
    <col collapsed="false" customWidth="false" hidden="false" outlineLevel="0" max="8" min="7" style="3" width="15.15"/>
    <col collapsed="false" customWidth="true" hidden="false" outlineLevel="0" max="9" min="9" style="3" width="18.15"/>
    <col collapsed="false" customWidth="false" hidden="false" outlineLevel="0" max="11" min="10" style="3" width="15.15"/>
    <col collapsed="false" customWidth="true" hidden="false" outlineLevel="0" max="12" min="12" style="3" width="18.15"/>
    <col collapsed="false" customWidth="false" hidden="false" outlineLevel="0" max="14" min="13" style="3" width="15.15"/>
    <col collapsed="false" customWidth="true" hidden="false" outlineLevel="0" max="15" min="15" style="3" width="18.15"/>
    <col collapsed="false" customWidth="false" hidden="false" outlineLevel="0" max="17" min="16" style="3" width="15.15"/>
    <col collapsed="false" customWidth="true" hidden="false" outlineLevel="0" max="18" min="18" style="3" width="18.15"/>
    <col collapsed="false" customWidth="false" hidden="false" outlineLevel="0" max="20" min="19" style="3" width="15.15"/>
    <col collapsed="false" customWidth="true" hidden="false" outlineLevel="0" max="21" min="21" style="3" width="18.15"/>
    <col collapsed="false" customWidth="false" hidden="false" outlineLevel="0" max="23" min="22" style="3" width="15.15"/>
    <col collapsed="false" customWidth="true" hidden="false" outlineLevel="0" max="24" min="24" style="3" width="18.15"/>
    <col collapsed="false" customWidth="false" hidden="false" outlineLevel="0" max="26" min="25" style="3" width="15.15"/>
    <col collapsed="false" customWidth="true" hidden="false" outlineLevel="0" max="27" min="27" style="3" width="18.15"/>
    <col collapsed="false" customWidth="false" hidden="false" outlineLevel="0" max="29" min="28" style="3" width="15.15"/>
    <col collapsed="false" customWidth="true" hidden="false" outlineLevel="0" max="30" min="30" style="3" width="18.15"/>
    <col collapsed="false" customWidth="false" hidden="false" outlineLevel="0" max="32" min="31" style="3" width="15.15"/>
    <col collapsed="false" customWidth="true" hidden="false" outlineLevel="0" max="33" min="33" style="3" width="18.15"/>
    <col collapsed="false" customWidth="false" hidden="false" outlineLevel="0" max="35" min="34" style="3" width="15.15"/>
    <col collapsed="false" customWidth="true" hidden="false" outlineLevel="0" max="36" min="36" style="3" width="18.15"/>
    <col collapsed="false" customWidth="false" hidden="false" outlineLevel="0" max="38" min="37" style="3" width="15.15"/>
    <col collapsed="false" customWidth="true" hidden="false" outlineLevel="0" max="39" min="39" style="3" width="18.15"/>
    <col collapsed="false" customWidth="false" hidden="false" outlineLevel="0" max="40" min="40" style="3" width="15.15"/>
    <col collapsed="false" customWidth="true" hidden="false" outlineLevel="0" max="41" min="41" style="3" width="24.49"/>
    <col collapsed="false" customWidth="true" hidden="false" outlineLevel="0" max="42" min="42" style="3" width="18.15"/>
    <col collapsed="false" customWidth="false" hidden="false" outlineLevel="0" max="44" min="43" style="3" width="15.15"/>
    <col collapsed="false" customWidth="true" hidden="false" outlineLevel="0" max="45" min="45" style="3" width="18.15"/>
    <col collapsed="false" customWidth="false" hidden="false" outlineLevel="0" max="47" min="46" style="3" width="15.15"/>
    <col collapsed="false" customWidth="true" hidden="false" outlineLevel="0" max="48" min="48" style="3" width="18.15"/>
    <col collapsed="false" customWidth="false" hidden="false" outlineLevel="0" max="122" min="49" style="3" width="15.15"/>
    <col collapsed="false" customWidth="false" hidden="false" outlineLevel="0" max="123" min="123" style="49" width="15.15"/>
    <col collapsed="false" customWidth="false" hidden="false" outlineLevel="0" max="126" min="124" style="44" width="15.15"/>
    <col collapsed="false" customWidth="false" hidden="false" outlineLevel="0" max="128" min="127" style="3" width="15.15"/>
    <col collapsed="false" customWidth="false" hidden="false" outlineLevel="0" max="129" min="129" style="49" width="15.15"/>
    <col collapsed="false" customWidth="false" hidden="false" outlineLevel="0" max="141" min="130" style="3" width="15.15"/>
    <col collapsed="false" customWidth="false" hidden="false" outlineLevel="0" max="149" min="142" style="50" width="15.15"/>
    <col collapsed="false" customWidth="false" hidden="false" outlineLevel="0" max="171" min="150" style="51" width="15.15"/>
    <col collapsed="false" customWidth="false" hidden="false" outlineLevel="0" max="178" min="172" style="52" width="15.15"/>
    <col collapsed="false" customWidth="false" hidden="false" outlineLevel="0" max="257" min="179" style="1" width="15.15"/>
  </cols>
  <sheetData>
    <row r="1" customFormat="false" ht="12.75" hidden="false" customHeight="false" outlineLevel="0" collapsed="false">
      <c r="A1" s="53" t="s">
        <v>64</v>
      </c>
      <c r="B1" s="54" t="n">
        <f aca="false">+A6</f>
        <v>36708</v>
      </c>
      <c r="C1" s="8"/>
      <c r="D1" s="8"/>
      <c r="E1" s="8"/>
      <c r="F1" s="8" t="s">
        <v>80</v>
      </c>
      <c r="G1" s="8"/>
      <c r="H1" s="8"/>
      <c r="I1" s="8" t="s">
        <v>80</v>
      </c>
      <c r="J1" s="8"/>
      <c r="K1" s="8"/>
      <c r="L1" s="8" t="s">
        <v>81</v>
      </c>
      <c r="M1" s="8"/>
      <c r="N1" s="8"/>
      <c r="O1" s="8" t="s">
        <v>5</v>
      </c>
      <c r="P1" s="8"/>
      <c r="Q1" s="8"/>
      <c r="R1" s="8"/>
      <c r="S1" s="8"/>
      <c r="T1" s="8"/>
      <c r="U1" s="8" t="s">
        <v>80</v>
      </c>
      <c r="V1" s="8"/>
      <c r="W1" s="8"/>
      <c r="X1" s="8" t="s">
        <v>4</v>
      </c>
      <c r="Y1" s="8"/>
      <c r="Z1" s="8"/>
      <c r="AA1" s="8" t="n">
        <v>4.73</v>
      </c>
      <c r="AB1" s="8"/>
      <c r="AC1" s="8"/>
      <c r="AD1" s="8" t="n">
        <v>4.73</v>
      </c>
      <c r="AE1" s="8"/>
      <c r="AF1" s="8"/>
      <c r="AG1" s="8" t="s">
        <v>82</v>
      </c>
      <c r="AH1" s="8"/>
      <c r="AI1" s="8"/>
      <c r="AJ1" s="8" t="s">
        <v>82</v>
      </c>
      <c r="AK1" s="8"/>
      <c r="AL1" s="8"/>
      <c r="AM1" s="8" t="n">
        <v>4.86</v>
      </c>
      <c r="AN1" s="8"/>
      <c r="AO1" s="8"/>
      <c r="AP1" s="8" t="s">
        <v>4</v>
      </c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53"/>
      <c r="DT1" s="53"/>
      <c r="DU1" s="53"/>
      <c r="DV1" s="53"/>
      <c r="DW1" s="8"/>
      <c r="DX1" s="8"/>
      <c r="DY1" s="107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10" t="s">
        <v>40</v>
      </c>
      <c r="B2" s="10"/>
      <c r="C2" s="13" t="n">
        <v>111891</v>
      </c>
      <c r="D2" s="13"/>
      <c r="E2" s="13"/>
      <c r="F2" s="13" t="n">
        <v>302097</v>
      </c>
      <c r="G2" s="13"/>
      <c r="H2" s="13"/>
      <c r="I2" s="13" t="n">
        <v>302218</v>
      </c>
      <c r="J2" s="13"/>
      <c r="K2" s="13"/>
      <c r="L2" s="13" t="n">
        <v>303339</v>
      </c>
      <c r="M2" s="13"/>
      <c r="N2" s="13"/>
      <c r="O2" s="13" t="n">
        <v>307088</v>
      </c>
      <c r="P2" s="13"/>
      <c r="Q2" s="13"/>
      <c r="R2" s="13" t="n">
        <v>293828</v>
      </c>
      <c r="S2" s="13"/>
      <c r="T2" s="13"/>
      <c r="U2" s="13" t="n">
        <v>302212</v>
      </c>
      <c r="V2" s="13"/>
      <c r="W2" s="13"/>
      <c r="X2" s="13" t="n">
        <v>312190</v>
      </c>
      <c r="Y2" s="13"/>
      <c r="Z2" s="13"/>
      <c r="AA2" s="13" t="n">
        <v>312005</v>
      </c>
      <c r="AB2" s="13"/>
      <c r="AC2" s="13"/>
      <c r="AD2" s="13" t="n">
        <v>312510</v>
      </c>
      <c r="AE2" s="13"/>
      <c r="AF2" s="13"/>
      <c r="AG2" s="13" t="n">
        <v>314685</v>
      </c>
      <c r="AH2" s="13"/>
      <c r="AI2" s="13"/>
      <c r="AJ2" s="13" t="n">
        <v>314685</v>
      </c>
      <c r="AK2" s="13"/>
      <c r="AL2" s="13"/>
      <c r="AM2" s="13" t="n">
        <v>317041</v>
      </c>
      <c r="AN2" s="13"/>
      <c r="AO2" s="13"/>
      <c r="AP2" s="13" t="n">
        <v>311888</v>
      </c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63"/>
      <c r="DT2" s="4"/>
      <c r="DU2" s="4"/>
      <c r="DV2" s="64"/>
      <c r="DW2" s="13"/>
      <c r="DX2" s="13"/>
      <c r="DY2" s="108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65"/>
      <c r="EM2" s="65"/>
      <c r="EN2" s="65"/>
      <c r="EO2" s="65"/>
      <c r="EP2" s="65"/>
      <c r="EQ2" s="65"/>
      <c r="ER2" s="65"/>
      <c r="ES2" s="65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7"/>
      <c r="FQ2" s="67"/>
      <c r="FR2" s="67"/>
      <c r="FS2" s="67"/>
      <c r="FT2" s="67"/>
      <c r="FU2" s="67"/>
      <c r="FV2" s="67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10" t="s">
        <v>83</v>
      </c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 t="s">
        <v>13</v>
      </c>
      <c r="P3" s="13"/>
      <c r="Q3" s="13"/>
      <c r="R3" s="13" t="s">
        <v>12</v>
      </c>
      <c r="S3" s="13"/>
      <c r="T3" s="13"/>
      <c r="U3" s="13" t="s">
        <v>32</v>
      </c>
      <c r="V3" s="13"/>
      <c r="W3" s="13"/>
      <c r="X3" s="13" t="s">
        <v>32</v>
      </c>
      <c r="Y3" s="13"/>
      <c r="Z3" s="13"/>
      <c r="AA3" s="13" t="s">
        <v>31</v>
      </c>
      <c r="AB3" s="13"/>
      <c r="AC3" s="13"/>
      <c r="AD3" s="13" t="s">
        <v>31</v>
      </c>
      <c r="AE3" s="13"/>
      <c r="AF3" s="13"/>
      <c r="AG3" s="13" t="s">
        <v>84</v>
      </c>
      <c r="AH3" s="13"/>
      <c r="AI3" s="13"/>
      <c r="AJ3" s="13" t="s">
        <v>84</v>
      </c>
      <c r="AK3" s="13"/>
      <c r="AL3" s="13"/>
      <c r="AM3" s="13" t="s">
        <v>85</v>
      </c>
      <c r="AN3" s="13"/>
      <c r="AO3" s="13"/>
      <c r="AP3" s="13" t="s">
        <v>20</v>
      </c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63"/>
      <c r="DT3" s="4"/>
      <c r="DU3" s="4"/>
      <c r="DV3" s="64"/>
      <c r="DW3" s="13"/>
      <c r="DX3" s="13"/>
      <c r="DY3" s="108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65"/>
      <c r="EM3" s="65"/>
      <c r="EN3" s="65"/>
      <c r="EO3" s="65"/>
      <c r="EP3" s="65"/>
      <c r="EQ3" s="65"/>
      <c r="ER3" s="65"/>
      <c r="ES3" s="65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7"/>
      <c r="FQ3" s="67"/>
      <c r="FR3" s="67"/>
      <c r="FS3" s="67"/>
      <c r="FT3" s="67"/>
      <c r="FU3" s="67"/>
      <c r="FV3" s="67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true" outlineLevel="0" collapsed="false">
      <c r="A4" s="10" t="s">
        <v>71</v>
      </c>
      <c r="B4" s="10" t="s">
        <v>72</v>
      </c>
      <c r="C4" s="13" t="s">
        <v>86</v>
      </c>
      <c r="D4" s="13"/>
      <c r="E4" s="13" t="s">
        <v>68</v>
      </c>
      <c r="F4" s="13" t="s">
        <v>32</v>
      </c>
      <c r="G4" s="13"/>
      <c r="H4" s="13" t="s">
        <v>68</v>
      </c>
      <c r="I4" s="13" t="s">
        <v>32</v>
      </c>
      <c r="J4" s="13"/>
      <c r="K4" s="13" t="s">
        <v>68</v>
      </c>
      <c r="L4" s="13" t="s">
        <v>87</v>
      </c>
      <c r="M4" s="13"/>
      <c r="N4" s="13" t="s">
        <v>68</v>
      </c>
      <c r="O4" s="13"/>
      <c r="P4" s="13"/>
      <c r="Q4" s="13" t="s">
        <v>68</v>
      </c>
      <c r="R4" s="13"/>
      <c r="S4" s="13"/>
      <c r="T4" s="13" t="s">
        <v>68</v>
      </c>
      <c r="U4" s="13"/>
      <c r="V4" s="13"/>
      <c r="W4" s="13" t="s">
        <v>68</v>
      </c>
      <c r="X4" s="13"/>
      <c r="Y4" s="13"/>
      <c r="Z4" s="13" t="s">
        <v>68</v>
      </c>
      <c r="AA4" s="13"/>
      <c r="AB4" s="13"/>
      <c r="AC4" s="13" t="s">
        <v>68</v>
      </c>
      <c r="AD4" s="13"/>
      <c r="AE4" s="13"/>
      <c r="AF4" s="13" t="s">
        <v>68</v>
      </c>
      <c r="AG4" s="13"/>
      <c r="AH4" s="13"/>
      <c r="AI4" s="13" t="s">
        <v>68</v>
      </c>
      <c r="AJ4" s="13"/>
      <c r="AK4" s="13"/>
      <c r="AL4" s="13" t="s">
        <v>68</v>
      </c>
      <c r="AM4" s="13"/>
      <c r="AN4" s="13"/>
      <c r="AO4" s="13" t="s">
        <v>68</v>
      </c>
      <c r="AP4" s="13"/>
      <c r="AQ4" s="13"/>
      <c r="AR4" s="13" t="s">
        <v>68</v>
      </c>
      <c r="AS4" s="13"/>
      <c r="AT4" s="13"/>
      <c r="AU4" s="13" t="s">
        <v>68</v>
      </c>
      <c r="AV4" s="13"/>
      <c r="AW4" s="13"/>
      <c r="AX4" s="13" t="s">
        <v>68</v>
      </c>
      <c r="AY4" s="13"/>
      <c r="AZ4" s="13"/>
      <c r="BA4" s="13" t="s">
        <v>68</v>
      </c>
      <c r="BB4" s="13"/>
      <c r="BC4" s="13"/>
      <c r="BD4" s="13" t="s">
        <v>68</v>
      </c>
      <c r="BE4" s="13"/>
      <c r="BF4" s="13"/>
      <c r="BG4" s="13" t="s">
        <v>68</v>
      </c>
      <c r="BH4" s="13"/>
      <c r="BI4" s="13"/>
      <c r="BJ4" s="13" t="s">
        <v>68</v>
      </c>
      <c r="BK4" s="13"/>
      <c r="BL4" s="13"/>
      <c r="BM4" s="13" t="s">
        <v>68</v>
      </c>
      <c r="BN4" s="13"/>
      <c r="BO4" s="13"/>
      <c r="BP4" s="13" t="s">
        <v>68</v>
      </c>
      <c r="BQ4" s="13"/>
      <c r="BR4" s="13"/>
      <c r="BS4" s="13" t="s">
        <v>68</v>
      </c>
      <c r="BT4" s="13"/>
      <c r="BU4" s="13"/>
      <c r="BV4" s="13" t="s">
        <v>68</v>
      </c>
      <c r="BW4" s="13"/>
      <c r="BX4" s="13"/>
      <c r="BY4" s="13" t="s">
        <v>68</v>
      </c>
      <c r="BZ4" s="13"/>
      <c r="CA4" s="13"/>
      <c r="CB4" s="13" t="s">
        <v>68</v>
      </c>
      <c r="CC4" s="13"/>
      <c r="CD4" s="13"/>
      <c r="CE4" s="13" t="s">
        <v>68</v>
      </c>
      <c r="CF4" s="13"/>
      <c r="CG4" s="13"/>
      <c r="CH4" s="13" t="s">
        <v>68</v>
      </c>
      <c r="CI4" s="13"/>
      <c r="CJ4" s="13"/>
      <c r="CK4" s="13" t="s">
        <v>68</v>
      </c>
      <c r="CL4" s="13"/>
      <c r="CM4" s="13"/>
      <c r="CN4" s="13" t="s">
        <v>68</v>
      </c>
      <c r="CO4" s="13"/>
      <c r="CP4" s="13"/>
      <c r="CQ4" s="13" t="s">
        <v>68</v>
      </c>
      <c r="CR4" s="13"/>
      <c r="CS4" s="13"/>
      <c r="CT4" s="13" t="s">
        <v>68</v>
      </c>
      <c r="CU4" s="13"/>
      <c r="CV4" s="13"/>
      <c r="CW4" s="13" t="s">
        <v>68</v>
      </c>
      <c r="CX4" s="13"/>
      <c r="CY4" s="13"/>
      <c r="CZ4" s="13" t="s">
        <v>68</v>
      </c>
      <c r="DA4" s="13"/>
      <c r="DB4" s="13"/>
      <c r="DC4" s="13" t="s">
        <v>68</v>
      </c>
      <c r="DD4" s="13"/>
      <c r="DE4" s="13"/>
      <c r="DF4" s="13" t="s">
        <v>68</v>
      </c>
      <c r="DG4" s="13"/>
      <c r="DH4" s="13"/>
      <c r="DI4" s="13" t="s">
        <v>68</v>
      </c>
      <c r="DJ4" s="13"/>
      <c r="DK4" s="13"/>
      <c r="DL4" s="13" t="s">
        <v>68</v>
      </c>
      <c r="DM4" s="13"/>
      <c r="DN4" s="13"/>
      <c r="DO4" s="13" t="s">
        <v>68</v>
      </c>
      <c r="DP4" s="13"/>
      <c r="DQ4" s="13"/>
      <c r="DR4" s="13" t="s">
        <v>68</v>
      </c>
      <c r="DS4" s="10" t="s">
        <v>45</v>
      </c>
      <c r="DT4" s="11" t="s">
        <v>45</v>
      </c>
      <c r="DU4" s="4"/>
      <c r="DV4" s="64"/>
      <c r="DW4" s="13"/>
      <c r="DX4" s="13"/>
      <c r="DY4" s="108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65"/>
      <c r="EM4" s="65"/>
      <c r="EN4" s="65"/>
      <c r="EO4" s="65"/>
      <c r="EP4" s="65"/>
      <c r="EQ4" s="65"/>
      <c r="ER4" s="65"/>
      <c r="ES4" s="65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7"/>
      <c r="FQ4" s="67"/>
      <c r="FR4" s="67"/>
      <c r="FS4" s="67"/>
      <c r="FT4" s="67"/>
      <c r="FU4" s="67"/>
      <c r="FV4" s="67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46</v>
      </c>
      <c r="B5" s="10" t="s">
        <v>74</v>
      </c>
      <c r="C5" s="23"/>
      <c r="D5" s="23"/>
      <c r="E5" s="23" t="s">
        <v>75</v>
      </c>
      <c r="F5" s="23" t="s">
        <v>49</v>
      </c>
      <c r="G5" s="23"/>
      <c r="H5" s="23" t="s">
        <v>75</v>
      </c>
      <c r="I5" s="23" t="s">
        <v>56</v>
      </c>
      <c r="J5" s="23"/>
      <c r="K5" s="23" t="s">
        <v>75</v>
      </c>
      <c r="L5" s="23" t="s">
        <v>51</v>
      </c>
      <c r="M5" s="23"/>
      <c r="N5" s="23" t="s">
        <v>75</v>
      </c>
      <c r="O5" s="23" t="s">
        <v>52</v>
      </c>
      <c r="P5" s="23"/>
      <c r="Q5" s="23" t="s">
        <v>75</v>
      </c>
      <c r="R5" s="23" t="s">
        <v>88</v>
      </c>
      <c r="S5" s="23"/>
      <c r="T5" s="23" t="s">
        <v>75</v>
      </c>
      <c r="U5" s="23" t="s">
        <v>52</v>
      </c>
      <c r="V5" s="23"/>
      <c r="W5" s="23" t="s">
        <v>75</v>
      </c>
      <c r="X5" s="23" t="s">
        <v>49</v>
      </c>
      <c r="Y5" s="23"/>
      <c r="Z5" s="23" t="s">
        <v>75</v>
      </c>
      <c r="AA5" s="23" t="s">
        <v>49</v>
      </c>
      <c r="AB5" s="23"/>
      <c r="AC5" s="23" t="s">
        <v>75</v>
      </c>
      <c r="AD5" s="23" t="s">
        <v>49</v>
      </c>
      <c r="AE5" s="23"/>
      <c r="AF5" s="23" t="s">
        <v>75</v>
      </c>
      <c r="AG5" s="23" t="s">
        <v>50</v>
      </c>
      <c r="AH5" s="23"/>
      <c r="AI5" s="23" t="s">
        <v>75</v>
      </c>
      <c r="AJ5" s="23" t="s">
        <v>48</v>
      </c>
      <c r="AK5" s="23"/>
      <c r="AL5" s="23" t="s">
        <v>75</v>
      </c>
      <c r="AM5" s="23" t="s">
        <v>56</v>
      </c>
      <c r="AN5" s="23"/>
      <c r="AO5" s="23" t="s">
        <v>75</v>
      </c>
      <c r="AP5" s="23" t="s">
        <v>51</v>
      </c>
      <c r="AQ5" s="23"/>
      <c r="AR5" s="23" t="s">
        <v>75</v>
      </c>
      <c r="AS5" s="23"/>
      <c r="AT5" s="23"/>
      <c r="AU5" s="23" t="s">
        <v>75</v>
      </c>
      <c r="AV5" s="23"/>
      <c r="AW5" s="23"/>
      <c r="AX5" s="23" t="s">
        <v>75</v>
      </c>
      <c r="AY5" s="23"/>
      <c r="AZ5" s="23"/>
      <c r="BA5" s="23" t="s">
        <v>75</v>
      </c>
      <c r="BB5" s="23"/>
      <c r="BC5" s="23"/>
      <c r="BD5" s="23" t="s">
        <v>75</v>
      </c>
      <c r="BE5" s="23"/>
      <c r="BF5" s="23"/>
      <c r="BG5" s="23" t="s">
        <v>75</v>
      </c>
      <c r="BH5" s="23"/>
      <c r="BI5" s="23"/>
      <c r="BJ5" s="23" t="s">
        <v>75</v>
      </c>
      <c r="BK5" s="23"/>
      <c r="BL5" s="23"/>
      <c r="BM5" s="23" t="s">
        <v>75</v>
      </c>
      <c r="BN5" s="23"/>
      <c r="BO5" s="23"/>
      <c r="BP5" s="23" t="s">
        <v>75</v>
      </c>
      <c r="BQ5" s="23"/>
      <c r="BR5" s="23"/>
      <c r="BS5" s="23" t="s">
        <v>75</v>
      </c>
      <c r="BT5" s="23"/>
      <c r="BU5" s="23"/>
      <c r="BV5" s="23" t="s">
        <v>75</v>
      </c>
      <c r="BW5" s="23"/>
      <c r="BX5" s="23"/>
      <c r="BY5" s="23" t="s">
        <v>75</v>
      </c>
      <c r="BZ5" s="23"/>
      <c r="CA5" s="23"/>
      <c r="CB5" s="23" t="s">
        <v>75</v>
      </c>
      <c r="CC5" s="23"/>
      <c r="CD5" s="23"/>
      <c r="CE5" s="23" t="s">
        <v>75</v>
      </c>
      <c r="CF5" s="23"/>
      <c r="CG5" s="23"/>
      <c r="CH5" s="23" t="s">
        <v>75</v>
      </c>
      <c r="CI5" s="23"/>
      <c r="CJ5" s="23"/>
      <c r="CK5" s="23" t="s">
        <v>75</v>
      </c>
      <c r="CL5" s="23"/>
      <c r="CM5" s="23"/>
      <c r="CN5" s="23" t="s">
        <v>75</v>
      </c>
      <c r="CO5" s="23"/>
      <c r="CP5" s="23"/>
      <c r="CQ5" s="23" t="s">
        <v>75</v>
      </c>
      <c r="CR5" s="23"/>
      <c r="CS5" s="23"/>
      <c r="CT5" s="23" t="s">
        <v>75</v>
      </c>
      <c r="CU5" s="23"/>
      <c r="CV5" s="23"/>
      <c r="CW5" s="23" t="s">
        <v>75</v>
      </c>
      <c r="CX5" s="23"/>
      <c r="CY5" s="23"/>
      <c r="CZ5" s="23" t="s">
        <v>75</v>
      </c>
      <c r="DA5" s="23"/>
      <c r="DB5" s="23"/>
      <c r="DC5" s="23" t="s">
        <v>75</v>
      </c>
      <c r="DD5" s="23"/>
      <c r="DE5" s="23"/>
      <c r="DF5" s="23" t="s">
        <v>75</v>
      </c>
      <c r="DG5" s="23"/>
      <c r="DH5" s="23"/>
      <c r="DI5" s="23" t="s">
        <v>75</v>
      </c>
      <c r="DJ5" s="23"/>
      <c r="DK5" s="23"/>
      <c r="DL5" s="23" t="s">
        <v>75</v>
      </c>
      <c r="DM5" s="23"/>
      <c r="DN5" s="23"/>
      <c r="DO5" s="23" t="s">
        <v>75</v>
      </c>
      <c r="DP5" s="23"/>
      <c r="DQ5" s="23"/>
      <c r="DR5" s="23" t="s">
        <v>75</v>
      </c>
      <c r="DS5" s="64" t="s">
        <v>64</v>
      </c>
      <c r="DT5" s="64" t="s">
        <v>76</v>
      </c>
      <c r="DU5" s="64" t="s">
        <v>75</v>
      </c>
      <c r="DV5" s="23"/>
      <c r="DW5" s="23"/>
      <c r="DX5" s="23"/>
      <c r="DY5" s="109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76"/>
      <c r="EM5" s="76"/>
      <c r="EN5" s="76"/>
      <c r="EO5" s="76"/>
      <c r="EP5" s="76"/>
      <c r="EQ5" s="76"/>
      <c r="ER5" s="76"/>
      <c r="ES5" s="76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8"/>
      <c r="FQ5" s="78"/>
      <c r="FR5" s="78"/>
      <c r="FS5" s="78"/>
      <c r="FT5" s="78"/>
      <c r="FU5" s="78"/>
      <c r="FV5" s="78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</row>
    <row r="6" customFormat="false" ht="12.75" hidden="false" customHeight="false" outlineLevel="0" collapsed="false">
      <c r="A6" s="110" t="n">
        <v>36708</v>
      </c>
      <c r="B6" s="80" t="s">
        <v>89</v>
      </c>
      <c r="C6" s="26" t="n">
        <v>4178</v>
      </c>
      <c r="D6" s="26" t="n">
        <v>4178</v>
      </c>
      <c r="E6" s="81" t="n">
        <f aca="false">D6-C6</f>
        <v>0</v>
      </c>
      <c r="F6" s="26" t="n">
        <v>20000</v>
      </c>
      <c r="G6" s="26" t="n">
        <v>20000</v>
      </c>
      <c r="H6" s="81" t="n">
        <f aca="false">G6-F6</f>
        <v>0</v>
      </c>
      <c r="I6" s="26" t="n">
        <v>2489</v>
      </c>
      <c r="J6" s="26" t="n">
        <v>2489</v>
      </c>
      <c r="K6" s="81" t="n">
        <f aca="false">J6-I6</f>
        <v>0</v>
      </c>
      <c r="L6" s="26" t="n">
        <v>10000</v>
      </c>
      <c r="M6" s="26" t="n">
        <v>10000</v>
      </c>
      <c r="N6" s="81" t="n">
        <f aca="false">M6-L6</f>
        <v>0</v>
      </c>
      <c r="O6" s="26" t="n">
        <f aca="false">5000+5000</f>
        <v>10000</v>
      </c>
      <c r="P6" s="26" t="n">
        <v>10000</v>
      </c>
      <c r="Q6" s="81" t="n">
        <f aca="false">P6-O6</f>
        <v>0</v>
      </c>
      <c r="R6" s="26" t="n">
        <v>5000</v>
      </c>
      <c r="S6" s="26" t="n">
        <v>5000</v>
      </c>
      <c r="T6" s="81" t="n">
        <f aca="false">S6-R6</f>
        <v>0</v>
      </c>
      <c r="U6" s="26" t="n">
        <f aca="false">1000+4000</f>
        <v>5000</v>
      </c>
      <c r="V6" s="26" t="n">
        <f aca="false">1000+4000</f>
        <v>5000</v>
      </c>
      <c r="W6" s="81" t="n">
        <f aca="false">V6-U6</f>
        <v>0</v>
      </c>
      <c r="X6" s="26" t="n">
        <v>10000</v>
      </c>
      <c r="Y6" s="26" t="n">
        <v>10000</v>
      </c>
      <c r="Z6" s="81" t="n">
        <f aca="false">Y6-X6</f>
        <v>0</v>
      </c>
      <c r="AA6" s="26" t="n">
        <v>4047</v>
      </c>
      <c r="AB6" s="26" t="n">
        <v>4047</v>
      </c>
      <c r="AC6" s="81" t="n">
        <f aca="false">AB6-AA6</f>
        <v>0</v>
      </c>
      <c r="AD6" s="26" t="n">
        <v>4047</v>
      </c>
      <c r="AE6" s="26" t="n">
        <v>4047</v>
      </c>
      <c r="AF6" s="81" t="n">
        <f aca="false">AE6-AD6</f>
        <v>0</v>
      </c>
      <c r="AG6" s="26" t="n">
        <v>4810</v>
      </c>
      <c r="AH6" s="26" t="n">
        <v>4810</v>
      </c>
      <c r="AI6" s="81" t="n">
        <f aca="false">AH6-AG6</f>
        <v>0</v>
      </c>
      <c r="AJ6" s="26" t="n">
        <v>3000</v>
      </c>
      <c r="AK6" s="26" t="n">
        <v>3000</v>
      </c>
      <c r="AL6" s="81" t="n">
        <f aca="false">AK6-AJ6</f>
        <v>0</v>
      </c>
      <c r="AM6" s="26" t="n">
        <v>5165</v>
      </c>
      <c r="AN6" s="26" t="n">
        <v>5165</v>
      </c>
      <c r="AO6" s="81" t="n">
        <f aca="false">AN6-AM6</f>
        <v>0</v>
      </c>
      <c r="AP6" s="26" t="n">
        <v>5000</v>
      </c>
      <c r="AQ6" s="26" t="n">
        <v>5000</v>
      </c>
      <c r="AR6" s="81" t="n">
        <f aca="false">AQ6-AP6</f>
        <v>0</v>
      </c>
      <c r="AS6" s="26"/>
      <c r="AT6" s="26"/>
      <c r="AU6" s="81" t="n">
        <f aca="false">AT6-AS6</f>
        <v>0</v>
      </c>
      <c r="AV6" s="26"/>
      <c r="AW6" s="26"/>
      <c r="AX6" s="81" t="n">
        <f aca="false">AW6-AV6</f>
        <v>0</v>
      </c>
      <c r="AY6" s="26"/>
      <c r="AZ6" s="26"/>
      <c r="BA6" s="81" t="n">
        <f aca="false">AZ6-AY6</f>
        <v>0</v>
      </c>
      <c r="BB6" s="26"/>
      <c r="BC6" s="26"/>
      <c r="BD6" s="81" t="n">
        <f aca="false">BC6-BB6</f>
        <v>0</v>
      </c>
      <c r="BE6" s="26"/>
      <c r="BF6" s="26"/>
      <c r="BG6" s="81" t="n">
        <f aca="false">BF6-BE6</f>
        <v>0</v>
      </c>
      <c r="BH6" s="26"/>
      <c r="BI6" s="26"/>
      <c r="BJ6" s="81" t="n">
        <f aca="false">BI6-BH6</f>
        <v>0</v>
      </c>
      <c r="BK6" s="26"/>
      <c r="BL6" s="26"/>
      <c r="BM6" s="81" t="n">
        <f aca="false">BL6-BK6</f>
        <v>0</v>
      </c>
      <c r="BN6" s="26"/>
      <c r="BO6" s="26"/>
      <c r="BP6" s="81" t="n">
        <f aca="false">BO6-BN6</f>
        <v>0</v>
      </c>
      <c r="BQ6" s="26"/>
      <c r="BR6" s="26"/>
      <c r="BS6" s="81" t="n">
        <f aca="false">BR6-BQ6</f>
        <v>0</v>
      </c>
      <c r="BT6" s="26"/>
      <c r="BU6" s="26"/>
      <c r="BV6" s="81" t="n">
        <f aca="false">BU6-BT6</f>
        <v>0</v>
      </c>
      <c r="BW6" s="26"/>
      <c r="BX6" s="26"/>
      <c r="BY6" s="81" t="n">
        <f aca="false">BX6-BW6</f>
        <v>0</v>
      </c>
      <c r="BZ6" s="26"/>
      <c r="CA6" s="26"/>
      <c r="CB6" s="81" t="n">
        <f aca="false">CA6-BZ6</f>
        <v>0</v>
      </c>
      <c r="CC6" s="26"/>
      <c r="CD6" s="26"/>
      <c r="CE6" s="81" t="n">
        <f aca="false">CD6-CC6</f>
        <v>0</v>
      </c>
      <c r="CF6" s="26"/>
      <c r="CG6" s="26"/>
      <c r="CH6" s="81" t="n">
        <f aca="false">CG6-CF6</f>
        <v>0</v>
      </c>
      <c r="CI6" s="26"/>
      <c r="CJ6" s="26"/>
      <c r="CK6" s="81" t="n">
        <f aca="false">CJ6-CI6</f>
        <v>0</v>
      </c>
      <c r="CL6" s="26"/>
      <c r="CM6" s="26"/>
      <c r="CN6" s="81" t="n">
        <f aca="false">CM6-CL6</f>
        <v>0</v>
      </c>
      <c r="CO6" s="26"/>
      <c r="CP6" s="26"/>
      <c r="CQ6" s="81" t="n">
        <f aca="false">CP6-CO6</f>
        <v>0</v>
      </c>
      <c r="CR6" s="26"/>
      <c r="CS6" s="26"/>
      <c r="CT6" s="81" t="n">
        <f aca="false">CS6-CR6</f>
        <v>0</v>
      </c>
      <c r="CU6" s="26"/>
      <c r="CV6" s="26"/>
      <c r="CW6" s="81" t="n">
        <f aca="false">CV6-CU6</f>
        <v>0</v>
      </c>
      <c r="CX6" s="26"/>
      <c r="CY6" s="26"/>
      <c r="CZ6" s="81" t="n">
        <f aca="false">CY6-CX6</f>
        <v>0</v>
      </c>
      <c r="DA6" s="26"/>
      <c r="DB6" s="26"/>
      <c r="DC6" s="81" t="n">
        <f aca="false">DB6-DA6</f>
        <v>0</v>
      </c>
      <c r="DD6" s="26"/>
      <c r="DE6" s="26"/>
      <c r="DF6" s="81" t="n">
        <f aca="false">DE6-DD6</f>
        <v>0</v>
      </c>
      <c r="DG6" s="26"/>
      <c r="DH6" s="26"/>
      <c r="DI6" s="81" t="n">
        <f aca="false">DH6-DG6</f>
        <v>0</v>
      </c>
      <c r="DJ6" s="26"/>
      <c r="DK6" s="26"/>
      <c r="DL6" s="81" t="n">
        <f aca="false">DK6-DJ6</f>
        <v>0</v>
      </c>
      <c r="DM6" s="26"/>
      <c r="DN6" s="26"/>
      <c r="DO6" s="81" t="n">
        <f aca="false">DN6-DM6</f>
        <v>0</v>
      </c>
      <c r="DP6" s="26"/>
      <c r="DQ6" s="26"/>
      <c r="DR6" s="81" t="n">
        <f aca="false">DQ6-DP6</f>
        <v>0</v>
      </c>
      <c r="DS6" s="81" t="n">
        <f aca="false">+C6+F6+I6+L6+O6+R6+U6+X6+AA6+AD6+AG6+AJ6+AM6+AP6+AS6+AV6+AY6+BB6+BE6+BH6+BK6+BN6+BQ6+BT6+BW6+BZ6+CC6+CF6+CI6+CL6+CO6+CR6+CU6+CX6+DA6+DD6+DG6+DJ6+DM6+DP6</f>
        <v>92736</v>
      </c>
      <c r="DT6" s="81" t="n">
        <f aca="false">+D6+G6+J6+M6+P6+S6+V6+Y6+AB6+AE6+AH6+AK6+AN6+AQ6+AT6+AW6+AZ6+BC6+BF6+BI6+BL6+BO6+BR6+BU6+BX6+CA6+CD6+CG6+CJ6+CM6+CP6+CS6+CV6+CY6+DB6+DE6+DH6+DK6+DN6+DQ6</f>
        <v>92736</v>
      </c>
      <c r="DU6" s="81" t="n">
        <f aca="false">DT6-DS6</f>
        <v>0</v>
      </c>
      <c r="DV6" s="26"/>
      <c r="DW6" s="26"/>
      <c r="DX6" s="81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42"/>
      <c r="EM6" s="42"/>
      <c r="EN6" s="42"/>
      <c r="EO6" s="42"/>
      <c r="EP6" s="42"/>
      <c r="EQ6" s="42"/>
      <c r="ER6" s="42"/>
      <c r="ES6" s="42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5"/>
      <c r="FQ6" s="85"/>
      <c r="FR6" s="85"/>
      <c r="FS6" s="85"/>
      <c r="FT6" s="85"/>
      <c r="FU6" s="85"/>
      <c r="FV6" s="85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customFormat="false" ht="12.75" hidden="false" customHeight="false" outlineLevel="0" collapsed="false">
      <c r="A7" s="80" t="n">
        <f aca="false">A6+1</f>
        <v>36709</v>
      </c>
      <c r="B7" s="80" t="s">
        <v>90</v>
      </c>
      <c r="C7" s="26" t="n">
        <v>4178</v>
      </c>
      <c r="D7" s="26" t="n">
        <v>4178</v>
      </c>
      <c r="E7" s="81" t="n">
        <f aca="false">D7-C7</f>
        <v>0</v>
      </c>
      <c r="F7" s="26" t="n">
        <v>20000</v>
      </c>
      <c r="G7" s="26" t="n">
        <v>20000</v>
      </c>
      <c r="H7" s="81" t="n">
        <f aca="false">G7-F7</f>
        <v>0</v>
      </c>
      <c r="I7" s="26" t="n">
        <v>2316</v>
      </c>
      <c r="J7" s="26" t="n">
        <v>2316</v>
      </c>
      <c r="K7" s="81" t="n">
        <f aca="false">J7-I7</f>
        <v>0</v>
      </c>
      <c r="L7" s="26" t="n">
        <v>10000</v>
      </c>
      <c r="M7" s="26" t="n">
        <v>10000</v>
      </c>
      <c r="N7" s="81" t="n">
        <f aca="false">M7-L7</f>
        <v>0</v>
      </c>
      <c r="O7" s="26" t="n">
        <f aca="false">5000+5000</f>
        <v>10000</v>
      </c>
      <c r="P7" s="26" t="n">
        <v>10000</v>
      </c>
      <c r="Q7" s="81" t="n">
        <f aca="false">P7-O7</f>
        <v>0</v>
      </c>
      <c r="R7" s="26" t="n">
        <v>5000</v>
      </c>
      <c r="S7" s="26" t="n">
        <v>5000</v>
      </c>
      <c r="T7" s="81" t="n">
        <f aca="false">S7-R7</f>
        <v>0</v>
      </c>
      <c r="U7" s="26" t="n">
        <f aca="false">1000+4000</f>
        <v>5000</v>
      </c>
      <c r="V7" s="26" t="n">
        <f aca="false">1000+4000</f>
        <v>5000</v>
      </c>
      <c r="W7" s="81" t="n">
        <f aca="false">V7-U7</f>
        <v>0</v>
      </c>
      <c r="X7" s="26" t="n">
        <v>10000</v>
      </c>
      <c r="Y7" s="26" t="n">
        <v>10000</v>
      </c>
      <c r="Z7" s="81" t="n">
        <f aca="false">Y7-X7</f>
        <v>0</v>
      </c>
      <c r="AA7" s="26" t="n">
        <v>3394</v>
      </c>
      <c r="AB7" s="26" t="n">
        <v>3394</v>
      </c>
      <c r="AC7" s="81" t="n">
        <f aca="false">AB7-AA7</f>
        <v>0</v>
      </c>
      <c r="AD7" s="26" t="n">
        <v>3394</v>
      </c>
      <c r="AE7" s="26" t="n">
        <v>3394</v>
      </c>
      <c r="AF7" s="81" t="n">
        <f aca="false">AE7-AD7</f>
        <v>0</v>
      </c>
      <c r="AG7" s="26" t="n">
        <v>4847</v>
      </c>
      <c r="AH7" s="26" t="n">
        <v>4847</v>
      </c>
      <c r="AI7" s="81" t="n">
        <f aca="false">AH7-AG7</f>
        <v>0</v>
      </c>
      <c r="AJ7" s="26" t="n">
        <v>3000</v>
      </c>
      <c r="AK7" s="26" t="n">
        <v>3000</v>
      </c>
      <c r="AL7" s="81" t="n">
        <f aca="false">AK7-AJ7</f>
        <v>0</v>
      </c>
      <c r="AM7" s="26" t="n">
        <v>4807</v>
      </c>
      <c r="AN7" s="26" t="n">
        <v>4807</v>
      </c>
      <c r="AO7" s="81" t="n">
        <f aca="false">AN7-AM7</f>
        <v>0</v>
      </c>
      <c r="AP7" s="26" t="n">
        <v>5000</v>
      </c>
      <c r="AQ7" s="26" t="n">
        <v>5000</v>
      </c>
      <c r="AR7" s="81" t="n">
        <f aca="false">AQ7-AP7</f>
        <v>0</v>
      </c>
      <c r="AS7" s="26"/>
      <c r="AT7" s="26"/>
      <c r="AU7" s="81" t="n">
        <f aca="false">AT7-AS7</f>
        <v>0</v>
      </c>
      <c r="AV7" s="26"/>
      <c r="AW7" s="26"/>
      <c r="AX7" s="81" t="n">
        <f aca="false">AW7-AV7</f>
        <v>0</v>
      </c>
      <c r="AY7" s="26"/>
      <c r="AZ7" s="26"/>
      <c r="BA7" s="81" t="n">
        <f aca="false">AZ7-AY7</f>
        <v>0</v>
      </c>
      <c r="BB7" s="26"/>
      <c r="BC7" s="26"/>
      <c r="BD7" s="81" t="n">
        <f aca="false">BC7-BB7</f>
        <v>0</v>
      </c>
      <c r="BE7" s="26"/>
      <c r="BF7" s="26"/>
      <c r="BG7" s="81" t="n">
        <f aca="false">BF7-BE7</f>
        <v>0</v>
      </c>
      <c r="BH7" s="26"/>
      <c r="BI7" s="26"/>
      <c r="BJ7" s="81" t="n">
        <f aca="false">BI7-BH7</f>
        <v>0</v>
      </c>
      <c r="BK7" s="26"/>
      <c r="BL7" s="26"/>
      <c r="BM7" s="81" t="n">
        <f aca="false">BL7-BK7</f>
        <v>0</v>
      </c>
      <c r="BN7" s="26"/>
      <c r="BO7" s="26"/>
      <c r="BP7" s="81" t="n">
        <f aca="false">BO7-BN7</f>
        <v>0</v>
      </c>
      <c r="BQ7" s="26"/>
      <c r="BR7" s="26"/>
      <c r="BS7" s="81" t="n">
        <f aca="false">BR7-BQ7</f>
        <v>0</v>
      </c>
      <c r="BT7" s="26"/>
      <c r="BU7" s="26"/>
      <c r="BV7" s="81" t="n">
        <f aca="false">BU7-BT7</f>
        <v>0</v>
      </c>
      <c r="BW7" s="26"/>
      <c r="BX7" s="26"/>
      <c r="BY7" s="81" t="n">
        <f aca="false">BX7-BW7</f>
        <v>0</v>
      </c>
      <c r="BZ7" s="26"/>
      <c r="CA7" s="26"/>
      <c r="CB7" s="81" t="n">
        <f aca="false">CA7-BZ7</f>
        <v>0</v>
      </c>
      <c r="CC7" s="26"/>
      <c r="CD7" s="26"/>
      <c r="CE7" s="81" t="n">
        <f aca="false">CD7-CC7</f>
        <v>0</v>
      </c>
      <c r="CF7" s="26"/>
      <c r="CG7" s="26"/>
      <c r="CH7" s="81" t="n">
        <f aca="false">CG7-CF7</f>
        <v>0</v>
      </c>
      <c r="CI7" s="26"/>
      <c r="CJ7" s="26"/>
      <c r="CK7" s="81" t="n">
        <f aca="false">CJ7-CI7</f>
        <v>0</v>
      </c>
      <c r="CL7" s="26"/>
      <c r="CM7" s="26"/>
      <c r="CN7" s="81" t="n">
        <f aca="false">CM7-CL7</f>
        <v>0</v>
      </c>
      <c r="CO7" s="26"/>
      <c r="CP7" s="26"/>
      <c r="CQ7" s="81" t="n">
        <f aca="false">CP7-CO7</f>
        <v>0</v>
      </c>
      <c r="CR7" s="26"/>
      <c r="CS7" s="26"/>
      <c r="CT7" s="81" t="n">
        <f aca="false">CS7-CR7</f>
        <v>0</v>
      </c>
      <c r="CU7" s="26"/>
      <c r="CV7" s="26"/>
      <c r="CW7" s="81" t="n">
        <f aca="false">CV7-CU7</f>
        <v>0</v>
      </c>
      <c r="CX7" s="26"/>
      <c r="CY7" s="26"/>
      <c r="CZ7" s="81" t="n">
        <f aca="false">CY7-CX7</f>
        <v>0</v>
      </c>
      <c r="DA7" s="26"/>
      <c r="DB7" s="26"/>
      <c r="DC7" s="81" t="n">
        <f aca="false">DB7-DA7</f>
        <v>0</v>
      </c>
      <c r="DD7" s="26"/>
      <c r="DE7" s="26"/>
      <c r="DF7" s="81" t="n">
        <f aca="false">DE7-DD7</f>
        <v>0</v>
      </c>
      <c r="DG7" s="26"/>
      <c r="DH7" s="26"/>
      <c r="DI7" s="81" t="n">
        <f aca="false">DH7-DG7</f>
        <v>0</v>
      </c>
      <c r="DJ7" s="26"/>
      <c r="DK7" s="26"/>
      <c r="DL7" s="81" t="n">
        <f aca="false">DK7-DJ7</f>
        <v>0</v>
      </c>
      <c r="DM7" s="26"/>
      <c r="DN7" s="26"/>
      <c r="DO7" s="81" t="n">
        <f aca="false">DN7-DM7</f>
        <v>0</v>
      </c>
      <c r="DP7" s="26"/>
      <c r="DQ7" s="26"/>
      <c r="DR7" s="81" t="n">
        <f aca="false">DQ7-DP7</f>
        <v>0</v>
      </c>
      <c r="DS7" s="81" t="n">
        <f aca="false">+C7+F7+I7+L7+O7+R7+U7+X7+AA7+AD7+AG7+AJ7+AM7+AP7+AS7+AV7+AY7+BB7+BE7+BH7+BK7+BN7+BQ7+BT7+BW7+BZ7+CC7+CF7+CI7+CL7+CO7+CR7+CU7+CX7+DA7+DD7+DG7+DJ7+DM7+DP7</f>
        <v>90936</v>
      </c>
      <c r="DT7" s="81" t="n">
        <f aca="false">+D7+G7+J7+M7+P7+S7+V7+Y7+AB7+AE7+AH7+AK7+AN7+AQ7+AT7+AW7+AZ7+BC7+BF7+BI7+BL7+BO7+BR7+BU7+BX7+CA7+CD7+CG7+CJ7+CM7+CP7+CS7+CV7+CY7+DB7+DE7+DH7+DK7+DN7+DQ7</f>
        <v>90936</v>
      </c>
      <c r="DU7" s="81" t="n">
        <f aca="false">DT7-DS7</f>
        <v>0</v>
      </c>
      <c r="DV7" s="26"/>
      <c r="DW7" s="26"/>
      <c r="DX7" s="81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42"/>
      <c r="EM7" s="42"/>
      <c r="EN7" s="42"/>
      <c r="EO7" s="42"/>
      <c r="EP7" s="42"/>
      <c r="EQ7" s="42"/>
      <c r="ER7" s="42"/>
      <c r="ES7" s="42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5"/>
      <c r="FQ7" s="85"/>
      <c r="FR7" s="85"/>
      <c r="FS7" s="85"/>
      <c r="FT7" s="85"/>
      <c r="FU7" s="85"/>
      <c r="FV7" s="85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customFormat="false" ht="12.75" hidden="false" customHeight="false" outlineLevel="0" collapsed="false">
      <c r="A8" s="80" t="n">
        <f aca="false">A7+1</f>
        <v>36710</v>
      </c>
      <c r="B8" s="80" t="s">
        <v>91</v>
      </c>
      <c r="C8" s="26" t="n">
        <v>4178</v>
      </c>
      <c r="D8" s="26" t="n">
        <v>4178</v>
      </c>
      <c r="E8" s="81" t="n">
        <f aca="false">D8-C8</f>
        <v>0</v>
      </c>
      <c r="F8" s="26" t="n">
        <v>20000</v>
      </c>
      <c r="G8" s="26" t="n">
        <v>20000</v>
      </c>
      <c r="H8" s="81" t="n">
        <f aca="false">G8-F8</f>
        <v>0</v>
      </c>
      <c r="I8" s="26" t="n">
        <v>1852</v>
      </c>
      <c r="J8" s="26" t="n">
        <v>1852</v>
      </c>
      <c r="K8" s="81" t="n">
        <f aca="false">J8-I8</f>
        <v>0</v>
      </c>
      <c r="L8" s="26" t="n">
        <v>10000</v>
      </c>
      <c r="M8" s="26" t="n">
        <v>10000</v>
      </c>
      <c r="N8" s="81" t="n">
        <f aca="false">M8-L8</f>
        <v>0</v>
      </c>
      <c r="O8" s="26" t="n">
        <f aca="false">5000+5000</f>
        <v>10000</v>
      </c>
      <c r="P8" s="26" t="n">
        <v>10000</v>
      </c>
      <c r="Q8" s="81" t="n">
        <f aca="false">P8-O8</f>
        <v>0</v>
      </c>
      <c r="R8" s="26" t="n">
        <v>5000</v>
      </c>
      <c r="S8" s="26" t="n">
        <v>5000</v>
      </c>
      <c r="T8" s="81" t="n">
        <f aca="false">S8-R8</f>
        <v>0</v>
      </c>
      <c r="U8" s="26" t="n">
        <f aca="false">1000+4000</f>
        <v>5000</v>
      </c>
      <c r="V8" s="26" t="n">
        <f aca="false">1000+4000</f>
        <v>5000</v>
      </c>
      <c r="W8" s="81" t="n">
        <f aca="false">V8-U8</f>
        <v>0</v>
      </c>
      <c r="X8" s="26" t="n">
        <v>10000</v>
      </c>
      <c r="Y8" s="26" t="n">
        <v>10000</v>
      </c>
      <c r="Z8" s="81" t="n">
        <f aca="false">Y8-X8</f>
        <v>0</v>
      </c>
      <c r="AA8" s="26" t="n">
        <v>3778</v>
      </c>
      <c r="AB8" s="26" t="n">
        <v>3778</v>
      </c>
      <c r="AC8" s="81" t="n">
        <f aca="false">AB8-AA8</f>
        <v>0</v>
      </c>
      <c r="AD8" s="26" t="n">
        <v>3778</v>
      </c>
      <c r="AE8" s="26" t="n">
        <v>3778</v>
      </c>
      <c r="AF8" s="81" t="n">
        <f aca="false">AE8-AD8</f>
        <v>0</v>
      </c>
      <c r="AG8" s="26" t="n">
        <v>4732</v>
      </c>
      <c r="AH8" s="26" t="n">
        <v>4732</v>
      </c>
      <c r="AI8" s="81" t="n">
        <f aca="false">AH8-AG8</f>
        <v>0</v>
      </c>
      <c r="AJ8" s="26" t="n">
        <v>3000</v>
      </c>
      <c r="AK8" s="26" t="n">
        <v>3000</v>
      </c>
      <c r="AL8" s="81" t="n">
        <f aca="false">AK8-AJ8</f>
        <v>0</v>
      </c>
      <c r="AM8" s="26" t="n">
        <v>5039</v>
      </c>
      <c r="AN8" s="26" t="n">
        <v>5039</v>
      </c>
      <c r="AO8" s="81" t="n">
        <f aca="false">AN8-AM8</f>
        <v>0</v>
      </c>
      <c r="AP8" s="26" t="n">
        <v>5000</v>
      </c>
      <c r="AQ8" s="26" t="n">
        <v>5000</v>
      </c>
      <c r="AR8" s="81" t="n">
        <f aca="false">AQ8-AP8</f>
        <v>0</v>
      </c>
      <c r="AS8" s="26"/>
      <c r="AT8" s="26"/>
      <c r="AU8" s="81" t="n">
        <f aca="false">AT8-AS8</f>
        <v>0</v>
      </c>
      <c r="AV8" s="26"/>
      <c r="AW8" s="26"/>
      <c r="AX8" s="81" t="n">
        <f aca="false">AW8-AV8</f>
        <v>0</v>
      </c>
      <c r="AY8" s="26"/>
      <c r="AZ8" s="26"/>
      <c r="BA8" s="81" t="n">
        <f aca="false">AZ8-AY8</f>
        <v>0</v>
      </c>
      <c r="BB8" s="26"/>
      <c r="BC8" s="26"/>
      <c r="BD8" s="81" t="n">
        <f aca="false">BC8-BB8</f>
        <v>0</v>
      </c>
      <c r="BE8" s="26"/>
      <c r="BF8" s="26"/>
      <c r="BG8" s="81" t="n">
        <f aca="false">BF8-BE8</f>
        <v>0</v>
      </c>
      <c r="BH8" s="26"/>
      <c r="BI8" s="26"/>
      <c r="BJ8" s="81" t="n">
        <f aca="false">BI8-BH8</f>
        <v>0</v>
      </c>
      <c r="BK8" s="26"/>
      <c r="BL8" s="26"/>
      <c r="BM8" s="81" t="n">
        <f aca="false">BL8-BK8</f>
        <v>0</v>
      </c>
      <c r="BN8" s="26"/>
      <c r="BO8" s="26"/>
      <c r="BP8" s="81" t="n">
        <f aca="false">BO8-BN8</f>
        <v>0</v>
      </c>
      <c r="BQ8" s="26"/>
      <c r="BR8" s="26"/>
      <c r="BS8" s="81" t="n">
        <f aca="false">BR8-BQ8</f>
        <v>0</v>
      </c>
      <c r="BT8" s="26"/>
      <c r="BU8" s="26"/>
      <c r="BV8" s="81" t="n">
        <f aca="false">BU8-BT8</f>
        <v>0</v>
      </c>
      <c r="BW8" s="26"/>
      <c r="BX8" s="26"/>
      <c r="BY8" s="81" t="n">
        <f aca="false">BX8-BW8</f>
        <v>0</v>
      </c>
      <c r="BZ8" s="26"/>
      <c r="CA8" s="26"/>
      <c r="CB8" s="81" t="n">
        <f aca="false">CA8-BZ8</f>
        <v>0</v>
      </c>
      <c r="CC8" s="26"/>
      <c r="CD8" s="26"/>
      <c r="CE8" s="81" t="n">
        <f aca="false">CD8-CC8</f>
        <v>0</v>
      </c>
      <c r="CF8" s="26"/>
      <c r="CG8" s="26"/>
      <c r="CH8" s="81" t="n">
        <f aca="false">CG8-CF8</f>
        <v>0</v>
      </c>
      <c r="CI8" s="26"/>
      <c r="CJ8" s="26"/>
      <c r="CK8" s="81" t="n">
        <f aca="false">CJ8-CI8</f>
        <v>0</v>
      </c>
      <c r="CL8" s="26"/>
      <c r="CM8" s="26"/>
      <c r="CN8" s="81" t="n">
        <f aca="false">CM8-CL8</f>
        <v>0</v>
      </c>
      <c r="CO8" s="26"/>
      <c r="CP8" s="26"/>
      <c r="CQ8" s="81" t="n">
        <f aca="false">CP8-CO8</f>
        <v>0</v>
      </c>
      <c r="CR8" s="26"/>
      <c r="CS8" s="26"/>
      <c r="CT8" s="81" t="n">
        <f aca="false">CS8-CR8</f>
        <v>0</v>
      </c>
      <c r="CU8" s="26"/>
      <c r="CV8" s="26"/>
      <c r="CW8" s="81" t="n">
        <f aca="false">CV8-CU8</f>
        <v>0</v>
      </c>
      <c r="CX8" s="26"/>
      <c r="CY8" s="26"/>
      <c r="CZ8" s="81" t="n">
        <f aca="false">CY8-CX8</f>
        <v>0</v>
      </c>
      <c r="DA8" s="26"/>
      <c r="DB8" s="26"/>
      <c r="DC8" s="81" t="n">
        <f aca="false">DB8-DA8</f>
        <v>0</v>
      </c>
      <c r="DD8" s="26"/>
      <c r="DE8" s="26"/>
      <c r="DF8" s="81" t="n">
        <f aca="false">DE8-DD8</f>
        <v>0</v>
      </c>
      <c r="DG8" s="26"/>
      <c r="DH8" s="26"/>
      <c r="DI8" s="81" t="n">
        <f aca="false">DH8-DG8</f>
        <v>0</v>
      </c>
      <c r="DJ8" s="26"/>
      <c r="DK8" s="26"/>
      <c r="DL8" s="81" t="n">
        <f aca="false">DK8-DJ8</f>
        <v>0</v>
      </c>
      <c r="DM8" s="26"/>
      <c r="DN8" s="26"/>
      <c r="DO8" s="81" t="n">
        <f aca="false">DN8-DM8</f>
        <v>0</v>
      </c>
      <c r="DP8" s="26"/>
      <c r="DQ8" s="26"/>
      <c r="DR8" s="81" t="n">
        <f aca="false">DQ8-DP8</f>
        <v>0</v>
      </c>
      <c r="DS8" s="81" t="n">
        <f aca="false">+C8+F8+I8+L8+O8+R8+U8+X8+AA8+AD8+AG8+AJ8+AM8+AP8+AS8+AV8+AY8+BB8+BE8+BH8+BK8+BN8+BQ8+BT8+BW8+BZ8+CC8+CF8+CI8+CL8+CO8+CR8+CU8+CX8+DA8+DD8+DG8+DJ8+DM8+DP8</f>
        <v>91357</v>
      </c>
      <c r="DT8" s="81" t="n">
        <f aca="false">+D8+G8+J8+M8+P8+S8+V8+Y8+AB8+AE8+AH8+AK8+AN8+AQ8+AT8+AW8+AZ8+BC8+BF8+BI8+BL8+BO8+BR8+BU8+BX8+CA8+CD8+CG8+CJ8+CM8+CP8+CS8+CV8+CY8+DB8+DE8+DH8+DK8+DN8+DQ8</f>
        <v>91357</v>
      </c>
      <c r="DU8" s="81" t="n">
        <f aca="false">DT8-DS8</f>
        <v>0</v>
      </c>
      <c r="DV8" s="111"/>
      <c r="DW8" s="87"/>
      <c r="DX8" s="87"/>
      <c r="DY8" s="111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</row>
    <row r="9" customFormat="false" ht="12.75" hidden="false" customHeight="false" outlineLevel="0" collapsed="false">
      <c r="A9" s="80" t="n">
        <f aca="false">A8+1</f>
        <v>36711</v>
      </c>
      <c r="B9" s="80" t="s">
        <v>92</v>
      </c>
      <c r="C9" s="26" t="n">
        <v>4178</v>
      </c>
      <c r="D9" s="26" t="n">
        <v>4178</v>
      </c>
      <c r="E9" s="81" t="n">
        <f aca="false">D9-C9</f>
        <v>0</v>
      </c>
      <c r="F9" s="26" t="n">
        <v>20000</v>
      </c>
      <c r="G9" s="26" t="n">
        <v>20000</v>
      </c>
      <c r="H9" s="81" t="n">
        <f aca="false">G9-F9</f>
        <v>0</v>
      </c>
      <c r="I9" s="26" t="n">
        <v>2497</v>
      </c>
      <c r="J9" s="26" t="n">
        <v>2497</v>
      </c>
      <c r="K9" s="81" t="n">
        <f aca="false">J9-I9</f>
        <v>0</v>
      </c>
      <c r="L9" s="26" t="n">
        <v>10000</v>
      </c>
      <c r="M9" s="26" t="n">
        <v>10000</v>
      </c>
      <c r="N9" s="81" t="n">
        <f aca="false">M9-L9</f>
        <v>0</v>
      </c>
      <c r="O9" s="26" t="n">
        <f aca="false">5000+5000</f>
        <v>10000</v>
      </c>
      <c r="P9" s="26" t="n">
        <v>10000</v>
      </c>
      <c r="Q9" s="81" t="n">
        <f aca="false">P9-O9</f>
        <v>0</v>
      </c>
      <c r="R9" s="26" t="n">
        <v>5000</v>
      </c>
      <c r="S9" s="26" t="n">
        <v>5000</v>
      </c>
      <c r="T9" s="81" t="n">
        <f aca="false">S9-R9</f>
        <v>0</v>
      </c>
      <c r="U9" s="26" t="n">
        <f aca="false">1000+4000</f>
        <v>5000</v>
      </c>
      <c r="V9" s="26" t="n">
        <f aca="false">1000+4000</f>
        <v>5000</v>
      </c>
      <c r="W9" s="81" t="n">
        <f aca="false">V9-U9</f>
        <v>0</v>
      </c>
      <c r="X9" s="26" t="n">
        <v>10000</v>
      </c>
      <c r="Y9" s="26" t="n">
        <v>10000</v>
      </c>
      <c r="Z9" s="81" t="n">
        <f aca="false">Y9-X9</f>
        <v>0</v>
      </c>
      <c r="AA9" s="26" t="n">
        <v>3253</v>
      </c>
      <c r="AB9" s="26" t="n">
        <v>3253</v>
      </c>
      <c r="AC9" s="81" t="n">
        <f aca="false">AB9-AA9</f>
        <v>0</v>
      </c>
      <c r="AD9" s="26" t="n">
        <v>3253</v>
      </c>
      <c r="AE9" s="26" t="n">
        <v>3253</v>
      </c>
      <c r="AF9" s="81" t="n">
        <f aca="false">AE9-AD9</f>
        <v>0</v>
      </c>
      <c r="AG9" s="26" t="n">
        <v>4749</v>
      </c>
      <c r="AH9" s="26" t="n">
        <f aca="false">2847+1902</f>
        <v>4749</v>
      </c>
      <c r="AI9" s="81" t="n">
        <f aca="false">AH9-AG9</f>
        <v>0</v>
      </c>
      <c r="AJ9" s="26" t="n">
        <v>3000</v>
      </c>
      <c r="AK9" s="26" t="n">
        <v>3000</v>
      </c>
      <c r="AL9" s="81" t="n">
        <f aca="false">AK9-AJ9</f>
        <v>0</v>
      </c>
      <c r="AM9" s="26" t="n">
        <v>8326</v>
      </c>
      <c r="AN9" s="26" t="n">
        <v>8326</v>
      </c>
      <c r="AO9" s="81" t="n">
        <f aca="false">AN9-AM9</f>
        <v>0</v>
      </c>
      <c r="AP9" s="26" t="n">
        <v>5000</v>
      </c>
      <c r="AQ9" s="26" t="n">
        <v>5000</v>
      </c>
      <c r="AR9" s="81" t="n">
        <f aca="false">AQ9-AP9</f>
        <v>0</v>
      </c>
      <c r="AS9" s="26"/>
      <c r="AT9" s="26"/>
      <c r="AU9" s="81" t="n">
        <f aca="false">AT9-AS9</f>
        <v>0</v>
      </c>
      <c r="AV9" s="26"/>
      <c r="AW9" s="26"/>
      <c r="AX9" s="81" t="n">
        <f aca="false">AW9-AV9</f>
        <v>0</v>
      </c>
      <c r="AY9" s="26"/>
      <c r="AZ9" s="26"/>
      <c r="BA9" s="81" t="n">
        <f aca="false">AZ9-AY9</f>
        <v>0</v>
      </c>
      <c r="BB9" s="26"/>
      <c r="BC9" s="26"/>
      <c r="BD9" s="81" t="n">
        <f aca="false">BC9-BB9</f>
        <v>0</v>
      </c>
      <c r="BE9" s="26"/>
      <c r="BF9" s="26"/>
      <c r="BG9" s="81" t="n">
        <f aca="false">BF9-BE9</f>
        <v>0</v>
      </c>
      <c r="BH9" s="26"/>
      <c r="BI9" s="26"/>
      <c r="BJ9" s="81" t="n">
        <f aca="false">BI9-BH9</f>
        <v>0</v>
      </c>
      <c r="BK9" s="26"/>
      <c r="BL9" s="26"/>
      <c r="BM9" s="81" t="n">
        <f aca="false">BL9-BK9</f>
        <v>0</v>
      </c>
      <c r="BN9" s="26"/>
      <c r="BO9" s="26"/>
      <c r="BP9" s="81" t="n">
        <f aca="false">BO9-BN9</f>
        <v>0</v>
      </c>
      <c r="BQ9" s="26"/>
      <c r="BR9" s="26"/>
      <c r="BS9" s="81" t="n">
        <f aca="false">BR9-BQ9</f>
        <v>0</v>
      </c>
      <c r="BT9" s="26"/>
      <c r="BU9" s="26"/>
      <c r="BV9" s="81" t="n">
        <f aca="false">BU9-BT9</f>
        <v>0</v>
      </c>
      <c r="BW9" s="26"/>
      <c r="BX9" s="26"/>
      <c r="BY9" s="81" t="n">
        <f aca="false">BX9-BW9</f>
        <v>0</v>
      </c>
      <c r="BZ9" s="26"/>
      <c r="CA9" s="26"/>
      <c r="CB9" s="81" t="n">
        <f aca="false">CA9-BZ9</f>
        <v>0</v>
      </c>
      <c r="CC9" s="26"/>
      <c r="CD9" s="26"/>
      <c r="CE9" s="81" t="n">
        <f aca="false">CD9-CC9</f>
        <v>0</v>
      </c>
      <c r="CF9" s="26"/>
      <c r="CG9" s="26"/>
      <c r="CH9" s="81" t="n">
        <f aca="false">CG9-CF9</f>
        <v>0</v>
      </c>
      <c r="CI9" s="26"/>
      <c r="CJ9" s="26"/>
      <c r="CK9" s="81" t="n">
        <f aca="false">CJ9-CI9</f>
        <v>0</v>
      </c>
      <c r="CL9" s="26"/>
      <c r="CM9" s="26"/>
      <c r="CN9" s="81" t="n">
        <f aca="false">CM9-CL9</f>
        <v>0</v>
      </c>
      <c r="CO9" s="26"/>
      <c r="CP9" s="26"/>
      <c r="CQ9" s="81" t="n">
        <f aca="false">CP9-CO9</f>
        <v>0</v>
      </c>
      <c r="CR9" s="26"/>
      <c r="CS9" s="26"/>
      <c r="CT9" s="81" t="n">
        <f aca="false">CS9-CR9</f>
        <v>0</v>
      </c>
      <c r="CU9" s="26"/>
      <c r="CV9" s="26"/>
      <c r="CW9" s="81" t="n">
        <f aca="false">CV9-CU9</f>
        <v>0</v>
      </c>
      <c r="CX9" s="26"/>
      <c r="CY9" s="26"/>
      <c r="CZ9" s="81" t="n">
        <f aca="false">CY9-CX9</f>
        <v>0</v>
      </c>
      <c r="DA9" s="26"/>
      <c r="DB9" s="26"/>
      <c r="DC9" s="81" t="n">
        <f aca="false">DB9-DA9</f>
        <v>0</v>
      </c>
      <c r="DD9" s="26"/>
      <c r="DE9" s="26"/>
      <c r="DF9" s="81" t="n">
        <f aca="false">DE9-DD9</f>
        <v>0</v>
      </c>
      <c r="DG9" s="26"/>
      <c r="DH9" s="26"/>
      <c r="DI9" s="81" t="n">
        <f aca="false">DH9-DG9</f>
        <v>0</v>
      </c>
      <c r="DJ9" s="26"/>
      <c r="DK9" s="26"/>
      <c r="DL9" s="81" t="n">
        <f aca="false">DK9-DJ9</f>
        <v>0</v>
      </c>
      <c r="DM9" s="26"/>
      <c r="DN9" s="26"/>
      <c r="DO9" s="81" t="n">
        <f aca="false">DN9-DM9</f>
        <v>0</v>
      </c>
      <c r="DP9" s="26"/>
      <c r="DQ9" s="26"/>
      <c r="DR9" s="81" t="n">
        <f aca="false">DQ9-DP9</f>
        <v>0</v>
      </c>
      <c r="DS9" s="81" t="n">
        <f aca="false">+C9+F9+I9+L9+O9+R9+U9+X9+AA9+AD9+AG9+AJ9+AM9+AP9+AS9+AV9+AY9+BB9+BE9+BH9+BK9+BN9+BQ9+BT9+BW9+BZ9+CC9+CF9+CI9+CL9+CO9+CR9+CU9+CX9+DA9+DD9+DG9+DJ9+DM9+DP9</f>
        <v>94256</v>
      </c>
      <c r="DT9" s="81" t="n">
        <f aca="false">+D9+G9+J9+M9+P9+S9+V9+Y9+AB9+AE9+AH9+AK9+AN9+AQ9+AT9+AW9+AZ9+BC9+BF9+BI9+BL9+BO9+BR9+BU9+BX9+CA9+CD9+CG9+CJ9+CM9+CP9+CS9+CV9+CY9+DB9+DE9+DH9+DK9+DN9+DQ9</f>
        <v>94256</v>
      </c>
      <c r="DU9" s="81" t="n">
        <f aca="false">DT9-DS9</f>
        <v>0</v>
      </c>
      <c r="DV9" s="111"/>
      <c r="DW9" s="87"/>
      <c r="DX9" s="87"/>
      <c r="DY9" s="111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</row>
    <row r="10" customFormat="false" ht="12.75" hidden="false" customHeight="false" outlineLevel="0" collapsed="false">
      <c r="A10" s="80" t="n">
        <f aca="false">A9+1</f>
        <v>36712</v>
      </c>
      <c r="B10" s="80" t="s">
        <v>93</v>
      </c>
      <c r="C10" s="26" t="n">
        <v>4178</v>
      </c>
      <c r="D10" s="26" t="n">
        <v>4178</v>
      </c>
      <c r="E10" s="81" t="n">
        <f aca="false">D10-C10</f>
        <v>0</v>
      </c>
      <c r="F10" s="26" t="n">
        <v>20000</v>
      </c>
      <c r="G10" s="26" t="n">
        <v>20000</v>
      </c>
      <c r="H10" s="81" t="n">
        <f aca="false">G10-F10</f>
        <v>0</v>
      </c>
      <c r="I10" s="26" t="n">
        <v>2430</v>
      </c>
      <c r="J10" s="26" t="n">
        <v>2430</v>
      </c>
      <c r="K10" s="81" t="n">
        <f aca="false">J10-I10</f>
        <v>0</v>
      </c>
      <c r="L10" s="26" t="n">
        <v>10000</v>
      </c>
      <c r="M10" s="26" t="n">
        <v>10000</v>
      </c>
      <c r="N10" s="81" t="n">
        <f aca="false">M10-L10</f>
        <v>0</v>
      </c>
      <c r="O10" s="26" t="n">
        <f aca="false">5000+5000</f>
        <v>10000</v>
      </c>
      <c r="P10" s="26" t="n">
        <v>10000</v>
      </c>
      <c r="Q10" s="81" t="n">
        <f aca="false">P10-O10</f>
        <v>0</v>
      </c>
      <c r="R10" s="26" t="n">
        <v>5000</v>
      </c>
      <c r="S10" s="26" t="n">
        <v>5000</v>
      </c>
      <c r="T10" s="81" t="n">
        <f aca="false">S10-R10</f>
        <v>0</v>
      </c>
      <c r="U10" s="26" t="n">
        <f aca="false">1000+4000</f>
        <v>5000</v>
      </c>
      <c r="V10" s="26" t="n">
        <f aca="false">1000+4000</f>
        <v>5000</v>
      </c>
      <c r="W10" s="81" t="n">
        <f aca="false">V10-U10</f>
        <v>0</v>
      </c>
      <c r="X10" s="26" t="n">
        <v>10000</v>
      </c>
      <c r="Y10" s="26" t="n">
        <v>10000</v>
      </c>
      <c r="Z10" s="81" t="n">
        <f aca="false">Y10-X10</f>
        <v>0</v>
      </c>
      <c r="AA10" s="26" t="n">
        <v>2974</v>
      </c>
      <c r="AB10" s="26" t="n">
        <v>2974</v>
      </c>
      <c r="AC10" s="81" t="n">
        <f aca="false">AB10-AA10</f>
        <v>0</v>
      </c>
      <c r="AD10" s="26" t="n">
        <v>2974</v>
      </c>
      <c r="AE10" s="26" t="n">
        <v>2974</v>
      </c>
      <c r="AF10" s="81" t="n">
        <f aca="false">AE10-AD10</f>
        <v>0</v>
      </c>
      <c r="AG10" s="26" t="n">
        <v>4765</v>
      </c>
      <c r="AH10" s="26" t="n">
        <f aca="false">2857+1908</f>
        <v>4765</v>
      </c>
      <c r="AI10" s="81" t="n">
        <f aca="false">AH10-AG10</f>
        <v>0</v>
      </c>
      <c r="AJ10" s="26" t="n">
        <v>3000</v>
      </c>
      <c r="AK10" s="26" t="n">
        <v>3000</v>
      </c>
      <c r="AL10" s="81" t="n">
        <f aca="false">AK10-AJ10</f>
        <v>0</v>
      </c>
      <c r="AM10" s="26" t="n">
        <v>5611</v>
      </c>
      <c r="AN10" s="26" t="n">
        <v>5611</v>
      </c>
      <c r="AO10" s="81" t="n">
        <f aca="false">AN10-AM10</f>
        <v>0</v>
      </c>
      <c r="AP10" s="26" t="n">
        <v>5000</v>
      </c>
      <c r="AQ10" s="26" t="n">
        <v>5000</v>
      </c>
      <c r="AR10" s="81" t="n">
        <f aca="false">AQ10-AP10</f>
        <v>0</v>
      </c>
      <c r="AS10" s="26"/>
      <c r="AT10" s="26"/>
      <c r="AU10" s="81" t="n">
        <f aca="false">AT10-AS10</f>
        <v>0</v>
      </c>
      <c r="AV10" s="26"/>
      <c r="AW10" s="26"/>
      <c r="AX10" s="81" t="n">
        <f aca="false">AW10-AV10</f>
        <v>0</v>
      </c>
      <c r="AY10" s="26"/>
      <c r="AZ10" s="26"/>
      <c r="BA10" s="81" t="n">
        <f aca="false">AZ10-AY10</f>
        <v>0</v>
      </c>
      <c r="BB10" s="26"/>
      <c r="BC10" s="26"/>
      <c r="BD10" s="81" t="n">
        <f aca="false">BC10-BB10</f>
        <v>0</v>
      </c>
      <c r="BE10" s="26"/>
      <c r="BF10" s="26"/>
      <c r="BG10" s="81" t="n">
        <f aca="false">BF10-BE10</f>
        <v>0</v>
      </c>
      <c r="BH10" s="26"/>
      <c r="BI10" s="26"/>
      <c r="BJ10" s="81" t="n">
        <f aca="false">BI10-BH10</f>
        <v>0</v>
      </c>
      <c r="BK10" s="26"/>
      <c r="BL10" s="26"/>
      <c r="BM10" s="81" t="n">
        <f aca="false">BL10-BK10</f>
        <v>0</v>
      </c>
      <c r="BN10" s="26"/>
      <c r="BO10" s="26"/>
      <c r="BP10" s="81" t="n">
        <f aca="false">BO10-BN10</f>
        <v>0</v>
      </c>
      <c r="BQ10" s="26"/>
      <c r="BR10" s="26"/>
      <c r="BS10" s="81" t="n">
        <f aca="false">BR10-BQ10</f>
        <v>0</v>
      </c>
      <c r="BT10" s="26"/>
      <c r="BU10" s="26"/>
      <c r="BV10" s="81" t="n">
        <f aca="false">BU10-BT10</f>
        <v>0</v>
      </c>
      <c r="BW10" s="26"/>
      <c r="BX10" s="26"/>
      <c r="BY10" s="81" t="n">
        <f aca="false">BX10-BW10</f>
        <v>0</v>
      </c>
      <c r="BZ10" s="26"/>
      <c r="CA10" s="26"/>
      <c r="CB10" s="81" t="n">
        <f aca="false">CA10-BZ10</f>
        <v>0</v>
      </c>
      <c r="CC10" s="26"/>
      <c r="CD10" s="26"/>
      <c r="CE10" s="81" t="n">
        <f aca="false">CD10-CC10</f>
        <v>0</v>
      </c>
      <c r="CF10" s="26"/>
      <c r="CG10" s="26"/>
      <c r="CH10" s="81" t="n">
        <f aca="false">CG10-CF10</f>
        <v>0</v>
      </c>
      <c r="CI10" s="26"/>
      <c r="CJ10" s="26"/>
      <c r="CK10" s="81" t="n">
        <f aca="false">CJ10-CI10</f>
        <v>0</v>
      </c>
      <c r="CL10" s="26"/>
      <c r="CM10" s="26"/>
      <c r="CN10" s="81" t="n">
        <f aca="false">CM10-CL10</f>
        <v>0</v>
      </c>
      <c r="CO10" s="26"/>
      <c r="CP10" s="26"/>
      <c r="CQ10" s="81" t="n">
        <f aca="false">CP10-CO10</f>
        <v>0</v>
      </c>
      <c r="CR10" s="26"/>
      <c r="CS10" s="26"/>
      <c r="CT10" s="81" t="n">
        <f aca="false">CS10-CR10</f>
        <v>0</v>
      </c>
      <c r="CU10" s="26"/>
      <c r="CV10" s="26"/>
      <c r="CW10" s="81" t="n">
        <f aca="false">CV10-CU10</f>
        <v>0</v>
      </c>
      <c r="CX10" s="26"/>
      <c r="CY10" s="26"/>
      <c r="CZ10" s="81" t="n">
        <f aca="false">CY10-CX10</f>
        <v>0</v>
      </c>
      <c r="DA10" s="26"/>
      <c r="DB10" s="26"/>
      <c r="DC10" s="81" t="n">
        <f aca="false">DB10-DA10</f>
        <v>0</v>
      </c>
      <c r="DD10" s="26"/>
      <c r="DE10" s="26"/>
      <c r="DF10" s="81" t="n">
        <f aca="false">DE10-DD10</f>
        <v>0</v>
      </c>
      <c r="DG10" s="26"/>
      <c r="DH10" s="26"/>
      <c r="DI10" s="81" t="n">
        <f aca="false">DH10-DG10</f>
        <v>0</v>
      </c>
      <c r="DJ10" s="26"/>
      <c r="DK10" s="26"/>
      <c r="DL10" s="81" t="n">
        <f aca="false">DK10-DJ10</f>
        <v>0</v>
      </c>
      <c r="DM10" s="26"/>
      <c r="DN10" s="26"/>
      <c r="DO10" s="81" t="n">
        <f aca="false">DN10-DM10</f>
        <v>0</v>
      </c>
      <c r="DP10" s="26"/>
      <c r="DQ10" s="26"/>
      <c r="DR10" s="81" t="n">
        <f aca="false">DQ10-DP10</f>
        <v>0</v>
      </c>
      <c r="DS10" s="81" t="n">
        <f aca="false">+C10+F10+I10+L10+O10+R10+U10+X10+AA10+AD10+AG10+AJ10+AM10+AP10+AS10+AV10+AY10+BB10+BE10+BH10+BK10+BN10+BQ10+BT10+BW10+BZ10+CC10+CF10+CI10+CL10+CO10+CR10+CU10+CX10+DA10+DD10+DG10+DJ10+DM10+DP10</f>
        <v>90932</v>
      </c>
      <c r="DT10" s="81" t="n">
        <f aca="false">+D10+G10+J10+M10+P10+S10+V10+Y10+AB10+AE10+AH10+AK10+AN10+AQ10+AT10+AW10+AZ10+BC10+BF10+BI10+BL10+BO10+BR10+BU10+BX10+CA10+CD10+CG10+CJ10+CM10+CP10+CS10+CV10+CY10+DB10+DE10+DH10+DK10+DN10+DQ10</f>
        <v>90932</v>
      </c>
      <c r="DU10" s="81" t="n">
        <f aca="false">DT10-DS10</f>
        <v>0</v>
      </c>
      <c r="DV10" s="111"/>
      <c r="DW10" s="87"/>
      <c r="DX10" s="87"/>
      <c r="DY10" s="111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</row>
    <row r="11" customFormat="false" ht="12.75" hidden="false" customHeight="false" outlineLevel="0" collapsed="false">
      <c r="A11" s="80" t="n">
        <f aca="false">A10+1</f>
        <v>36713</v>
      </c>
      <c r="B11" s="80" t="s">
        <v>94</v>
      </c>
      <c r="C11" s="26" t="n">
        <v>4178</v>
      </c>
      <c r="D11" s="26" t="n">
        <v>4178</v>
      </c>
      <c r="E11" s="81" t="n">
        <f aca="false">D11-C11</f>
        <v>0</v>
      </c>
      <c r="F11" s="26" t="n">
        <v>20000</v>
      </c>
      <c r="G11" s="26" t="n">
        <v>20000</v>
      </c>
      <c r="H11" s="81" t="n">
        <f aca="false">G11-F11</f>
        <v>0</v>
      </c>
      <c r="I11" s="26" t="n">
        <v>2861</v>
      </c>
      <c r="J11" s="26" t="n">
        <v>2861</v>
      </c>
      <c r="K11" s="81" t="n">
        <f aca="false">J11-I11</f>
        <v>0</v>
      </c>
      <c r="L11" s="26" t="n">
        <v>10000</v>
      </c>
      <c r="M11" s="26" t="n">
        <v>10000</v>
      </c>
      <c r="N11" s="81" t="n">
        <f aca="false">M11-L11</f>
        <v>0</v>
      </c>
      <c r="O11" s="26" t="n">
        <f aca="false">5000+5000</f>
        <v>10000</v>
      </c>
      <c r="P11" s="26" t="n">
        <v>10000</v>
      </c>
      <c r="Q11" s="81" t="n">
        <f aca="false">P11-O11</f>
        <v>0</v>
      </c>
      <c r="R11" s="26" t="n">
        <v>5000</v>
      </c>
      <c r="S11" s="26" t="n">
        <v>5000</v>
      </c>
      <c r="T11" s="81" t="n">
        <f aca="false">S11-R11</f>
        <v>0</v>
      </c>
      <c r="U11" s="26" t="n">
        <f aca="false">1000+4000</f>
        <v>5000</v>
      </c>
      <c r="V11" s="26" t="n">
        <f aca="false">1000+4000</f>
        <v>5000</v>
      </c>
      <c r="W11" s="81" t="n">
        <f aca="false">V11-U11</f>
        <v>0</v>
      </c>
      <c r="X11" s="26" t="n">
        <v>10000</v>
      </c>
      <c r="Y11" s="26" t="n">
        <v>10000</v>
      </c>
      <c r="Z11" s="81" t="n">
        <f aca="false">Y11-X11</f>
        <v>0</v>
      </c>
      <c r="AA11" s="26" t="n">
        <v>3055</v>
      </c>
      <c r="AB11" s="26" t="n">
        <v>3055</v>
      </c>
      <c r="AC11" s="81" t="n">
        <f aca="false">AB11-AA11</f>
        <v>0</v>
      </c>
      <c r="AD11" s="26" t="n">
        <v>3055</v>
      </c>
      <c r="AE11" s="26" t="n">
        <v>3055</v>
      </c>
      <c r="AF11" s="81" t="n">
        <f aca="false">AE11-AD11</f>
        <v>0</v>
      </c>
      <c r="AG11" s="26" t="n">
        <v>7741</v>
      </c>
      <c r="AH11" s="26" t="n">
        <f aca="false">4641+3100</f>
        <v>7741</v>
      </c>
      <c r="AI11" s="81" t="n">
        <f aca="false">AH11-AG11</f>
        <v>0</v>
      </c>
      <c r="AJ11" s="26" t="n">
        <v>3000</v>
      </c>
      <c r="AK11" s="26" t="n">
        <v>3000</v>
      </c>
      <c r="AL11" s="81" t="n">
        <f aca="false">AK11-AJ11</f>
        <v>0</v>
      </c>
      <c r="AM11" s="26" t="n">
        <v>5936</v>
      </c>
      <c r="AN11" s="26" t="n">
        <v>5936</v>
      </c>
      <c r="AO11" s="81" t="n">
        <f aca="false">AN11-AM11</f>
        <v>0</v>
      </c>
      <c r="AP11" s="26" t="n">
        <v>5000</v>
      </c>
      <c r="AQ11" s="26" t="n">
        <v>5000</v>
      </c>
      <c r="AR11" s="81" t="n">
        <f aca="false">AQ11-AP11</f>
        <v>0</v>
      </c>
      <c r="AS11" s="26"/>
      <c r="AT11" s="26"/>
      <c r="AU11" s="81" t="n">
        <f aca="false">AT11-AS11</f>
        <v>0</v>
      </c>
      <c r="AV11" s="26"/>
      <c r="AW11" s="26"/>
      <c r="AX11" s="81" t="n">
        <f aca="false">AW11-AV11</f>
        <v>0</v>
      </c>
      <c r="AY11" s="26"/>
      <c r="AZ11" s="26"/>
      <c r="BA11" s="81" t="n">
        <f aca="false">AZ11-AY11</f>
        <v>0</v>
      </c>
      <c r="BB11" s="26"/>
      <c r="BC11" s="26"/>
      <c r="BD11" s="81" t="n">
        <f aca="false">BC11-BB11</f>
        <v>0</v>
      </c>
      <c r="BE11" s="26"/>
      <c r="BF11" s="26"/>
      <c r="BG11" s="81" t="n">
        <f aca="false">BF11-BE11</f>
        <v>0</v>
      </c>
      <c r="BH11" s="26"/>
      <c r="BI11" s="26"/>
      <c r="BJ11" s="81" t="n">
        <f aca="false">BI11-BH11</f>
        <v>0</v>
      </c>
      <c r="BK11" s="26"/>
      <c r="BL11" s="26"/>
      <c r="BM11" s="81" t="n">
        <f aca="false">BL11-BK11</f>
        <v>0</v>
      </c>
      <c r="BN11" s="26"/>
      <c r="BO11" s="26"/>
      <c r="BP11" s="81" t="n">
        <f aca="false">BO11-BN11</f>
        <v>0</v>
      </c>
      <c r="BQ11" s="26"/>
      <c r="BR11" s="26"/>
      <c r="BS11" s="81" t="n">
        <f aca="false">BR11-BQ11</f>
        <v>0</v>
      </c>
      <c r="BT11" s="26"/>
      <c r="BU11" s="26"/>
      <c r="BV11" s="81" t="n">
        <f aca="false">BU11-BT11</f>
        <v>0</v>
      </c>
      <c r="BW11" s="26"/>
      <c r="BX11" s="26"/>
      <c r="BY11" s="81" t="n">
        <f aca="false">BX11-BW11</f>
        <v>0</v>
      </c>
      <c r="BZ11" s="26"/>
      <c r="CA11" s="26"/>
      <c r="CB11" s="81" t="n">
        <f aca="false">CA11-BZ11</f>
        <v>0</v>
      </c>
      <c r="CC11" s="26"/>
      <c r="CD11" s="26"/>
      <c r="CE11" s="81" t="n">
        <f aca="false">CD11-CC11</f>
        <v>0</v>
      </c>
      <c r="CF11" s="26"/>
      <c r="CG11" s="26"/>
      <c r="CH11" s="81" t="n">
        <f aca="false">CG11-CF11</f>
        <v>0</v>
      </c>
      <c r="CI11" s="26"/>
      <c r="CJ11" s="26"/>
      <c r="CK11" s="81" t="n">
        <f aca="false">CJ11-CI11</f>
        <v>0</v>
      </c>
      <c r="CL11" s="26"/>
      <c r="CM11" s="26"/>
      <c r="CN11" s="81" t="n">
        <f aca="false">CM11-CL11</f>
        <v>0</v>
      </c>
      <c r="CO11" s="26"/>
      <c r="CP11" s="26"/>
      <c r="CQ11" s="81" t="n">
        <f aca="false">CP11-CO11</f>
        <v>0</v>
      </c>
      <c r="CR11" s="26"/>
      <c r="CS11" s="26"/>
      <c r="CT11" s="81" t="n">
        <f aca="false">CS11-CR11</f>
        <v>0</v>
      </c>
      <c r="CU11" s="26"/>
      <c r="CV11" s="26"/>
      <c r="CW11" s="81" t="n">
        <f aca="false">CV11-CU11</f>
        <v>0</v>
      </c>
      <c r="CX11" s="26"/>
      <c r="CY11" s="26"/>
      <c r="CZ11" s="81" t="n">
        <f aca="false">CY11-CX11</f>
        <v>0</v>
      </c>
      <c r="DA11" s="26"/>
      <c r="DB11" s="26"/>
      <c r="DC11" s="81" t="n">
        <f aca="false">DB11-DA11</f>
        <v>0</v>
      </c>
      <c r="DD11" s="26"/>
      <c r="DE11" s="26"/>
      <c r="DF11" s="81" t="n">
        <f aca="false">DE11-DD11</f>
        <v>0</v>
      </c>
      <c r="DG11" s="26"/>
      <c r="DH11" s="26"/>
      <c r="DI11" s="81" t="n">
        <f aca="false">DH11-DG11</f>
        <v>0</v>
      </c>
      <c r="DJ11" s="26"/>
      <c r="DK11" s="26"/>
      <c r="DL11" s="81" t="n">
        <f aca="false">DK11-DJ11</f>
        <v>0</v>
      </c>
      <c r="DM11" s="26"/>
      <c r="DN11" s="26"/>
      <c r="DO11" s="81" t="n">
        <f aca="false">DN11-DM11</f>
        <v>0</v>
      </c>
      <c r="DP11" s="26"/>
      <c r="DQ11" s="26"/>
      <c r="DR11" s="81" t="n">
        <f aca="false">DQ11-DP11</f>
        <v>0</v>
      </c>
      <c r="DS11" s="81" t="n">
        <f aca="false">+C11+F11+I11+L11+O11+R11+U11+X11+AA11+AD11+AG11+AJ11+AM11+AP11+AS11+AV11+AY11+BB11+BE11+BH11+BK11+BN11+BQ11+BT11+BW11+BZ11+CC11+CF11+CI11+CL11+CO11+CR11+CU11+CX11+DA11+DD11+DG11+DJ11+DM11+DP11</f>
        <v>94826</v>
      </c>
      <c r="DT11" s="81" t="n">
        <f aca="false">+D11+G11+J11+M11+P11+S11+V11+Y11+AB11+AE11+AH11+AK11+AN11+AQ11+AT11+AW11+AZ11+BC11+BF11+BI11+BL11+BO11+BR11+BU11+BX11+CA11+CD11+CG11+CJ11+CM11+CP11+CS11+CV11+CY11+DB11+DE11+DH11+DK11+DN11+DQ11</f>
        <v>94826</v>
      </c>
      <c r="DU11" s="81" t="n">
        <f aca="false">DT11-DS11</f>
        <v>0</v>
      </c>
      <c r="DV11" s="111"/>
      <c r="DW11" s="87"/>
      <c r="DX11" s="87"/>
      <c r="DY11" s="111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</row>
    <row r="12" customFormat="false" ht="12.75" hidden="false" customHeight="false" outlineLevel="0" collapsed="false">
      <c r="A12" s="80" t="n">
        <f aca="false">A11+1</f>
        <v>36714</v>
      </c>
      <c r="B12" s="80" t="s">
        <v>95</v>
      </c>
      <c r="C12" s="26" t="n">
        <v>4178</v>
      </c>
      <c r="D12" s="26" t="n">
        <v>4178</v>
      </c>
      <c r="E12" s="81" t="n">
        <f aca="false">D12-C12</f>
        <v>0</v>
      </c>
      <c r="F12" s="26" t="n">
        <v>20000</v>
      </c>
      <c r="G12" s="26" t="n">
        <v>20000</v>
      </c>
      <c r="H12" s="81" t="n">
        <f aca="false">G12-F12</f>
        <v>0</v>
      </c>
      <c r="I12" s="26" t="n">
        <v>3130</v>
      </c>
      <c r="J12" s="26" t="n">
        <v>3130</v>
      </c>
      <c r="K12" s="81" t="n">
        <f aca="false">J12-I12</f>
        <v>0</v>
      </c>
      <c r="L12" s="26" t="n">
        <v>10000</v>
      </c>
      <c r="M12" s="26" t="n">
        <v>10000</v>
      </c>
      <c r="N12" s="81" t="n">
        <f aca="false">M12-L12</f>
        <v>0</v>
      </c>
      <c r="O12" s="26" t="n">
        <f aca="false">5000+5000</f>
        <v>10000</v>
      </c>
      <c r="P12" s="26" t="n">
        <v>10000</v>
      </c>
      <c r="Q12" s="81" t="n">
        <f aca="false">P12-O12</f>
        <v>0</v>
      </c>
      <c r="R12" s="26" t="n">
        <v>5000</v>
      </c>
      <c r="S12" s="26" t="n">
        <v>5000</v>
      </c>
      <c r="T12" s="81" t="n">
        <f aca="false">S12-R12</f>
        <v>0</v>
      </c>
      <c r="U12" s="26" t="n">
        <f aca="false">1000+4000</f>
        <v>5000</v>
      </c>
      <c r="V12" s="26" t="n">
        <f aca="false">1000+4000</f>
        <v>5000</v>
      </c>
      <c r="W12" s="81" t="n">
        <f aca="false">V12-U12</f>
        <v>0</v>
      </c>
      <c r="X12" s="26" t="n">
        <v>10000</v>
      </c>
      <c r="Y12" s="26" t="n">
        <v>10000</v>
      </c>
      <c r="Z12" s="81" t="n">
        <f aca="false">Y12-X12</f>
        <v>0</v>
      </c>
      <c r="AA12" s="26" t="n">
        <v>3369</v>
      </c>
      <c r="AB12" s="26" t="n">
        <v>3369</v>
      </c>
      <c r="AC12" s="81" t="n">
        <f aca="false">AB12-AA12</f>
        <v>0</v>
      </c>
      <c r="AD12" s="26" t="n">
        <v>3369</v>
      </c>
      <c r="AE12" s="26" t="n">
        <v>3369</v>
      </c>
      <c r="AF12" s="81" t="n">
        <f aca="false">AE12-AD12</f>
        <v>0</v>
      </c>
      <c r="AG12" s="26" t="n">
        <v>7741</v>
      </c>
      <c r="AH12" s="26" t="n">
        <v>7741</v>
      </c>
      <c r="AI12" s="81" t="n">
        <f aca="false">AH12-AG12</f>
        <v>0</v>
      </c>
      <c r="AJ12" s="26" t="n">
        <v>3000</v>
      </c>
      <c r="AK12" s="26" t="n">
        <v>3000</v>
      </c>
      <c r="AL12" s="81" t="n">
        <f aca="false">AK12-AJ12</f>
        <v>0</v>
      </c>
      <c r="AM12" s="26" t="n">
        <v>6572</v>
      </c>
      <c r="AN12" s="26" t="n">
        <v>6572</v>
      </c>
      <c r="AO12" s="81" t="n">
        <f aca="false">AN12-AM12</f>
        <v>0</v>
      </c>
      <c r="AP12" s="26" t="n">
        <v>5000</v>
      </c>
      <c r="AQ12" s="26" t="n">
        <v>5000</v>
      </c>
      <c r="AR12" s="81" t="n">
        <f aca="false">AQ12-AP12</f>
        <v>0</v>
      </c>
      <c r="AS12" s="26"/>
      <c r="AT12" s="26"/>
      <c r="AU12" s="81" t="n">
        <f aca="false">AT12-AS12</f>
        <v>0</v>
      </c>
      <c r="AV12" s="26"/>
      <c r="AW12" s="26"/>
      <c r="AX12" s="81" t="n">
        <f aca="false">AW12-AV12</f>
        <v>0</v>
      </c>
      <c r="AY12" s="26"/>
      <c r="AZ12" s="26"/>
      <c r="BA12" s="81" t="n">
        <f aca="false">AZ12-AY12</f>
        <v>0</v>
      </c>
      <c r="BB12" s="26"/>
      <c r="BC12" s="26"/>
      <c r="BD12" s="81" t="n">
        <f aca="false">BC12-BB12</f>
        <v>0</v>
      </c>
      <c r="BE12" s="26"/>
      <c r="BF12" s="26"/>
      <c r="BG12" s="81" t="n">
        <f aca="false">BF12-BE12</f>
        <v>0</v>
      </c>
      <c r="BH12" s="26"/>
      <c r="BI12" s="26"/>
      <c r="BJ12" s="81" t="n">
        <f aca="false">BI12-BH12</f>
        <v>0</v>
      </c>
      <c r="BK12" s="26"/>
      <c r="BL12" s="26"/>
      <c r="BM12" s="81" t="n">
        <f aca="false">BL12-BK12</f>
        <v>0</v>
      </c>
      <c r="BN12" s="26"/>
      <c r="BO12" s="26"/>
      <c r="BP12" s="81" t="n">
        <f aca="false">BO12-BN12</f>
        <v>0</v>
      </c>
      <c r="BQ12" s="26"/>
      <c r="BR12" s="26"/>
      <c r="BS12" s="81" t="n">
        <f aca="false">BR12-BQ12</f>
        <v>0</v>
      </c>
      <c r="BT12" s="26"/>
      <c r="BU12" s="26"/>
      <c r="BV12" s="81" t="n">
        <f aca="false">BU12-BT12</f>
        <v>0</v>
      </c>
      <c r="BW12" s="26"/>
      <c r="BX12" s="26"/>
      <c r="BY12" s="81" t="n">
        <f aca="false">BX12-BW12</f>
        <v>0</v>
      </c>
      <c r="BZ12" s="26"/>
      <c r="CA12" s="26"/>
      <c r="CB12" s="81" t="n">
        <f aca="false">CA12-BZ12</f>
        <v>0</v>
      </c>
      <c r="CC12" s="26"/>
      <c r="CD12" s="26"/>
      <c r="CE12" s="81" t="n">
        <f aca="false">CD12-CC12</f>
        <v>0</v>
      </c>
      <c r="CF12" s="26"/>
      <c r="CG12" s="26"/>
      <c r="CH12" s="81" t="n">
        <f aca="false">CG12-CF12</f>
        <v>0</v>
      </c>
      <c r="CI12" s="26"/>
      <c r="CJ12" s="26"/>
      <c r="CK12" s="81" t="n">
        <f aca="false">CJ12-CI12</f>
        <v>0</v>
      </c>
      <c r="CL12" s="26"/>
      <c r="CM12" s="26"/>
      <c r="CN12" s="81" t="n">
        <f aca="false">CM12-CL12</f>
        <v>0</v>
      </c>
      <c r="CO12" s="26"/>
      <c r="CP12" s="26"/>
      <c r="CQ12" s="81" t="n">
        <f aca="false">CP12-CO12</f>
        <v>0</v>
      </c>
      <c r="CR12" s="26"/>
      <c r="CS12" s="26"/>
      <c r="CT12" s="81" t="n">
        <f aca="false">CS12-CR12</f>
        <v>0</v>
      </c>
      <c r="CU12" s="26"/>
      <c r="CV12" s="26"/>
      <c r="CW12" s="81" t="n">
        <f aca="false">CV12-CU12</f>
        <v>0</v>
      </c>
      <c r="CX12" s="26"/>
      <c r="CY12" s="26"/>
      <c r="CZ12" s="81" t="n">
        <f aca="false">CY12-CX12</f>
        <v>0</v>
      </c>
      <c r="DA12" s="26"/>
      <c r="DB12" s="26"/>
      <c r="DC12" s="81" t="n">
        <f aca="false">DB12-DA12</f>
        <v>0</v>
      </c>
      <c r="DD12" s="26"/>
      <c r="DE12" s="26"/>
      <c r="DF12" s="81" t="n">
        <f aca="false">DE12-DD12</f>
        <v>0</v>
      </c>
      <c r="DG12" s="26"/>
      <c r="DH12" s="26"/>
      <c r="DI12" s="81" t="n">
        <f aca="false">DH12-DG12</f>
        <v>0</v>
      </c>
      <c r="DJ12" s="26"/>
      <c r="DK12" s="26"/>
      <c r="DL12" s="81" t="n">
        <f aca="false">DK12-DJ12</f>
        <v>0</v>
      </c>
      <c r="DM12" s="26"/>
      <c r="DN12" s="26"/>
      <c r="DO12" s="81" t="n">
        <f aca="false">DN12-DM12</f>
        <v>0</v>
      </c>
      <c r="DP12" s="26"/>
      <c r="DQ12" s="26"/>
      <c r="DR12" s="81" t="n">
        <f aca="false">DQ12-DP12</f>
        <v>0</v>
      </c>
      <c r="DS12" s="81" t="n">
        <f aca="false">+C12+F12+I12+L12+O12+R12+U12+X12+AA12+AD12+AG12+AJ12+AM12+AP12+AS12+AV12+AY12+BB12+BE12+BH12+BK12+BN12+BQ12+BT12+BW12+BZ12+CC12+CF12+CI12+CL12+CO12+CR12+CU12+CX12+DA12+DD12+DG12+DJ12+DM12+DP12</f>
        <v>96359</v>
      </c>
      <c r="DT12" s="81" t="n">
        <f aca="false">+D12+G12+J12+M12+P12+S12+V12+Y12+AB12+AE12+AH12+AK12+AN12+AQ12+AT12+AW12+AZ12+BC12+BF12+BI12+BL12+BO12+BR12+BU12+BX12+CA12+CD12+CG12+CJ12+CM12+CP12+CS12+CV12+CY12+DB12+DE12+DH12+DK12+DN12+DQ12</f>
        <v>96359</v>
      </c>
      <c r="DU12" s="81" t="n">
        <f aca="false">DT12-DS12</f>
        <v>0</v>
      </c>
      <c r="DV12" s="111"/>
      <c r="DW12" s="87"/>
      <c r="DX12" s="87"/>
      <c r="DY12" s="111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</row>
    <row r="13" customFormat="false" ht="12.75" hidden="false" customHeight="false" outlineLevel="0" collapsed="false">
      <c r="A13" s="80" t="n">
        <f aca="false">A12+1</f>
        <v>36715</v>
      </c>
      <c r="B13" s="80" t="s">
        <v>89</v>
      </c>
      <c r="C13" s="26" t="n">
        <v>4178</v>
      </c>
      <c r="D13" s="26" t="n">
        <v>4178</v>
      </c>
      <c r="E13" s="81" t="n">
        <f aca="false">D13-C13</f>
        <v>0</v>
      </c>
      <c r="F13" s="26" t="n">
        <v>20000</v>
      </c>
      <c r="G13" s="26" t="n">
        <v>20000</v>
      </c>
      <c r="H13" s="81" t="n">
        <f aca="false">G13-F13</f>
        <v>0</v>
      </c>
      <c r="I13" s="26" t="n">
        <v>3168</v>
      </c>
      <c r="J13" s="26" t="n">
        <v>3168</v>
      </c>
      <c r="K13" s="81" t="n">
        <f aca="false">J13-I13</f>
        <v>0</v>
      </c>
      <c r="L13" s="26" t="n">
        <v>10000</v>
      </c>
      <c r="M13" s="26" t="n">
        <v>10000</v>
      </c>
      <c r="N13" s="81" t="n">
        <f aca="false">M13-L13</f>
        <v>0</v>
      </c>
      <c r="O13" s="26" t="n">
        <f aca="false">5000+5000</f>
        <v>10000</v>
      </c>
      <c r="P13" s="26" t="n">
        <v>10000</v>
      </c>
      <c r="Q13" s="81" t="n">
        <f aca="false">P13-O13</f>
        <v>0</v>
      </c>
      <c r="R13" s="26" t="n">
        <v>5000</v>
      </c>
      <c r="S13" s="26" t="n">
        <v>5000</v>
      </c>
      <c r="T13" s="81" t="n">
        <f aca="false">S13-R13</f>
        <v>0</v>
      </c>
      <c r="U13" s="26" t="n">
        <f aca="false">1000+4000</f>
        <v>5000</v>
      </c>
      <c r="V13" s="26" t="n">
        <f aca="false">1000+4000</f>
        <v>5000</v>
      </c>
      <c r="W13" s="81" t="n">
        <f aca="false">V13-U13</f>
        <v>0</v>
      </c>
      <c r="X13" s="26" t="n">
        <v>10000</v>
      </c>
      <c r="Y13" s="26" t="n">
        <v>10000</v>
      </c>
      <c r="Z13" s="81" t="n">
        <f aca="false">Y13-X13</f>
        <v>0</v>
      </c>
      <c r="AA13" s="26" t="n">
        <v>2976</v>
      </c>
      <c r="AB13" s="26" t="n">
        <v>2976</v>
      </c>
      <c r="AC13" s="81" t="n">
        <f aca="false">AB13-AA13</f>
        <v>0</v>
      </c>
      <c r="AD13" s="26" t="n">
        <v>2976</v>
      </c>
      <c r="AE13" s="26" t="n">
        <v>2976</v>
      </c>
      <c r="AF13" s="81" t="n">
        <f aca="false">AE13-AD13</f>
        <v>0</v>
      </c>
      <c r="AG13" s="26" t="n">
        <v>7741</v>
      </c>
      <c r="AH13" s="26" t="n">
        <v>7741</v>
      </c>
      <c r="AI13" s="81" t="n">
        <f aca="false">AH13-AG13</f>
        <v>0</v>
      </c>
      <c r="AJ13" s="26" t="n">
        <v>3000</v>
      </c>
      <c r="AK13" s="26" t="n">
        <v>3000</v>
      </c>
      <c r="AL13" s="81" t="n">
        <f aca="false">AK13-AJ13</f>
        <v>0</v>
      </c>
      <c r="AM13" s="26" t="n">
        <v>6820</v>
      </c>
      <c r="AN13" s="26" t="n">
        <v>6820</v>
      </c>
      <c r="AO13" s="81" t="n">
        <f aca="false">AN13-AM13</f>
        <v>0</v>
      </c>
      <c r="AP13" s="26" t="n">
        <v>5000</v>
      </c>
      <c r="AQ13" s="26" t="n">
        <v>5000</v>
      </c>
      <c r="AR13" s="81" t="n">
        <f aca="false">AQ13-AP13</f>
        <v>0</v>
      </c>
      <c r="AS13" s="26"/>
      <c r="AT13" s="26"/>
      <c r="AU13" s="81" t="n">
        <f aca="false">AT13-AS13</f>
        <v>0</v>
      </c>
      <c r="AV13" s="26"/>
      <c r="AW13" s="26"/>
      <c r="AX13" s="81" t="n">
        <f aca="false">AW13-AV13</f>
        <v>0</v>
      </c>
      <c r="AY13" s="26"/>
      <c r="AZ13" s="26"/>
      <c r="BA13" s="81" t="n">
        <f aca="false">AZ13-AY13</f>
        <v>0</v>
      </c>
      <c r="BB13" s="26"/>
      <c r="BC13" s="26"/>
      <c r="BD13" s="81" t="n">
        <f aca="false">BC13-BB13</f>
        <v>0</v>
      </c>
      <c r="BE13" s="26"/>
      <c r="BF13" s="26"/>
      <c r="BG13" s="81" t="n">
        <f aca="false">BF13-BE13</f>
        <v>0</v>
      </c>
      <c r="BH13" s="26"/>
      <c r="BI13" s="26"/>
      <c r="BJ13" s="81" t="n">
        <f aca="false">BI13-BH13</f>
        <v>0</v>
      </c>
      <c r="BK13" s="26"/>
      <c r="BL13" s="26"/>
      <c r="BM13" s="81" t="n">
        <f aca="false">BL13-BK13</f>
        <v>0</v>
      </c>
      <c r="BN13" s="26"/>
      <c r="BO13" s="26"/>
      <c r="BP13" s="81" t="n">
        <f aca="false">BO13-BN13</f>
        <v>0</v>
      </c>
      <c r="BQ13" s="26"/>
      <c r="BR13" s="26"/>
      <c r="BS13" s="81" t="n">
        <f aca="false">BR13-BQ13</f>
        <v>0</v>
      </c>
      <c r="BT13" s="26"/>
      <c r="BU13" s="26"/>
      <c r="BV13" s="81" t="n">
        <f aca="false">BU13-BT13</f>
        <v>0</v>
      </c>
      <c r="BW13" s="26"/>
      <c r="BX13" s="26"/>
      <c r="BY13" s="81" t="n">
        <f aca="false">BX13-BW13</f>
        <v>0</v>
      </c>
      <c r="BZ13" s="26"/>
      <c r="CA13" s="26"/>
      <c r="CB13" s="81" t="n">
        <f aca="false">CA13-BZ13</f>
        <v>0</v>
      </c>
      <c r="CC13" s="26"/>
      <c r="CD13" s="26"/>
      <c r="CE13" s="81" t="n">
        <f aca="false">CD13-CC13</f>
        <v>0</v>
      </c>
      <c r="CF13" s="26"/>
      <c r="CG13" s="26"/>
      <c r="CH13" s="81" t="n">
        <f aca="false">CG13-CF13</f>
        <v>0</v>
      </c>
      <c r="CI13" s="26"/>
      <c r="CJ13" s="26"/>
      <c r="CK13" s="81" t="n">
        <f aca="false">CJ13-CI13</f>
        <v>0</v>
      </c>
      <c r="CL13" s="26"/>
      <c r="CM13" s="26"/>
      <c r="CN13" s="81" t="n">
        <f aca="false">CM13-CL13</f>
        <v>0</v>
      </c>
      <c r="CO13" s="26"/>
      <c r="CP13" s="26"/>
      <c r="CQ13" s="81" t="n">
        <f aca="false">CP13-CO13</f>
        <v>0</v>
      </c>
      <c r="CR13" s="26"/>
      <c r="CS13" s="26"/>
      <c r="CT13" s="81" t="n">
        <f aca="false">CS13-CR13</f>
        <v>0</v>
      </c>
      <c r="CU13" s="26"/>
      <c r="CV13" s="26"/>
      <c r="CW13" s="81" t="n">
        <f aca="false">CV13-CU13</f>
        <v>0</v>
      </c>
      <c r="CX13" s="26"/>
      <c r="CY13" s="26"/>
      <c r="CZ13" s="81" t="n">
        <f aca="false">CY13-CX13</f>
        <v>0</v>
      </c>
      <c r="DA13" s="26"/>
      <c r="DB13" s="26"/>
      <c r="DC13" s="81" t="n">
        <f aca="false">DB13-DA13</f>
        <v>0</v>
      </c>
      <c r="DD13" s="26"/>
      <c r="DE13" s="26"/>
      <c r="DF13" s="81" t="n">
        <f aca="false">DE13-DD13</f>
        <v>0</v>
      </c>
      <c r="DG13" s="26"/>
      <c r="DH13" s="26"/>
      <c r="DI13" s="81" t="n">
        <f aca="false">DH13-DG13</f>
        <v>0</v>
      </c>
      <c r="DJ13" s="26"/>
      <c r="DK13" s="26"/>
      <c r="DL13" s="81" t="n">
        <f aca="false">DK13-DJ13</f>
        <v>0</v>
      </c>
      <c r="DM13" s="26"/>
      <c r="DN13" s="26"/>
      <c r="DO13" s="81" t="n">
        <f aca="false">DN13-DM13</f>
        <v>0</v>
      </c>
      <c r="DP13" s="26"/>
      <c r="DQ13" s="26"/>
      <c r="DR13" s="81" t="n">
        <f aca="false">DQ13-DP13</f>
        <v>0</v>
      </c>
      <c r="DS13" s="81" t="n">
        <f aca="false">+C13+F13+I13+L13+O13+R13+U13+X13+AA13+AD13+AG13+AJ13+AM13+AP13+AS13+AV13+AY13+BB13+BE13+BH13+BK13+BN13+BQ13+BT13+BW13+BZ13+CC13+CF13+CI13+CL13+CO13+CR13+CU13+CX13+DA13+DD13+DG13+DJ13+DM13+DP13</f>
        <v>95859</v>
      </c>
      <c r="DT13" s="81" t="n">
        <f aca="false">+D13+G13+J13+M13+P13+S13+V13+Y13+AB13+AE13+AH13+AK13+AN13+AQ13+AT13+AW13+AZ13+BC13+BF13+BI13+BL13+BO13+BR13+BU13+BX13+CA13+CD13+CG13+CJ13+CM13+CP13+CS13+CV13+CY13+DB13+DE13+DH13+DK13+DN13+DQ13</f>
        <v>95859</v>
      </c>
      <c r="DU13" s="81" t="n">
        <f aca="false">DT13-DS13</f>
        <v>0</v>
      </c>
      <c r="DV13" s="111"/>
      <c r="DW13" s="87"/>
      <c r="DX13" s="87"/>
      <c r="DY13" s="111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</row>
    <row r="14" customFormat="false" ht="12.75" hidden="false" customHeight="false" outlineLevel="0" collapsed="false">
      <c r="A14" s="80" t="n">
        <f aca="false">A13+1</f>
        <v>36716</v>
      </c>
      <c r="B14" s="80" t="s">
        <v>90</v>
      </c>
      <c r="C14" s="26" t="n">
        <v>4178</v>
      </c>
      <c r="D14" s="26" t="n">
        <v>4178</v>
      </c>
      <c r="E14" s="81" t="n">
        <f aca="false">D14-C14</f>
        <v>0</v>
      </c>
      <c r="F14" s="26" t="n">
        <v>20000</v>
      </c>
      <c r="G14" s="26" t="n">
        <v>20000</v>
      </c>
      <c r="H14" s="81" t="n">
        <f aca="false">G14-F14</f>
        <v>0</v>
      </c>
      <c r="I14" s="26" t="n">
        <v>2292</v>
      </c>
      <c r="J14" s="26" t="n">
        <v>2292</v>
      </c>
      <c r="K14" s="81" t="n">
        <f aca="false">J14-I14</f>
        <v>0</v>
      </c>
      <c r="L14" s="26" t="n">
        <v>10000</v>
      </c>
      <c r="M14" s="26" t="n">
        <v>10000</v>
      </c>
      <c r="N14" s="81" t="n">
        <f aca="false">M14-L14</f>
        <v>0</v>
      </c>
      <c r="O14" s="26" t="n">
        <f aca="false">5000+5000</f>
        <v>10000</v>
      </c>
      <c r="P14" s="26" t="n">
        <v>10000</v>
      </c>
      <c r="Q14" s="81" t="n">
        <f aca="false">P14-O14</f>
        <v>0</v>
      </c>
      <c r="R14" s="26" t="n">
        <v>5000</v>
      </c>
      <c r="S14" s="26" t="n">
        <v>5000</v>
      </c>
      <c r="T14" s="81" t="n">
        <f aca="false">S14-R14</f>
        <v>0</v>
      </c>
      <c r="U14" s="26" t="n">
        <f aca="false">1000+4000</f>
        <v>5000</v>
      </c>
      <c r="V14" s="26" t="n">
        <f aca="false">1000+4000</f>
        <v>5000</v>
      </c>
      <c r="W14" s="81" t="n">
        <f aca="false">V14-U14</f>
        <v>0</v>
      </c>
      <c r="X14" s="26" t="n">
        <v>10000</v>
      </c>
      <c r="Y14" s="26" t="n">
        <v>10000</v>
      </c>
      <c r="Z14" s="81" t="n">
        <f aca="false">Y14-X14</f>
        <v>0</v>
      </c>
      <c r="AA14" s="26" t="n">
        <v>3114</v>
      </c>
      <c r="AB14" s="26" t="n">
        <v>3114</v>
      </c>
      <c r="AC14" s="81" t="n">
        <f aca="false">AB14-AA14</f>
        <v>0</v>
      </c>
      <c r="AD14" s="26" t="n">
        <v>3114</v>
      </c>
      <c r="AE14" s="26" t="n">
        <v>3114</v>
      </c>
      <c r="AF14" s="81" t="n">
        <f aca="false">AE14-AD14</f>
        <v>0</v>
      </c>
      <c r="AG14" s="26" t="n">
        <v>7741</v>
      </c>
      <c r="AH14" s="26" t="n">
        <v>7741</v>
      </c>
      <c r="AI14" s="81" t="n">
        <f aca="false">AH14-AG14</f>
        <v>0</v>
      </c>
      <c r="AJ14" s="26" t="n">
        <v>3000</v>
      </c>
      <c r="AK14" s="26" t="n">
        <v>3000</v>
      </c>
      <c r="AL14" s="81" t="n">
        <f aca="false">AK14-AJ14</f>
        <v>0</v>
      </c>
      <c r="AM14" s="26" t="n">
        <v>4757</v>
      </c>
      <c r="AN14" s="26" t="n">
        <v>4757</v>
      </c>
      <c r="AO14" s="81" t="n">
        <f aca="false">AN14-AM14</f>
        <v>0</v>
      </c>
      <c r="AP14" s="26" t="n">
        <v>5000</v>
      </c>
      <c r="AQ14" s="26" t="n">
        <v>5000</v>
      </c>
      <c r="AR14" s="81" t="n">
        <f aca="false">AQ14-AP14</f>
        <v>0</v>
      </c>
      <c r="AS14" s="26"/>
      <c r="AT14" s="26"/>
      <c r="AU14" s="81" t="n">
        <f aca="false">AT14-AS14</f>
        <v>0</v>
      </c>
      <c r="AV14" s="26"/>
      <c r="AW14" s="26"/>
      <c r="AX14" s="81" t="n">
        <f aca="false">AW14-AV14</f>
        <v>0</v>
      </c>
      <c r="AY14" s="26"/>
      <c r="AZ14" s="26"/>
      <c r="BA14" s="81" t="n">
        <f aca="false">AZ14-AY14</f>
        <v>0</v>
      </c>
      <c r="BB14" s="26"/>
      <c r="BC14" s="26"/>
      <c r="BD14" s="81" t="n">
        <f aca="false">BC14-BB14</f>
        <v>0</v>
      </c>
      <c r="BE14" s="26"/>
      <c r="BF14" s="26"/>
      <c r="BG14" s="81" t="n">
        <f aca="false">BF14-BE14</f>
        <v>0</v>
      </c>
      <c r="BH14" s="26"/>
      <c r="BI14" s="26"/>
      <c r="BJ14" s="81" t="n">
        <f aca="false">BI14-BH14</f>
        <v>0</v>
      </c>
      <c r="BK14" s="26"/>
      <c r="BL14" s="26"/>
      <c r="BM14" s="81" t="n">
        <f aca="false">BL14-BK14</f>
        <v>0</v>
      </c>
      <c r="BN14" s="26"/>
      <c r="BO14" s="26"/>
      <c r="BP14" s="81" t="n">
        <f aca="false">BO14-BN14</f>
        <v>0</v>
      </c>
      <c r="BQ14" s="26"/>
      <c r="BR14" s="26"/>
      <c r="BS14" s="81" t="n">
        <f aca="false">BR14-BQ14</f>
        <v>0</v>
      </c>
      <c r="BT14" s="26"/>
      <c r="BU14" s="26"/>
      <c r="BV14" s="81" t="n">
        <f aca="false">BU14-BT14</f>
        <v>0</v>
      </c>
      <c r="BW14" s="26"/>
      <c r="BX14" s="26"/>
      <c r="BY14" s="81" t="n">
        <f aca="false">BX14-BW14</f>
        <v>0</v>
      </c>
      <c r="BZ14" s="26"/>
      <c r="CA14" s="26"/>
      <c r="CB14" s="81" t="n">
        <f aca="false">CA14-BZ14</f>
        <v>0</v>
      </c>
      <c r="CC14" s="26"/>
      <c r="CD14" s="26"/>
      <c r="CE14" s="81" t="n">
        <f aca="false">CD14-CC14</f>
        <v>0</v>
      </c>
      <c r="CF14" s="26"/>
      <c r="CG14" s="26"/>
      <c r="CH14" s="81" t="n">
        <f aca="false">CG14-CF14</f>
        <v>0</v>
      </c>
      <c r="CI14" s="26"/>
      <c r="CJ14" s="26"/>
      <c r="CK14" s="81" t="n">
        <f aca="false">CJ14-CI14</f>
        <v>0</v>
      </c>
      <c r="CL14" s="26"/>
      <c r="CM14" s="26"/>
      <c r="CN14" s="81" t="n">
        <f aca="false">CM14-CL14</f>
        <v>0</v>
      </c>
      <c r="CO14" s="26"/>
      <c r="CP14" s="26"/>
      <c r="CQ14" s="81" t="n">
        <f aca="false">CP14-CO14</f>
        <v>0</v>
      </c>
      <c r="CR14" s="26"/>
      <c r="CS14" s="26"/>
      <c r="CT14" s="81" t="n">
        <f aca="false">CS14-CR14</f>
        <v>0</v>
      </c>
      <c r="CU14" s="26"/>
      <c r="CV14" s="26"/>
      <c r="CW14" s="81" t="n">
        <f aca="false">CV14-CU14</f>
        <v>0</v>
      </c>
      <c r="CX14" s="26"/>
      <c r="CY14" s="26"/>
      <c r="CZ14" s="81" t="n">
        <f aca="false">CY14-CX14</f>
        <v>0</v>
      </c>
      <c r="DA14" s="26"/>
      <c r="DB14" s="26"/>
      <c r="DC14" s="81" t="n">
        <f aca="false">DB14-DA14</f>
        <v>0</v>
      </c>
      <c r="DD14" s="26"/>
      <c r="DE14" s="26"/>
      <c r="DF14" s="81" t="n">
        <f aca="false">DE14-DD14</f>
        <v>0</v>
      </c>
      <c r="DG14" s="26"/>
      <c r="DH14" s="26"/>
      <c r="DI14" s="81" t="n">
        <f aca="false">DH14-DG14</f>
        <v>0</v>
      </c>
      <c r="DJ14" s="26"/>
      <c r="DK14" s="26"/>
      <c r="DL14" s="81" t="n">
        <f aca="false">DK14-DJ14</f>
        <v>0</v>
      </c>
      <c r="DM14" s="26"/>
      <c r="DN14" s="26"/>
      <c r="DO14" s="81" t="n">
        <f aca="false">DN14-DM14</f>
        <v>0</v>
      </c>
      <c r="DP14" s="26"/>
      <c r="DQ14" s="26"/>
      <c r="DR14" s="81" t="n">
        <f aca="false">DQ14-DP14</f>
        <v>0</v>
      </c>
      <c r="DS14" s="81" t="n">
        <f aca="false">+C14+F14+I14+L14+O14+R14+U14+X14+AA14+AD14+AG14+AJ14+AM14+AP14+AS14+AV14+AY14+BB14+BE14+BH14+BK14+BN14+BQ14+BT14+BW14+BZ14+CC14+CF14+CI14+CL14+CO14+CR14+CU14+CX14+DA14+DD14+DG14+DJ14+DM14+DP14</f>
        <v>93196</v>
      </c>
      <c r="DT14" s="81" t="n">
        <f aca="false">+D14+G14+J14+M14+P14+S14+V14+Y14+AB14+AE14+AH14+AK14+AN14+AQ14+AT14+AW14+AZ14+BC14+BF14+BI14+BL14+BO14+BR14+BU14+BX14+CA14+CD14+CG14+CJ14+CM14+CP14+CS14+CV14+CY14+DB14+DE14+DH14+DK14+DN14+DQ14</f>
        <v>93196</v>
      </c>
      <c r="DU14" s="81" t="n">
        <f aca="false">DT14-DS14</f>
        <v>0</v>
      </c>
      <c r="DV14" s="111"/>
      <c r="DW14" s="87"/>
      <c r="DX14" s="87"/>
      <c r="DY14" s="111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</row>
    <row r="15" customFormat="false" ht="12.75" hidden="false" customHeight="false" outlineLevel="0" collapsed="false">
      <c r="A15" s="80" t="n">
        <f aca="false">A14+1</f>
        <v>36717</v>
      </c>
      <c r="B15" s="80" t="s">
        <v>91</v>
      </c>
      <c r="C15" s="26" t="n">
        <v>4178</v>
      </c>
      <c r="D15" s="26" t="n">
        <v>4178</v>
      </c>
      <c r="E15" s="81" t="n">
        <f aca="false">D15-C15</f>
        <v>0</v>
      </c>
      <c r="F15" s="26" t="n">
        <v>20000</v>
      </c>
      <c r="G15" s="26" t="n">
        <v>20000</v>
      </c>
      <c r="H15" s="81" t="n">
        <f aca="false">G15-F15</f>
        <v>0</v>
      </c>
      <c r="I15" s="26" t="n">
        <v>2489</v>
      </c>
      <c r="J15" s="26" t="n">
        <v>2489</v>
      </c>
      <c r="K15" s="81" t="n">
        <f aca="false">J15-I15</f>
        <v>0</v>
      </c>
      <c r="L15" s="26" t="n">
        <v>10000</v>
      </c>
      <c r="M15" s="26" t="n">
        <v>10000</v>
      </c>
      <c r="N15" s="81" t="n">
        <f aca="false">M15-L15</f>
        <v>0</v>
      </c>
      <c r="O15" s="26" t="n">
        <f aca="false">5000+5000</f>
        <v>10000</v>
      </c>
      <c r="P15" s="26" t="n">
        <v>10000</v>
      </c>
      <c r="Q15" s="81" t="n">
        <f aca="false">P15-O15</f>
        <v>0</v>
      </c>
      <c r="R15" s="26" t="n">
        <v>5000</v>
      </c>
      <c r="S15" s="26" t="n">
        <v>5000</v>
      </c>
      <c r="T15" s="81" t="n">
        <f aca="false">S15-R15</f>
        <v>0</v>
      </c>
      <c r="U15" s="26" t="n">
        <f aca="false">1000+4000</f>
        <v>5000</v>
      </c>
      <c r="V15" s="26" t="n">
        <f aca="false">1000+4000</f>
        <v>5000</v>
      </c>
      <c r="W15" s="81" t="n">
        <f aca="false">V15-U15</f>
        <v>0</v>
      </c>
      <c r="X15" s="26" t="n">
        <v>10000</v>
      </c>
      <c r="Y15" s="26" t="n">
        <v>10000</v>
      </c>
      <c r="Z15" s="81" t="n">
        <f aca="false">Y15-X15</f>
        <v>0</v>
      </c>
      <c r="AA15" s="26" t="n">
        <v>2670</v>
      </c>
      <c r="AB15" s="26" t="n">
        <v>2670</v>
      </c>
      <c r="AC15" s="81" t="n">
        <f aca="false">AB15-AA15</f>
        <v>0</v>
      </c>
      <c r="AD15" s="26" t="n">
        <v>2670</v>
      </c>
      <c r="AE15" s="26" t="n">
        <v>2670</v>
      </c>
      <c r="AF15" s="81" t="n">
        <f aca="false">AE15-AD15</f>
        <v>0</v>
      </c>
      <c r="AG15" s="26" t="n">
        <v>7741</v>
      </c>
      <c r="AH15" s="26" t="n">
        <v>7741</v>
      </c>
      <c r="AI15" s="81" t="n">
        <f aca="false">AH15-AG15</f>
        <v>0</v>
      </c>
      <c r="AJ15" s="26" t="n">
        <v>3000</v>
      </c>
      <c r="AK15" s="26" t="n">
        <v>3000</v>
      </c>
      <c r="AL15" s="81" t="n">
        <f aca="false">AK15-AJ15</f>
        <v>0</v>
      </c>
      <c r="AM15" s="26" t="n">
        <v>5165</v>
      </c>
      <c r="AN15" s="26" t="n">
        <v>5165</v>
      </c>
      <c r="AO15" s="81" t="n">
        <f aca="false">AN15-AM15</f>
        <v>0</v>
      </c>
      <c r="AP15" s="26" t="n">
        <v>5000</v>
      </c>
      <c r="AQ15" s="26" t="n">
        <v>5000</v>
      </c>
      <c r="AR15" s="81" t="n">
        <f aca="false">AQ15-AP15</f>
        <v>0</v>
      </c>
      <c r="AS15" s="26"/>
      <c r="AT15" s="26"/>
      <c r="AU15" s="81" t="n">
        <f aca="false">AT15-AS15</f>
        <v>0</v>
      </c>
      <c r="AV15" s="26"/>
      <c r="AW15" s="26"/>
      <c r="AX15" s="81" t="n">
        <f aca="false">AW15-AV15</f>
        <v>0</v>
      </c>
      <c r="AY15" s="26"/>
      <c r="AZ15" s="26"/>
      <c r="BA15" s="81" t="n">
        <f aca="false">AZ15-AY15</f>
        <v>0</v>
      </c>
      <c r="BB15" s="26"/>
      <c r="BC15" s="26"/>
      <c r="BD15" s="81" t="n">
        <f aca="false">BC15-BB15</f>
        <v>0</v>
      </c>
      <c r="BE15" s="26"/>
      <c r="BF15" s="26"/>
      <c r="BG15" s="81" t="n">
        <f aca="false">BF15-BE15</f>
        <v>0</v>
      </c>
      <c r="BH15" s="26"/>
      <c r="BI15" s="26"/>
      <c r="BJ15" s="81" t="n">
        <f aca="false">BI15-BH15</f>
        <v>0</v>
      </c>
      <c r="BK15" s="26"/>
      <c r="BL15" s="26"/>
      <c r="BM15" s="81" t="n">
        <f aca="false">BL15-BK15</f>
        <v>0</v>
      </c>
      <c r="BN15" s="26"/>
      <c r="BO15" s="26"/>
      <c r="BP15" s="81" t="n">
        <f aca="false">BO15-BN15</f>
        <v>0</v>
      </c>
      <c r="BQ15" s="26"/>
      <c r="BR15" s="26"/>
      <c r="BS15" s="81" t="n">
        <f aca="false">BR15-BQ15</f>
        <v>0</v>
      </c>
      <c r="BT15" s="26"/>
      <c r="BU15" s="26"/>
      <c r="BV15" s="81" t="n">
        <f aca="false">BU15-BT15</f>
        <v>0</v>
      </c>
      <c r="BW15" s="26"/>
      <c r="BX15" s="26"/>
      <c r="BY15" s="81" t="n">
        <f aca="false">BX15-BW15</f>
        <v>0</v>
      </c>
      <c r="BZ15" s="26"/>
      <c r="CA15" s="26"/>
      <c r="CB15" s="81" t="n">
        <f aca="false">CA15-BZ15</f>
        <v>0</v>
      </c>
      <c r="CC15" s="26"/>
      <c r="CD15" s="26"/>
      <c r="CE15" s="81" t="n">
        <f aca="false">CD15-CC15</f>
        <v>0</v>
      </c>
      <c r="CF15" s="26"/>
      <c r="CG15" s="26"/>
      <c r="CH15" s="81" t="n">
        <f aca="false">CG15-CF15</f>
        <v>0</v>
      </c>
      <c r="CI15" s="26"/>
      <c r="CJ15" s="26"/>
      <c r="CK15" s="81" t="n">
        <f aca="false">CJ15-CI15</f>
        <v>0</v>
      </c>
      <c r="CL15" s="26"/>
      <c r="CM15" s="26"/>
      <c r="CN15" s="81" t="n">
        <f aca="false">CM15-CL15</f>
        <v>0</v>
      </c>
      <c r="CO15" s="26"/>
      <c r="CP15" s="26"/>
      <c r="CQ15" s="81" t="n">
        <f aca="false">CP15-CO15</f>
        <v>0</v>
      </c>
      <c r="CR15" s="26"/>
      <c r="CS15" s="26"/>
      <c r="CT15" s="81" t="n">
        <f aca="false">CS15-CR15</f>
        <v>0</v>
      </c>
      <c r="CU15" s="26"/>
      <c r="CV15" s="26"/>
      <c r="CW15" s="81" t="n">
        <f aca="false">CV15-CU15</f>
        <v>0</v>
      </c>
      <c r="CX15" s="26"/>
      <c r="CY15" s="26"/>
      <c r="CZ15" s="81" t="n">
        <f aca="false">CY15-CX15</f>
        <v>0</v>
      </c>
      <c r="DA15" s="26"/>
      <c r="DB15" s="26"/>
      <c r="DC15" s="81" t="n">
        <f aca="false">DB15-DA15</f>
        <v>0</v>
      </c>
      <c r="DD15" s="26"/>
      <c r="DE15" s="26"/>
      <c r="DF15" s="81" t="n">
        <f aca="false">DE15-DD15</f>
        <v>0</v>
      </c>
      <c r="DG15" s="26"/>
      <c r="DH15" s="26"/>
      <c r="DI15" s="81" t="n">
        <f aca="false">DH15-DG15</f>
        <v>0</v>
      </c>
      <c r="DJ15" s="26"/>
      <c r="DK15" s="26"/>
      <c r="DL15" s="81" t="n">
        <f aca="false">DK15-DJ15</f>
        <v>0</v>
      </c>
      <c r="DM15" s="26"/>
      <c r="DN15" s="26"/>
      <c r="DO15" s="81" t="n">
        <f aca="false">DN15-DM15</f>
        <v>0</v>
      </c>
      <c r="DP15" s="26"/>
      <c r="DQ15" s="26"/>
      <c r="DR15" s="81" t="n">
        <f aca="false">DQ15-DP15</f>
        <v>0</v>
      </c>
      <c r="DS15" s="81" t="n">
        <f aca="false">+C15+F15+I15+L15+O15+R15+U15+X15+AA15+AD15+AG15+AJ15+AM15+AP15+AS15+AV15+AY15+BB15+BE15+BH15+BK15+BN15+BQ15+BT15+BW15+BZ15+CC15+CF15+CI15+CL15+CO15+CR15+CU15+CX15+DA15+DD15+DG15+DJ15+DM15+DP15</f>
        <v>92913</v>
      </c>
      <c r="DT15" s="81" t="n">
        <f aca="false">+D15+G15+J15+M15+P15+S15+V15+Y15+AB15+AE15+AH15+AK15+AN15+AQ15+AT15+AW15+AZ15+BC15+BF15+BI15+BL15+BO15+BR15+BU15+BX15+CA15+CD15+CG15+CJ15+CM15+CP15+CS15+CV15+CY15+DB15+DE15+DH15+DK15+DN15+DQ15</f>
        <v>92913</v>
      </c>
      <c r="DU15" s="81" t="n">
        <f aca="false">DT15-DS15</f>
        <v>0</v>
      </c>
      <c r="DV15" s="111"/>
      <c r="DW15" s="87"/>
      <c r="DX15" s="87"/>
      <c r="DY15" s="111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</row>
    <row r="16" customFormat="false" ht="12.75" hidden="false" customHeight="false" outlineLevel="0" collapsed="false">
      <c r="A16" s="80" t="n">
        <f aca="false">A15+1</f>
        <v>36718</v>
      </c>
      <c r="B16" s="80" t="s">
        <v>92</v>
      </c>
      <c r="C16" s="26" t="n">
        <v>4178</v>
      </c>
      <c r="D16" s="26" t="n">
        <v>4178</v>
      </c>
      <c r="E16" s="81" t="n">
        <f aca="false">D16-C16</f>
        <v>0</v>
      </c>
      <c r="F16" s="26" t="n">
        <v>20000</v>
      </c>
      <c r="G16" s="26" t="n">
        <v>20000</v>
      </c>
      <c r="H16" s="81" t="n">
        <f aca="false">G16-F16</f>
        <v>0</v>
      </c>
      <c r="I16" s="26" t="n">
        <v>2633</v>
      </c>
      <c r="J16" s="26" t="n">
        <v>2633</v>
      </c>
      <c r="K16" s="81" t="n">
        <f aca="false">J16-I16</f>
        <v>0</v>
      </c>
      <c r="L16" s="26" t="n">
        <v>10000</v>
      </c>
      <c r="M16" s="26" t="n">
        <v>10000</v>
      </c>
      <c r="N16" s="81" t="n">
        <f aca="false">M16-L16</f>
        <v>0</v>
      </c>
      <c r="O16" s="26" t="n">
        <f aca="false">5000+5000</f>
        <v>10000</v>
      </c>
      <c r="P16" s="26" t="n">
        <v>10000</v>
      </c>
      <c r="Q16" s="81" t="n">
        <f aca="false">P16-O16</f>
        <v>0</v>
      </c>
      <c r="R16" s="26" t="n">
        <v>5000</v>
      </c>
      <c r="S16" s="26" t="n">
        <v>5000</v>
      </c>
      <c r="T16" s="81" t="n">
        <f aca="false">S16-R16</f>
        <v>0</v>
      </c>
      <c r="U16" s="26" t="n">
        <f aca="false">1000+4000</f>
        <v>5000</v>
      </c>
      <c r="V16" s="26" t="n">
        <f aca="false">1000+4000</f>
        <v>5000</v>
      </c>
      <c r="W16" s="81" t="n">
        <f aca="false">V16-U16</f>
        <v>0</v>
      </c>
      <c r="X16" s="26" t="n">
        <v>10000</v>
      </c>
      <c r="Y16" s="26" t="n">
        <v>10000</v>
      </c>
      <c r="Z16" s="81" t="n">
        <f aca="false">Y16-X16</f>
        <v>0</v>
      </c>
      <c r="AA16" s="26" t="n">
        <v>2907</v>
      </c>
      <c r="AB16" s="26" t="n">
        <v>2907</v>
      </c>
      <c r="AC16" s="81" t="n">
        <f aca="false">AB16-AA16</f>
        <v>0</v>
      </c>
      <c r="AD16" s="26" t="n">
        <v>2907</v>
      </c>
      <c r="AE16" s="26" t="n">
        <v>2907</v>
      </c>
      <c r="AF16" s="81" t="n">
        <f aca="false">AE16-AD16</f>
        <v>0</v>
      </c>
      <c r="AG16" s="26" t="n">
        <v>7741</v>
      </c>
      <c r="AH16" s="26" t="n">
        <v>7741</v>
      </c>
      <c r="AI16" s="81" t="n">
        <f aca="false">AH16-AG16</f>
        <v>0</v>
      </c>
      <c r="AJ16" s="26" t="n">
        <v>3000</v>
      </c>
      <c r="AK16" s="26" t="n">
        <v>3000</v>
      </c>
      <c r="AL16" s="81" t="n">
        <f aca="false">AK16-AJ16</f>
        <v>0</v>
      </c>
      <c r="AM16" s="26" t="n">
        <v>5760</v>
      </c>
      <c r="AN16" s="26" t="n">
        <v>5760</v>
      </c>
      <c r="AO16" s="81" t="n">
        <f aca="false">AN16-AM16</f>
        <v>0</v>
      </c>
      <c r="AP16" s="26" t="n">
        <v>5000</v>
      </c>
      <c r="AQ16" s="26" t="n">
        <v>5000</v>
      </c>
      <c r="AR16" s="81" t="n">
        <f aca="false">AQ16-AP16</f>
        <v>0</v>
      </c>
      <c r="AS16" s="26"/>
      <c r="AT16" s="26"/>
      <c r="AU16" s="81" t="n">
        <f aca="false">AT16-AS16</f>
        <v>0</v>
      </c>
      <c r="AV16" s="26"/>
      <c r="AW16" s="26"/>
      <c r="AX16" s="81" t="n">
        <f aca="false">AW16-AV16</f>
        <v>0</v>
      </c>
      <c r="AY16" s="26"/>
      <c r="AZ16" s="26"/>
      <c r="BA16" s="81" t="n">
        <f aca="false">AZ16-AY16</f>
        <v>0</v>
      </c>
      <c r="BB16" s="26"/>
      <c r="BC16" s="26"/>
      <c r="BD16" s="81" t="n">
        <f aca="false">BC16-BB16</f>
        <v>0</v>
      </c>
      <c r="BE16" s="26"/>
      <c r="BF16" s="26"/>
      <c r="BG16" s="81" t="n">
        <f aca="false">BF16-BE16</f>
        <v>0</v>
      </c>
      <c r="BH16" s="26"/>
      <c r="BI16" s="26"/>
      <c r="BJ16" s="81" t="n">
        <f aca="false">BI16-BH16</f>
        <v>0</v>
      </c>
      <c r="BK16" s="26"/>
      <c r="BL16" s="26"/>
      <c r="BM16" s="81" t="n">
        <f aca="false">BL16-BK16</f>
        <v>0</v>
      </c>
      <c r="BN16" s="26"/>
      <c r="BO16" s="26"/>
      <c r="BP16" s="81" t="n">
        <f aca="false">BO16-BN16</f>
        <v>0</v>
      </c>
      <c r="BQ16" s="26"/>
      <c r="BR16" s="26"/>
      <c r="BS16" s="81" t="n">
        <f aca="false">BR16-BQ16</f>
        <v>0</v>
      </c>
      <c r="BT16" s="26"/>
      <c r="BU16" s="26"/>
      <c r="BV16" s="81" t="n">
        <f aca="false">BU16-BT16</f>
        <v>0</v>
      </c>
      <c r="BW16" s="26"/>
      <c r="BX16" s="26"/>
      <c r="BY16" s="81" t="n">
        <f aca="false">BX16-BW16</f>
        <v>0</v>
      </c>
      <c r="BZ16" s="26"/>
      <c r="CA16" s="26"/>
      <c r="CB16" s="81" t="n">
        <f aca="false">CA16-BZ16</f>
        <v>0</v>
      </c>
      <c r="CC16" s="26"/>
      <c r="CD16" s="26"/>
      <c r="CE16" s="81" t="n">
        <f aca="false">CD16-CC16</f>
        <v>0</v>
      </c>
      <c r="CF16" s="26"/>
      <c r="CG16" s="26"/>
      <c r="CH16" s="81" t="n">
        <f aca="false">CG16-CF16</f>
        <v>0</v>
      </c>
      <c r="CI16" s="26"/>
      <c r="CJ16" s="26"/>
      <c r="CK16" s="81" t="n">
        <f aca="false">CJ16-CI16</f>
        <v>0</v>
      </c>
      <c r="CL16" s="26"/>
      <c r="CM16" s="26"/>
      <c r="CN16" s="81" t="n">
        <f aca="false">CM16-CL16</f>
        <v>0</v>
      </c>
      <c r="CO16" s="26"/>
      <c r="CP16" s="26"/>
      <c r="CQ16" s="81" t="n">
        <f aca="false">CP16-CO16</f>
        <v>0</v>
      </c>
      <c r="CR16" s="26"/>
      <c r="CS16" s="26"/>
      <c r="CT16" s="81" t="n">
        <f aca="false">CS16-CR16</f>
        <v>0</v>
      </c>
      <c r="CU16" s="26"/>
      <c r="CV16" s="26"/>
      <c r="CW16" s="81" t="n">
        <f aca="false">CV16-CU16</f>
        <v>0</v>
      </c>
      <c r="CX16" s="26"/>
      <c r="CY16" s="26"/>
      <c r="CZ16" s="81" t="n">
        <f aca="false">CY16-CX16</f>
        <v>0</v>
      </c>
      <c r="DA16" s="26"/>
      <c r="DB16" s="26"/>
      <c r="DC16" s="81" t="n">
        <f aca="false">DB16-DA16</f>
        <v>0</v>
      </c>
      <c r="DD16" s="26"/>
      <c r="DE16" s="26"/>
      <c r="DF16" s="81" t="n">
        <f aca="false">DE16-DD16</f>
        <v>0</v>
      </c>
      <c r="DG16" s="26"/>
      <c r="DH16" s="26"/>
      <c r="DI16" s="81" t="n">
        <f aca="false">DH16-DG16</f>
        <v>0</v>
      </c>
      <c r="DJ16" s="26"/>
      <c r="DK16" s="26"/>
      <c r="DL16" s="81" t="n">
        <f aca="false">DK16-DJ16</f>
        <v>0</v>
      </c>
      <c r="DM16" s="26"/>
      <c r="DN16" s="26"/>
      <c r="DO16" s="81" t="n">
        <f aca="false">DN16-DM16</f>
        <v>0</v>
      </c>
      <c r="DP16" s="26"/>
      <c r="DQ16" s="26"/>
      <c r="DR16" s="81" t="n">
        <f aca="false">DQ16-DP16</f>
        <v>0</v>
      </c>
      <c r="DS16" s="81" t="n">
        <f aca="false">+C16+F16+I16+L16+O16+R16+U16+X16+AA16+AD16+AG16+AJ16+AM16+AP16+AS16+AV16+AY16+BB16+BE16+BH16+BK16+BN16+BQ16+BT16+BW16+BZ16+CC16+CF16+CI16+CL16+CO16+CR16+CU16+CX16+DA16+DD16+DG16+DJ16+DM16+DP16</f>
        <v>94126</v>
      </c>
      <c r="DT16" s="81" t="n">
        <f aca="false">+D16+G16+J16+M16+P16+S16+V16+Y16+AB16+AE16+AH16+AK16+AN16+AQ16+AT16+AW16+AZ16+BC16+BF16+BI16+BL16+BO16+BR16+BU16+BX16+CA16+CD16+CG16+CJ16+CM16+CP16+CS16+CV16+CY16+DB16+DE16+DH16+DK16+DN16+DQ16</f>
        <v>94126</v>
      </c>
      <c r="DU16" s="81" t="n">
        <f aca="false">DT16-DS16</f>
        <v>0</v>
      </c>
      <c r="DV16" s="111"/>
      <c r="DW16" s="87"/>
      <c r="DX16" s="87"/>
      <c r="DY16" s="111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</row>
    <row r="17" customFormat="false" ht="12.75" hidden="false" customHeight="false" outlineLevel="0" collapsed="false">
      <c r="A17" s="80" t="n">
        <f aca="false">A16+1</f>
        <v>36719</v>
      </c>
      <c r="B17" s="80" t="s">
        <v>93</v>
      </c>
      <c r="C17" s="26" t="n">
        <v>4178</v>
      </c>
      <c r="D17" s="26" t="n">
        <v>4178</v>
      </c>
      <c r="E17" s="81" t="n">
        <f aca="false">D17-C17</f>
        <v>0</v>
      </c>
      <c r="F17" s="26" t="n">
        <v>20000</v>
      </c>
      <c r="G17" s="26" t="n">
        <v>20000</v>
      </c>
      <c r="H17" s="81" t="n">
        <f aca="false">G17-F17</f>
        <v>0</v>
      </c>
      <c r="I17" s="26" t="n">
        <v>2846</v>
      </c>
      <c r="J17" s="26" t="n">
        <v>2846</v>
      </c>
      <c r="K17" s="81" t="n">
        <f aca="false">J17-I17</f>
        <v>0</v>
      </c>
      <c r="L17" s="26" t="n">
        <v>10000</v>
      </c>
      <c r="M17" s="26" t="n">
        <v>10000</v>
      </c>
      <c r="N17" s="81" t="n">
        <f aca="false">M17-L17</f>
        <v>0</v>
      </c>
      <c r="O17" s="26" t="n">
        <f aca="false">5000+5000</f>
        <v>10000</v>
      </c>
      <c r="P17" s="26" t="n">
        <v>10000</v>
      </c>
      <c r="Q17" s="81" t="n">
        <f aca="false">P17-O17</f>
        <v>0</v>
      </c>
      <c r="R17" s="26" t="n">
        <v>5000</v>
      </c>
      <c r="S17" s="26" t="n">
        <v>5000</v>
      </c>
      <c r="T17" s="81" t="n">
        <f aca="false">S17-R17</f>
        <v>0</v>
      </c>
      <c r="U17" s="26" t="n">
        <f aca="false">1000+4000</f>
        <v>5000</v>
      </c>
      <c r="V17" s="26" t="n">
        <f aca="false">1000+4000</f>
        <v>5000</v>
      </c>
      <c r="W17" s="81" t="n">
        <f aca="false">V17-U17</f>
        <v>0</v>
      </c>
      <c r="X17" s="26" t="n">
        <v>10000</v>
      </c>
      <c r="Y17" s="26" t="n">
        <v>10000</v>
      </c>
      <c r="Z17" s="81" t="n">
        <f aca="false">Y17-X17</f>
        <v>0</v>
      </c>
      <c r="AA17" s="26" t="n">
        <v>2409</v>
      </c>
      <c r="AB17" s="26" t="n">
        <v>2409</v>
      </c>
      <c r="AC17" s="81" t="n">
        <f aca="false">AB17-AA17</f>
        <v>0</v>
      </c>
      <c r="AD17" s="26" t="n">
        <v>2409</v>
      </c>
      <c r="AE17" s="26" t="n">
        <v>2409</v>
      </c>
      <c r="AF17" s="81" t="n">
        <f aca="false">AE17-AD17</f>
        <v>0</v>
      </c>
      <c r="AG17" s="26" t="n">
        <v>7741</v>
      </c>
      <c r="AH17" s="26" t="n">
        <v>7741</v>
      </c>
      <c r="AI17" s="81" t="n">
        <f aca="false">AH17-AG17</f>
        <v>0</v>
      </c>
      <c r="AJ17" s="26" t="n">
        <v>3000</v>
      </c>
      <c r="AK17" s="26" t="n">
        <v>3000</v>
      </c>
      <c r="AL17" s="81" t="n">
        <f aca="false">AK17-AJ17</f>
        <v>0</v>
      </c>
      <c r="AM17" s="26" t="n">
        <v>6285</v>
      </c>
      <c r="AN17" s="26" t="n">
        <v>6285</v>
      </c>
      <c r="AO17" s="81" t="n">
        <f aca="false">AN17-AM17</f>
        <v>0</v>
      </c>
      <c r="AP17" s="26" t="n">
        <v>5000</v>
      </c>
      <c r="AQ17" s="26" t="n">
        <v>5000</v>
      </c>
      <c r="AR17" s="81" t="n">
        <f aca="false">AQ17-AP17</f>
        <v>0</v>
      </c>
      <c r="AS17" s="26"/>
      <c r="AT17" s="26"/>
      <c r="AU17" s="81" t="n">
        <f aca="false">AT17-AS17</f>
        <v>0</v>
      </c>
      <c r="AV17" s="26"/>
      <c r="AW17" s="26"/>
      <c r="AX17" s="81" t="n">
        <f aca="false">AW17-AV17</f>
        <v>0</v>
      </c>
      <c r="AY17" s="26"/>
      <c r="AZ17" s="26"/>
      <c r="BA17" s="81" t="n">
        <f aca="false">AZ17-AY17</f>
        <v>0</v>
      </c>
      <c r="BB17" s="26"/>
      <c r="BC17" s="26"/>
      <c r="BD17" s="81" t="n">
        <f aca="false">BC17-BB17</f>
        <v>0</v>
      </c>
      <c r="BE17" s="26"/>
      <c r="BF17" s="26"/>
      <c r="BG17" s="81" t="n">
        <f aca="false">BF17-BE17</f>
        <v>0</v>
      </c>
      <c r="BH17" s="26"/>
      <c r="BI17" s="26"/>
      <c r="BJ17" s="81" t="n">
        <f aca="false">BI17-BH17</f>
        <v>0</v>
      </c>
      <c r="BK17" s="26"/>
      <c r="BL17" s="26"/>
      <c r="BM17" s="81" t="n">
        <f aca="false">BL17-BK17</f>
        <v>0</v>
      </c>
      <c r="BN17" s="26"/>
      <c r="BO17" s="26"/>
      <c r="BP17" s="81" t="n">
        <f aca="false">BO17-BN17</f>
        <v>0</v>
      </c>
      <c r="BQ17" s="26"/>
      <c r="BR17" s="26"/>
      <c r="BS17" s="81" t="n">
        <f aca="false">BR17-BQ17</f>
        <v>0</v>
      </c>
      <c r="BT17" s="26"/>
      <c r="BU17" s="26"/>
      <c r="BV17" s="81" t="n">
        <f aca="false">BU17-BT17</f>
        <v>0</v>
      </c>
      <c r="BW17" s="26"/>
      <c r="BX17" s="26"/>
      <c r="BY17" s="81" t="n">
        <f aca="false">BX17-BW17</f>
        <v>0</v>
      </c>
      <c r="BZ17" s="26"/>
      <c r="CA17" s="26"/>
      <c r="CB17" s="81" t="n">
        <f aca="false">CA17-BZ17</f>
        <v>0</v>
      </c>
      <c r="CC17" s="26"/>
      <c r="CD17" s="26"/>
      <c r="CE17" s="81" t="n">
        <f aca="false">CD17-CC17</f>
        <v>0</v>
      </c>
      <c r="CF17" s="26"/>
      <c r="CG17" s="26"/>
      <c r="CH17" s="81" t="n">
        <f aca="false">CG17-CF17</f>
        <v>0</v>
      </c>
      <c r="CI17" s="26"/>
      <c r="CJ17" s="26"/>
      <c r="CK17" s="81" t="n">
        <f aca="false">CJ17-CI17</f>
        <v>0</v>
      </c>
      <c r="CL17" s="26"/>
      <c r="CM17" s="26"/>
      <c r="CN17" s="81" t="n">
        <f aca="false">CM17-CL17</f>
        <v>0</v>
      </c>
      <c r="CO17" s="26"/>
      <c r="CP17" s="26"/>
      <c r="CQ17" s="81" t="n">
        <f aca="false">CP17-CO17</f>
        <v>0</v>
      </c>
      <c r="CR17" s="26"/>
      <c r="CS17" s="26"/>
      <c r="CT17" s="81" t="n">
        <f aca="false">CS17-CR17</f>
        <v>0</v>
      </c>
      <c r="CU17" s="26"/>
      <c r="CV17" s="26"/>
      <c r="CW17" s="81" t="n">
        <f aca="false">CV17-CU17</f>
        <v>0</v>
      </c>
      <c r="CX17" s="26"/>
      <c r="CY17" s="26"/>
      <c r="CZ17" s="81" t="n">
        <f aca="false">CY17-CX17</f>
        <v>0</v>
      </c>
      <c r="DA17" s="26"/>
      <c r="DB17" s="26"/>
      <c r="DC17" s="81" t="n">
        <f aca="false">DB17-DA17</f>
        <v>0</v>
      </c>
      <c r="DD17" s="26"/>
      <c r="DE17" s="26"/>
      <c r="DF17" s="81" t="n">
        <f aca="false">DE17-DD17</f>
        <v>0</v>
      </c>
      <c r="DG17" s="26"/>
      <c r="DH17" s="26"/>
      <c r="DI17" s="81" t="n">
        <f aca="false">DH17-DG17</f>
        <v>0</v>
      </c>
      <c r="DJ17" s="26"/>
      <c r="DK17" s="26"/>
      <c r="DL17" s="81" t="n">
        <f aca="false">DK17-DJ17</f>
        <v>0</v>
      </c>
      <c r="DM17" s="26"/>
      <c r="DN17" s="26"/>
      <c r="DO17" s="81" t="n">
        <f aca="false">DN17-DM17</f>
        <v>0</v>
      </c>
      <c r="DP17" s="26"/>
      <c r="DQ17" s="26"/>
      <c r="DR17" s="81" t="n">
        <f aca="false">DQ17-DP17</f>
        <v>0</v>
      </c>
      <c r="DS17" s="81" t="n">
        <f aca="false">+C17+F17+I17+L17+O17+R17+U17+X17+AA17+AD17+AG17+AJ17+AM17+AP17+AS17+AV17+AY17+BB17+BE17+BH17+BK17+BN17+BQ17+BT17+BW17+BZ17+CC17+CF17+CI17+CL17+CO17+CR17+CU17+CX17+DA17+DD17+DG17+DJ17+DM17+DP17</f>
        <v>93868</v>
      </c>
      <c r="DT17" s="81" t="n">
        <f aca="false">+D17+G17+J17+M17+P17+S17+V17+Y17+AB17+AE17+AH17+AK17+AN17+AQ17+AT17+AW17+AZ17+BC17+BF17+BI17+BL17+BO17+BR17+BU17+BX17+CA17+CD17+CG17+CJ17+CM17+CP17+CS17+CV17+CY17+DB17+DE17+DH17+DK17+DN17+DQ17</f>
        <v>93868</v>
      </c>
      <c r="DU17" s="81" t="n">
        <f aca="false">DT17-DS17</f>
        <v>0</v>
      </c>
      <c r="DV17" s="111"/>
      <c r="DW17" s="87"/>
      <c r="DX17" s="87"/>
      <c r="DY17" s="111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</row>
    <row r="18" customFormat="false" ht="12.75" hidden="false" customHeight="false" outlineLevel="0" collapsed="false">
      <c r="A18" s="80" t="n">
        <f aca="false">A17+1</f>
        <v>36720</v>
      </c>
      <c r="B18" s="80" t="s">
        <v>94</v>
      </c>
      <c r="C18" s="26" t="n">
        <v>4178</v>
      </c>
      <c r="D18" s="26" t="n">
        <v>4178</v>
      </c>
      <c r="E18" s="81" t="n">
        <f aca="false">D18-C18</f>
        <v>0</v>
      </c>
      <c r="F18" s="26" t="n">
        <v>20000</v>
      </c>
      <c r="G18" s="26" t="n">
        <v>20000</v>
      </c>
      <c r="H18" s="81" t="n">
        <f aca="false">G18-F18</f>
        <v>0</v>
      </c>
      <c r="I18" s="26" t="n">
        <v>3059</v>
      </c>
      <c r="J18" s="26" t="n">
        <v>3059</v>
      </c>
      <c r="K18" s="81" t="n">
        <f aca="false">J18-I18</f>
        <v>0</v>
      </c>
      <c r="L18" s="26" t="n">
        <v>10000</v>
      </c>
      <c r="M18" s="26" t="n">
        <v>10000</v>
      </c>
      <c r="N18" s="81" t="n">
        <f aca="false">M18-L18</f>
        <v>0</v>
      </c>
      <c r="O18" s="26" t="n">
        <f aca="false">5000+5000</f>
        <v>10000</v>
      </c>
      <c r="P18" s="26" t="n">
        <v>10000</v>
      </c>
      <c r="Q18" s="81" t="n">
        <f aca="false">P18-O18</f>
        <v>0</v>
      </c>
      <c r="R18" s="26" t="n">
        <v>5000</v>
      </c>
      <c r="S18" s="26" t="n">
        <v>5000</v>
      </c>
      <c r="T18" s="81" t="n">
        <f aca="false">S18-R18</f>
        <v>0</v>
      </c>
      <c r="U18" s="26" t="n">
        <f aca="false">1000+4000</f>
        <v>5000</v>
      </c>
      <c r="V18" s="26" t="n">
        <f aca="false">1000+4000</f>
        <v>5000</v>
      </c>
      <c r="W18" s="81" t="n">
        <f aca="false">V18-U18</f>
        <v>0</v>
      </c>
      <c r="X18" s="26" t="n">
        <v>10000</v>
      </c>
      <c r="Y18" s="26" t="n">
        <v>10000</v>
      </c>
      <c r="Z18" s="81" t="n">
        <f aca="false">Y18-X18</f>
        <v>0</v>
      </c>
      <c r="AA18" s="26" t="n">
        <v>2814</v>
      </c>
      <c r="AB18" s="26" t="n">
        <v>2814</v>
      </c>
      <c r="AC18" s="81" t="n">
        <f aca="false">AB18-AA18</f>
        <v>0</v>
      </c>
      <c r="AD18" s="26" t="n">
        <v>2814</v>
      </c>
      <c r="AE18" s="26" t="n">
        <v>2814</v>
      </c>
      <c r="AF18" s="81" t="n">
        <f aca="false">AE18-AD18</f>
        <v>0</v>
      </c>
      <c r="AG18" s="26" t="n">
        <v>7741</v>
      </c>
      <c r="AH18" s="26" t="n">
        <v>7741</v>
      </c>
      <c r="AI18" s="81" t="n">
        <f aca="false">AH18-AG18</f>
        <v>0</v>
      </c>
      <c r="AJ18" s="26" t="n">
        <v>3000</v>
      </c>
      <c r="AK18" s="26" t="n">
        <v>3000</v>
      </c>
      <c r="AL18" s="81" t="n">
        <f aca="false">AK18-AJ18</f>
        <v>0</v>
      </c>
      <c r="AM18" s="26" t="n">
        <v>6858</v>
      </c>
      <c r="AN18" s="26" t="n">
        <v>6858</v>
      </c>
      <c r="AO18" s="81" t="n">
        <f aca="false">AN18-AM18</f>
        <v>0</v>
      </c>
      <c r="AP18" s="26" t="n">
        <v>5000</v>
      </c>
      <c r="AQ18" s="26" t="n">
        <v>5000</v>
      </c>
      <c r="AR18" s="81" t="n">
        <f aca="false">AQ18-AP18</f>
        <v>0</v>
      </c>
      <c r="AS18" s="26"/>
      <c r="AT18" s="26"/>
      <c r="AU18" s="81" t="n">
        <f aca="false">AT18-AS18</f>
        <v>0</v>
      </c>
      <c r="AV18" s="26"/>
      <c r="AW18" s="26"/>
      <c r="AX18" s="81" t="n">
        <f aca="false">AW18-AV18</f>
        <v>0</v>
      </c>
      <c r="AY18" s="26"/>
      <c r="AZ18" s="26"/>
      <c r="BA18" s="81" t="n">
        <f aca="false">AZ18-AY18</f>
        <v>0</v>
      </c>
      <c r="BB18" s="26"/>
      <c r="BC18" s="26"/>
      <c r="BD18" s="81" t="n">
        <f aca="false">BC18-BB18</f>
        <v>0</v>
      </c>
      <c r="BE18" s="26"/>
      <c r="BF18" s="26"/>
      <c r="BG18" s="81" t="n">
        <f aca="false">BF18-BE18</f>
        <v>0</v>
      </c>
      <c r="BH18" s="26"/>
      <c r="BI18" s="26"/>
      <c r="BJ18" s="81" t="n">
        <f aca="false">BI18-BH18</f>
        <v>0</v>
      </c>
      <c r="BK18" s="26"/>
      <c r="BL18" s="26"/>
      <c r="BM18" s="81" t="n">
        <f aca="false">BL18-BK18</f>
        <v>0</v>
      </c>
      <c r="BN18" s="26"/>
      <c r="BO18" s="26"/>
      <c r="BP18" s="81" t="n">
        <f aca="false">BO18-BN18</f>
        <v>0</v>
      </c>
      <c r="BQ18" s="26"/>
      <c r="BR18" s="26"/>
      <c r="BS18" s="81" t="n">
        <f aca="false">BR18-BQ18</f>
        <v>0</v>
      </c>
      <c r="BT18" s="26"/>
      <c r="BU18" s="26"/>
      <c r="BV18" s="81" t="n">
        <f aca="false">BU18-BT18</f>
        <v>0</v>
      </c>
      <c r="BW18" s="26"/>
      <c r="BX18" s="26"/>
      <c r="BY18" s="81" t="n">
        <f aca="false">BX18-BW18</f>
        <v>0</v>
      </c>
      <c r="BZ18" s="26"/>
      <c r="CA18" s="26"/>
      <c r="CB18" s="81" t="n">
        <f aca="false">CA18-BZ18</f>
        <v>0</v>
      </c>
      <c r="CC18" s="26"/>
      <c r="CD18" s="26"/>
      <c r="CE18" s="81" t="n">
        <f aca="false">CD18-CC18</f>
        <v>0</v>
      </c>
      <c r="CF18" s="26"/>
      <c r="CG18" s="26"/>
      <c r="CH18" s="81" t="n">
        <f aca="false">CG18-CF18</f>
        <v>0</v>
      </c>
      <c r="CI18" s="26"/>
      <c r="CJ18" s="26"/>
      <c r="CK18" s="81" t="n">
        <f aca="false">CJ18-CI18</f>
        <v>0</v>
      </c>
      <c r="CL18" s="26"/>
      <c r="CM18" s="26"/>
      <c r="CN18" s="81" t="n">
        <f aca="false">CM18-CL18</f>
        <v>0</v>
      </c>
      <c r="CO18" s="26"/>
      <c r="CP18" s="26"/>
      <c r="CQ18" s="81" t="n">
        <f aca="false">CP18-CO18</f>
        <v>0</v>
      </c>
      <c r="CR18" s="26"/>
      <c r="CS18" s="26"/>
      <c r="CT18" s="81" t="n">
        <f aca="false">CS18-CR18</f>
        <v>0</v>
      </c>
      <c r="CU18" s="26"/>
      <c r="CV18" s="26"/>
      <c r="CW18" s="81" t="n">
        <f aca="false">CV18-CU18</f>
        <v>0</v>
      </c>
      <c r="CX18" s="26"/>
      <c r="CY18" s="26"/>
      <c r="CZ18" s="81" t="n">
        <f aca="false">CY18-CX18</f>
        <v>0</v>
      </c>
      <c r="DA18" s="26"/>
      <c r="DB18" s="26"/>
      <c r="DC18" s="81" t="n">
        <f aca="false">DB18-DA18</f>
        <v>0</v>
      </c>
      <c r="DD18" s="26"/>
      <c r="DE18" s="26"/>
      <c r="DF18" s="81" t="n">
        <f aca="false">DE18-DD18</f>
        <v>0</v>
      </c>
      <c r="DG18" s="26"/>
      <c r="DH18" s="26"/>
      <c r="DI18" s="81" t="n">
        <f aca="false">DH18-DG18</f>
        <v>0</v>
      </c>
      <c r="DJ18" s="26"/>
      <c r="DK18" s="26"/>
      <c r="DL18" s="81" t="n">
        <f aca="false">DK18-DJ18</f>
        <v>0</v>
      </c>
      <c r="DM18" s="26"/>
      <c r="DN18" s="26"/>
      <c r="DO18" s="81" t="n">
        <f aca="false">DN18-DM18</f>
        <v>0</v>
      </c>
      <c r="DP18" s="26"/>
      <c r="DQ18" s="26"/>
      <c r="DR18" s="81" t="n">
        <f aca="false">DQ18-DP18</f>
        <v>0</v>
      </c>
      <c r="DS18" s="81" t="n">
        <f aca="false">+C18+F18+I18+L18+O18+R18+U18+X18+AA18+AD18+AG18+AJ18+AM18+AP18+AS18+AV18+AY18+BB18+BE18+BH18+BK18+BN18+BQ18+BT18+BW18+BZ18+CC18+CF18+CI18+CL18+CO18+CR18+CU18+CX18+DA18+DD18+DG18+DJ18+DM18+DP18</f>
        <v>95464</v>
      </c>
      <c r="DT18" s="81" t="n">
        <f aca="false">+D18+G18+J18+M18+P18+S18+V18+Y18+AB18+AE18+AH18+AK18+AN18+AQ18+AT18+AW18+AZ18+BC18+BF18+BI18+BL18+BO18+BR18+BU18+BX18+CA18+CD18+CG18+CJ18+CM18+CP18+CS18+CV18+CY18+DB18+DE18+DH18+DK18+DN18+DQ18</f>
        <v>95464</v>
      </c>
      <c r="DU18" s="81" t="n">
        <f aca="false">DT18-DS18</f>
        <v>0</v>
      </c>
      <c r="DV18" s="111"/>
      <c r="DW18" s="87"/>
      <c r="DX18" s="87"/>
      <c r="DY18" s="111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</row>
    <row r="19" customFormat="false" ht="12.75" hidden="false" customHeight="false" outlineLevel="0" collapsed="false">
      <c r="A19" s="80" t="n">
        <f aca="false">A18+1</f>
        <v>36721</v>
      </c>
      <c r="B19" s="80" t="s">
        <v>95</v>
      </c>
      <c r="C19" s="26" t="n">
        <v>4178</v>
      </c>
      <c r="D19" s="26" t="n">
        <v>4178</v>
      </c>
      <c r="E19" s="81" t="n">
        <f aca="false">D19-C19</f>
        <v>0</v>
      </c>
      <c r="F19" s="26" t="n">
        <v>20000</v>
      </c>
      <c r="G19" s="26" t="n">
        <v>20000</v>
      </c>
      <c r="H19" s="81" t="n">
        <f aca="false">G19-F19</f>
        <v>0</v>
      </c>
      <c r="I19" s="26" t="n">
        <v>2737</v>
      </c>
      <c r="J19" s="26" t="n">
        <v>2737</v>
      </c>
      <c r="K19" s="81" t="n">
        <f aca="false">J19-I19</f>
        <v>0</v>
      </c>
      <c r="L19" s="26" t="n">
        <v>10000</v>
      </c>
      <c r="M19" s="26" t="n">
        <v>10000</v>
      </c>
      <c r="N19" s="81" t="n">
        <f aca="false">M19-L19</f>
        <v>0</v>
      </c>
      <c r="O19" s="26" t="n">
        <f aca="false">5000+5000</f>
        <v>10000</v>
      </c>
      <c r="P19" s="26" t="n">
        <v>10000</v>
      </c>
      <c r="Q19" s="81" t="n">
        <f aca="false">P19-O19</f>
        <v>0</v>
      </c>
      <c r="R19" s="26" t="n">
        <v>5000</v>
      </c>
      <c r="S19" s="26" t="n">
        <v>5000</v>
      </c>
      <c r="T19" s="81" t="n">
        <f aca="false">S19-R19</f>
        <v>0</v>
      </c>
      <c r="U19" s="26" t="n">
        <f aca="false">1000+4000</f>
        <v>5000</v>
      </c>
      <c r="V19" s="26" t="n">
        <f aca="false">1000+4000</f>
        <v>5000</v>
      </c>
      <c r="W19" s="81" t="n">
        <f aca="false">V19-U19</f>
        <v>0</v>
      </c>
      <c r="X19" s="26" t="n">
        <v>10000</v>
      </c>
      <c r="Y19" s="26" t="n">
        <v>10000</v>
      </c>
      <c r="Z19" s="81" t="n">
        <f aca="false">Y19-X19</f>
        <v>0</v>
      </c>
      <c r="AA19" s="26" t="n">
        <v>3273</v>
      </c>
      <c r="AB19" s="26" t="n">
        <v>3273</v>
      </c>
      <c r="AC19" s="81" t="n">
        <f aca="false">AB19-AA19</f>
        <v>0</v>
      </c>
      <c r="AD19" s="26" t="n">
        <v>3273</v>
      </c>
      <c r="AE19" s="26" t="n">
        <v>3273</v>
      </c>
      <c r="AF19" s="81" t="n">
        <f aca="false">AE19-AD19</f>
        <v>0</v>
      </c>
      <c r="AG19" s="26" t="n">
        <v>7741</v>
      </c>
      <c r="AH19" s="26" t="n">
        <v>7741</v>
      </c>
      <c r="AI19" s="81" t="n">
        <f aca="false">AH19-AG19</f>
        <v>0</v>
      </c>
      <c r="AJ19" s="26" t="n">
        <v>3000</v>
      </c>
      <c r="AK19" s="26" t="n">
        <v>3000</v>
      </c>
      <c r="AL19" s="81" t="n">
        <f aca="false">AK19-AJ19</f>
        <v>0</v>
      </c>
      <c r="AM19" s="26" t="n">
        <v>5747</v>
      </c>
      <c r="AN19" s="26" t="n">
        <v>5747</v>
      </c>
      <c r="AO19" s="81" t="n">
        <f aca="false">AN19-AM19</f>
        <v>0</v>
      </c>
      <c r="AP19" s="26" t="n">
        <v>5000</v>
      </c>
      <c r="AQ19" s="26" t="n">
        <v>5000</v>
      </c>
      <c r="AR19" s="81" t="n">
        <f aca="false">AQ19-AP19</f>
        <v>0</v>
      </c>
      <c r="AS19" s="26"/>
      <c r="AT19" s="26"/>
      <c r="AU19" s="81" t="n">
        <f aca="false">AT19-AS19</f>
        <v>0</v>
      </c>
      <c r="AV19" s="26"/>
      <c r="AW19" s="26"/>
      <c r="AX19" s="81" t="n">
        <f aca="false">AW19-AV19</f>
        <v>0</v>
      </c>
      <c r="AY19" s="26"/>
      <c r="AZ19" s="26"/>
      <c r="BA19" s="81" t="n">
        <f aca="false">AZ19-AY19</f>
        <v>0</v>
      </c>
      <c r="BB19" s="26"/>
      <c r="BC19" s="26"/>
      <c r="BD19" s="81" t="n">
        <f aca="false">BC19-BB19</f>
        <v>0</v>
      </c>
      <c r="BE19" s="26"/>
      <c r="BF19" s="26"/>
      <c r="BG19" s="81" t="n">
        <f aca="false">BF19-BE19</f>
        <v>0</v>
      </c>
      <c r="BH19" s="26"/>
      <c r="BI19" s="26"/>
      <c r="BJ19" s="81" t="n">
        <f aca="false">BI19-BH19</f>
        <v>0</v>
      </c>
      <c r="BK19" s="26"/>
      <c r="BL19" s="26"/>
      <c r="BM19" s="81" t="n">
        <f aca="false">BL19-BK19</f>
        <v>0</v>
      </c>
      <c r="BN19" s="26"/>
      <c r="BO19" s="26"/>
      <c r="BP19" s="81" t="n">
        <f aca="false">BO19-BN19</f>
        <v>0</v>
      </c>
      <c r="BQ19" s="26"/>
      <c r="BR19" s="26"/>
      <c r="BS19" s="81" t="n">
        <f aca="false">BR19-BQ19</f>
        <v>0</v>
      </c>
      <c r="BT19" s="26"/>
      <c r="BU19" s="26"/>
      <c r="BV19" s="81" t="n">
        <f aca="false">BU19-BT19</f>
        <v>0</v>
      </c>
      <c r="BW19" s="26"/>
      <c r="BX19" s="26"/>
      <c r="BY19" s="81" t="n">
        <f aca="false">BX19-BW19</f>
        <v>0</v>
      </c>
      <c r="BZ19" s="26"/>
      <c r="CA19" s="26"/>
      <c r="CB19" s="81" t="n">
        <f aca="false">CA19-BZ19</f>
        <v>0</v>
      </c>
      <c r="CC19" s="26"/>
      <c r="CD19" s="26"/>
      <c r="CE19" s="81" t="n">
        <f aca="false">CD19-CC19</f>
        <v>0</v>
      </c>
      <c r="CF19" s="26"/>
      <c r="CG19" s="26"/>
      <c r="CH19" s="81" t="n">
        <f aca="false">CG19-CF19</f>
        <v>0</v>
      </c>
      <c r="CI19" s="26"/>
      <c r="CJ19" s="26"/>
      <c r="CK19" s="81" t="n">
        <f aca="false">CJ19-CI19</f>
        <v>0</v>
      </c>
      <c r="CL19" s="26"/>
      <c r="CM19" s="26"/>
      <c r="CN19" s="81" t="n">
        <f aca="false">CM19-CL19</f>
        <v>0</v>
      </c>
      <c r="CO19" s="26"/>
      <c r="CP19" s="26"/>
      <c r="CQ19" s="81" t="n">
        <f aca="false">CP19-CO19</f>
        <v>0</v>
      </c>
      <c r="CR19" s="26"/>
      <c r="CS19" s="26"/>
      <c r="CT19" s="81" t="n">
        <f aca="false">CS19-CR19</f>
        <v>0</v>
      </c>
      <c r="CU19" s="26"/>
      <c r="CV19" s="26"/>
      <c r="CW19" s="81" t="n">
        <f aca="false">CV19-CU19</f>
        <v>0</v>
      </c>
      <c r="CX19" s="26"/>
      <c r="CY19" s="26"/>
      <c r="CZ19" s="81" t="n">
        <f aca="false">CY19-CX19</f>
        <v>0</v>
      </c>
      <c r="DA19" s="26"/>
      <c r="DB19" s="26"/>
      <c r="DC19" s="81" t="n">
        <f aca="false">DB19-DA19</f>
        <v>0</v>
      </c>
      <c r="DD19" s="26"/>
      <c r="DE19" s="26"/>
      <c r="DF19" s="81" t="n">
        <f aca="false">DE19-DD19</f>
        <v>0</v>
      </c>
      <c r="DG19" s="26"/>
      <c r="DH19" s="26"/>
      <c r="DI19" s="81" t="n">
        <f aca="false">DH19-DG19</f>
        <v>0</v>
      </c>
      <c r="DJ19" s="26"/>
      <c r="DK19" s="26"/>
      <c r="DL19" s="81" t="n">
        <f aca="false">DK19-DJ19</f>
        <v>0</v>
      </c>
      <c r="DM19" s="26"/>
      <c r="DN19" s="26"/>
      <c r="DO19" s="81" t="n">
        <f aca="false">DN19-DM19</f>
        <v>0</v>
      </c>
      <c r="DP19" s="26"/>
      <c r="DQ19" s="26"/>
      <c r="DR19" s="81" t="n">
        <f aca="false">DQ19-DP19</f>
        <v>0</v>
      </c>
      <c r="DS19" s="81" t="n">
        <f aca="false">+C19+F19+I19+L19+O19+R19+U19+X19+AA19+AD19+AG19+AJ19+AM19+AP19+AS19+AV19+AY19+BB19+BE19+BH19+BK19+BN19+BQ19+BT19+BW19+BZ19+CC19+CF19+CI19+CL19+CO19+CR19+CU19+CX19+DA19+DD19+DG19+DJ19+DM19+DP19</f>
        <v>94949</v>
      </c>
      <c r="DT19" s="81" t="n">
        <f aca="false">+D19+G19+J19+M19+P19+S19+V19+Y19+AB19+AE19+AH19+AK19+AN19+AQ19+AT19+AW19+AZ19+BC19+BF19+BI19+BL19+BO19+BR19+BU19+BX19+CA19+CD19+CG19+CJ19+CM19+CP19+CS19+CV19+CY19+DB19+DE19+DH19+DK19+DN19+DQ19</f>
        <v>94949</v>
      </c>
      <c r="DU19" s="81" t="n">
        <f aca="false">DT19-DS19</f>
        <v>0</v>
      </c>
      <c r="DV19" s="111"/>
      <c r="DW19" s="87"/>
      <c r="DX19" s="87"/>
      <c r="DY19" s="111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</row>
    <row r="20" customFormat="false" ht="12.75" hidden="false" customHeight="false" outlineLevel="0" collapsed="false">
      <c r="A20" s="80" t="n">
        <f aca="false">A19+1</f>
        <v>36722</v>
      </c>
      <c r="B20" s="80" t="s">
        <v>89</v>
      </c>
      <c r="C20" s="26" t="n">
        <v>4178</v>
      </c>
      <c r="D20" s="26" t="n">
        <v>4178</v>
      </c>
      <c r="E20" s="81" t="n">
        <f aca="false">D20-C20</f>
        <v>0</v>
      </c>
      <c r="F20" s="26" t="n">
        <v>20000</v>
      </c>
      <c r="G20" s="26" t="n">
        <v>20000</v>
      </c>
      <c r="H20" s="81" t="n">
        <f aca="false">G20-F20</f>
        <v>0</v>
      </c>
      <c r="I20" s="26" t="n">
        <v>2860</v>
      </c>
      <c r="J20" s="26" t="n">
        <v>2860</v>
      </c>
      <c r="K20" s="81" t="n">
        <f aca="false">J20-I20</f>
        <v>0</v>
      </c>
      <c r="L20" s="26" t="n">
        <v>10000</v>
      </c>
      <c r="M20" s="26" t="n">
        <v>10000</v>
      </c>
      <c r="N20" s="81" t="n">
        <f aca="false">M20-L20</f>
        <v>0</v>
      </c>
      <c r="O20" s="26" t="n">
        <f aca="false">5000+5000</f>
        <v>10000</v>
      </c>
      <c r="P20" s="26" t="n">
        <v>10000</v>
      </c>
      <c r="Q20" s="81" t="n">
        <f aca="false">P20-O20</f>
        <v>0</v>
      </c>
      <c r="R20" s="26" t="n">
        <v>5000</v>
      </c>
      <c r="S20" s="26" t="n">
        <v>5000</v>
      </c>
      <c r="T20" s="81" t="n">
        <f aca="false">S20-R20</f>
        <v>0</v>
      </c>
      <c r="U20" s="26" t="n">
        <f aca="false">1000+4000</f>
        <v>5000</v>
      </c>
      <c r="V20" s="26" t="n">
        <f aca="false">1000+4000</f>
        <v>5000</v>
      </c>
      <c r="W20" s="81" t="n">
        <f aca="false">V20-U20</f>
        <v>0</v>
      </c>
      <c r="X20" s="26" t="n">
        <v>10000</v>
      </c>
      <c r="Y20" s="26" t="n">
        <v>10000</v>
      </c>
      <c r="Z20" s="81" t="n">
        <f aca="false">Y20-X20</f>
        <v>0</v>
      </c>
      <c r="AA20" s="26" t="n">
        <v>3251</v>
      </c>
      <c r="AB20" s="26" t="n">
        <v>3251</v>
      </c>
      <c r="AC20" s="81" t="n">
        <f aca="false">AB20-AA20</f>
        <v>0</v>
      </c>
      <c r="AD20" s="26" t="n">
        <v>3251</v>
      </c>
      <c r="AE20" s="26" t="n">
        <v>3251</v>
      </c>
      <c r="AF20" s="81" t="n">
        <f aca="false">AE20-AD20</f>
        <v>0</v>
      </c>
      <c r="AG20" s="26" t="n">
        <v>7741</v>
      </c>
      <c r="AH20" s="26" t="n">
        <v>7741</v>
      </c>
      <c r="AI20" s="81" t="n">
        <f aca="false">AH20-AG20</f>
        <v>0</v>
      </c>
      <c r="AJ20" s="26" t="n">
        <v>3000</v>
      </c>
      <c r="AK20" s="26" t="n">
        <v>3000</v>
      </c>
      <c r="AL20" s="81" t="n">
        <f aca="false">AK20-AJ20</f>
        <v>0</v>
      </c>
      <c r="AM20" s="26" t="n">
        <v>5960</v>
      </c>
      <c r="AN20" s="26" t="n">
        <v>5960</v>
      </c>
      <c r="AO20" s="81" t="n">
        <f aca="false">AN20-AM20</f>
        <v>0</v>
      </c>
      <c r="AP20" s="26" t="n">
        <v>5000</v>
      </c>
      <c r="AQ20" s="26" t="n">
        <v>5000</v>
      </c>
      <c r="AR20" s="81" t="n">
        <f aca="false">AQ20-AP20</f>
        <v>0</v>
      </c>
      <c r="AS20" s="26"/>
      <c r="AT20" s="26"/>
      <c r="AU20" s="81" t="n">
        <f aca="false">AT20-AS20</f>
        <v>0</v>
      </c>
      <c r="AV20" s="26"/>
      <c r="AW20" s="26"/>
      <c r="AX20" s="81" t="n">
        <f aca="false">AW20-AV20</f>
        <v>0</v>
      </c>
      <c r="AY20" s="26"/>
      <c r="AZ20" s="26"/>
      <c r="BA20" s="81" t="n">
        <f aca="false">AZ20-AY20</f>
        <v>0</v>
      </c>
      <c r="BB20" s="26"/>
      <c r="BC20" s="26"/>
      <c r="BD20" s="81" t="n">
        <f aca="false">BC20-BB20</f>
        <v>0</v>
      </c>
      <c r="BE20" s="26"/>
      <c r="BF20" s="26"/>
      <c r="BG20" s="81" t="n">
        <f aca="false">BF20-BE20</f>
        <v>0</v>
      </c>
      <c r="BH20" s="26"/>
      <c r="BI20" s="26"/>
      <c r="BJ20" s="81" t="n">
        <f aca="false">BI20-BH20</f>
        <v>0</v>
      </c>
      <c r="BK20" s="26"/>
      <c r="BL20" s="26"/>
      <c r="BM20" s="81" t="n">
        <f aca="false">BL20-BK20</f>
        <v>0</v>
      </c>
      <c r="BN20" s="26"/>
      <c r="BO20" s="26"/>
      <c r="BP20" s="81" t="n">
        <f aca="false">BO20-BN20</f>
        <v>0</v>
      </c>
      <c r="BQ20" s="26"/>
      <c r="BR20" s="26"/>
      <c r="BS20" s="81" t="n">
        <f aca="false">BR20-BQ20</f>
        <v>0</v>
      </c>
      <c r="BT20" s="26"/>
      <c r="BU20" s="26"/>
      <c r="BV20" s="81" t="n">
        <f aca="false">BU20-BT20</f>
        <v>0</v>
      </c>
      <c r="BW20" s="26"/>
      <c r="BX20" s="26"/>
      <c r="BY20" s="81" t="n">
        <f aca="false">BX20-BW20</f>
        <v>0</v>
      </c>
      <c r="BZ20" s="26"/>
      <c r="CA20" s="26"/>
      <c r="CB20" s="81" t="n">
        <f aca="false">CA20-BZ20</f>
        <v>0</v>
      </c>
      <c r="CC20" s="26"/>
      <c r="CD20" s="26"/>
      <c r="CE20" s="81" t="n">
        <f aca="false">CD20-CC20</f>
        <v>0</v>
      </c>
      <c r="CF20" s="26"/>
      <c r="CG20" s="26"/>
      <c r="CH20" s="81" t="n">
        <f aca="false">CG20-CF20</f>
        <v>0</v>
      </c>
      <c r="CI20" s="26"/>
      <c r="CJ20" s="26"/>
      <c r="CK20" s="81" t="n">
        <f aca="false">CJ20-CI20</f>
        <v>0</v>
      </c>
      <c r="CL20" s="26"/>
      <c r="CM20" s="26"/>
      <c r="CN20" s="81" t="n">
        <f aca="false">CM20-CL20</f>
        <v>0</v>
      </c>
      <c r="CO20" s="26"/>
      <c r="CP20" s="26"/>
      <c r="CQ20" s="81" t="n">
        <f aca="false">CP20-CO20</f>
        <v>0</v>
      </c>
      <c r="CR20" s="26"/>
      <c r="CS20" s="26"/>
      <c r="CT20" s="81" t="n">
        <f aca="false">CS20-CR20</f>
        <v>0</v>
      </c>
      <c r="CU20" s="26"/>
      <c r="CV20" s="26"/>
      <c r="CW20" s="81" t="n">
        <f aca="false">CV20-CU20</f>
        <v>0</v>
      </c>
      <c r="CX20" s="26"/>
      <c r="CY20" s="26"/>
      <c r="CZ20" s="81" t="n">
        <f aca="false">CY20-CX20</f>
        <v>0</v>
      </c>
      <c r="DA20" s="26"/>
      <c r="DB20" s="26"/>
      <c r="DC20" s="81" t="n">
        <f aca="false">DB20-DA20</f>
        <v>0</v>
      </c>
      <c r="DD20" s="26"/>
      <c r="DE20" s="26"/>
      <c r="DF20" s="81" t="n">
        <f aca="false">DE20-DD20</f>
        <v>0</v>
      </c>
      <c r="DG20" s="26"/>
      <c r="DH20" s="26"/>
      <c r="DI20" s="81" t="n">
        <f aca="false">DH20-DG20</f>
        <v>0</v>
      </c>
      <c r="DJ20" s="26"/>
      <c r="DK20" s="26"/>
      <c r="DL20" s="81" t="n">
        <f aca="false">DK20-DJ20</f>
        <v>0</v>
      </c>
      <c r="DM20" s="26"/>
      <c r="DN20" s="26"/>
      <c r="DO20" s="81" t="n">
        <f aca="false">DN20-DM20</f>
        <v>0</v>
      </c>
      <c r="DP20" s="26"/>
      <c r="DQ20" s="26"/>
      <c r="DR20" s="81" t="n">
        <f aca="false">DQ20-DP20</f>
        <v>0</v>
      </c>
      <c r="DS20" s="81" t="n">
        <f aca="false">+C20+F20+I20+L20+O20+R20+U20+X20+AA20+AD20+AG20+AJ20+AM20+AP20+AS20+AV20+AY20+BB20+BE20+BH20+BK20+BN20+BQ20+BT20+BW20+BZ20+CC20+CF20+CI20+CL20+CO20+CR20+CU20+CX20+DA20+DD20+DG20+DJ20+DM20+DP20</f>
        <v>95241</v>
      </c>
      <c r="DT20" s="81" t="n">
        <f aca="false">+D20+G20+J20+M20+P20+S20+V20+Y20+AB20+AE20+AH20+AK20+AN20+AQ20+AT20+AW20+AZ20+BC20+BF20+BI20+BL20+BO20+BR20+BU20+BX20+CA20+CD20+CG20+CJ20+CM20+CP20+CS20+CV20+CY20+DB20+DE20+DH20+DK20+DN20+DQ20</f>
        <v>95241</v>
      </c>
      <c r="DU20" s="81" t="n">
        <f aca="false">DT20-DS20</f>
        <v>0</v>
      </c>
      <c r="DV20" s="111"/>
      <c r="DW20" s="87"/>
      <c r="DX20" s="87"/>
      <c r="DY20" s="111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</row>
    <row r="21" customFormat="false" ht="12.75" hidden="false" customHeight="false" outlineLevel="0" collapsed="false">
      <c r="A21" s="80" t="n">
        <f aca="false">A20+1</f>
        <v>36723</v>
      </c>
      <c r="B21" s="80" t="s">
        <v>90</v>
      </c>
      <c r="C21" s="26" t="n">
        <v>4178</v>
      </c>
      <c r="D21" s="26" t="n">
        <v>4178</v>
      </c>
      <c r="E21" s="81" t="n">
        <f aca="false">D21-C21</f>
        <v>0</v>
      </c>
      <c r="F21" s="26" t="n">
        <v>20000</v>
      </c>
      <c r="G21" s="26" t="n">
        <v>20000</v>
      </c>
      <c r="H21" s="81" t="n">
        <f aca="false">G21-F21</f>
        <v>0</v>
      </c>
      <c r="I21" s="26" t="n">
        <v>2668</v>
      </c>
      <c r="J21" s="26" t="n">
        <v>2668</v>
      </c>
      <c r="K21" s="81" t="n">
        <f aca="false">J21-I21</f>
        <v>0</v>
      </c>
      <c r="L21" s="26" t="n">
        <v>10000</v>
      </c>
      <c r="M21" s="26" t="n">
        <v>10000</v>
      </c>
      <c r="N21" s="81" t="n">
        <f aca="false">M21-L21</f>
        <v>0</v>
      </c>
      <c r="O21" s="26" t="n">
        <f aca="false">5000+5000</f>
        <v>10000</v>
      </c>
      <c r="P21" s="26" t="n">
        <v>10000</v>
      </c>
      <c r="Q21" s="81" t="n">
        <f aca="false">P21-O21</f>
        <v>0</v>
      </c>
      <c r="R21" s="26" t="n">
        <v>5000</v>
      </c>
      <c r="S21" s="26" t="n">
        <v>5000</v>
      </c>
      <c r="T21" s="81" t="n">
        <f aca="false">S21-R21</f>
        <v>0</v>
      </c>
      <c r="U21" s="26" t="n">
        <f aca="false">1000+4000</f>
        <v>5000</v>
      </c>
      <c r="V21" s="26" t="n">
        <f aca="false">1000+4000</f>
        <v>5000</v>
      </c>
      <c r="W21" s="81" t="n">
        <f aca="false">V21-U21</f>
        <v>0</v>
      </c>
      <c r="X21" s="26" t="n">
        <v>10000</v>
      </c>
      <c r="Y21" s="26" t="n">
        <v>10000</v>
      </c>
      <c r="Z21" s="81" t="n">
        <f aca="false">Y21-X21</f>
        <v>0</v>
      </c>
      <c r="AA21" s="26" t="n">
        <v>3218</v>
      </c>
      <c r="AB21" s="26" t="n">
        <v>3218</v>
      </c>
      <c r="AC21" s="81" t="n">
        <f aca="false">AB21-AA21</f>
        <v>0</v>
      </c>
      <c r="AD21" s="26" t="n">
        <v>3217</v>
      </c>
      <c r="AE21" s="26" t="n">
        <v>3217</v>
      </c>
      <c r="AF21" s="81" t="n">
        <f aca="false">AE21-AD21</f>
        <v>0</v>
      </c>
      <c r="AG21" s="26" t="n">
        <v>7741</v>
      </c>
      <c r="AH21" s="26" t="n">
        <v>7741</v>
      </c>
      <c r="AI21" s="81" t="n">
        <f aca="false">AH21-AG21</f>
        <v>0</v>
      </c>
      <c r="AJ21" s="26" t="n">
        <v>3000</v>
      </c>
      <c r="AK21" s="26" t="n">
        <v>3000</v>
      </c>
      <c r="AL21" s="81" t="n">
        <f aca="false">AK21-AJ21</f>
        <v>0</v>
      </c>
      <c r="AM21" s="26" t="n">
        <v>7102</v>
      </c>
      <c r="AN21" s="26" t="n">
        <v>7102</v>
      </c>
      <c r="AO21" s="81" t="n">
        <f aca="false">AN21-AM21</f>
        <v>0</v>
      </c>
      <c r="AP21" s="26" t="n">
        <v>5000</v>
      </c>
      <c r="AQ21" s="26" t="n">
        <v>5000</v>
      </c>
      <c r="AR21" s="81" t="n">
        <f aca="false">AQ21-AP21</f>
        <v>0</v>
      </c>
      <c r="AS21" s="26"/>
      <c r="AT21" s="26"/>
      <c r="AU21" s="81" t="n">
        <f aca="false">AT21-AS21</f>
        <v>0</v>
      </c>
      <c r="AV21" s="26"/>
      <c r="AW21" s="26"/>
      <c r="AX21" s="81" t="n">
        <f aca="false">AW21-AV21</f>
        <v>0</v>
      </c>
      <c r="AY21" s="26"/>
      <c r="AZ21" s="26"/>
      <c r="BA21" s="81" t="n">
        <f aca="false">AZ21-AY21</f>
        <v>0</v>
      </c>
      <c r="BB21" s="26"/>
      <c r="BC21" s="26"/>
      <c r="BD21" s="81" t="n">
        <f aca="false">BC21-BB21</f>
        <v>0</v>
      </c>
      <c r="BE21" s="26"/>
      <c r="BF21" s="26"/>
      <c r="BG21" s="81" t="n">
        <f aca="false">BF21-BE21</f>
        <v>0</v>
      </c>
      <c r="BH21" s="26"/>
      <c r="BI21" s="26"/>
      <c r="BJ21" s="81" t="n">
        <f aca="false">BI21-BH21</f>
        <v>0</v>
      </c>
      <c r="BK21" s="26"/>
      <c r="BL21" s="26"/>
      <c r="BM21" s="81" t="n">
        <f aca="false">BL21-BK21</f>
        <v>0</v>
      </c>
      <c r="BN21" s="26"/>
      <c r="BO21" s="26"/>
      <c r="BP21" s="81" t="n">
        <f aca="false">BO21-BN21</f>
        <v>0</v>
      </c>
      <c r="BQ21" s="26"/>
      <c r="BR21" s="26"/>
      <c r="BS21" s="81" t="n">
        <f aca="false">BR21-BQ21</f>
        <v>0</v>
      </c>
      <c r="BT21" s="26"/>
      <c r="BU21" s="26"/>
      <c r="BV21" s="81" t="n">
        <f aca="false">BU21-BT21</f>
        <v>0</v>
      </c>
      <c r="BW21" s="26"/>
      <c r="BX21" s="26"/>
      <c r="BY21" s="81" t="n">
        <f aca="false">BX21-BW21</f>
        <v>0</v>
      </c>
      <c r="BZ21" s="26"/>
      <c r="CA21" s="26"/>
      <c r="CB21" s="81" t="n">
        <f aca="false">CA21-BZ21</f>
        <v>0</v>
      </c>
      <c r="CC21" s="26"/>
      <c r="CD21" s="26"/>
      <c r="CE21" s="81" t="n">
        <f aca="false">CD21-CC21</f>
        <v>0</v>
      </c>
      <c r="CF21" s="26"/>
      <c r="CG21" s="26"/>
      <c r="CH21" s="81" t="n">
        <f aca="false">CG21-CF21</f>
        <v>0</v>
      </c>
      <c r="CI21" s="26"/>
      <c r="CJ21" s="26"/>
      <c r="CK21" s="81" t="n">
        <f aca="false">CJ21-CI21</f>
        <v>0</v>
      </c>
      <c r="CL21" s="26"/>
      <c r="CM21" s="26"/>
      <c r="CN21" s="81" t="n">
        <f aca="false">CM21-CL21</f>
        <v>0</v>
      </c>
      <c r="CO21" s="26"/>
      <c r="CP21" s="26"/>
      <c r="CQ21" s="81" t="n">
        <f aca="false">CP21-CO21</f>
        <v>0</v>
      </c>
      <c r="CR21" s="26"/>
      <c r="CS21" s="26"/>
      <c r="CT21" s="81" t="n">
        <f aca="false">CS21-CR21</f>
        <v>0</v>
      </c>
      <c r="CU21" s="26"/>
      <c r="CV21" s="26"/>
      <c r="CW21" s="81" t="n">
        <f aca="false">CV21-CU21</f>
        <v>0</v>
      </c>
      <c r="CX21" s="26"/>
      <c r="CY21" s="26"/>
      <c r="CZ21" s="81" t="n">
        <f aca="false">CY21-CX21</f>
        <v>0</v>
      </c>
      <c r="DA21" s="26"/>
      <c r="DB21" s="26"/>
      <c r="DC21" s="81" t="n">
        <f aca="false">DB21-DA21</f>
        <v>0</v>
      </c>
      <c r="DD21" s="26"/>
      <c r="DE21" s="26"/>
      <c r="DF21" s="81" t="n">
        <f aca="false">DE21-DD21</f>
        <v>0</v>
      </c>
      <c r="DG21" s="26"/>
      <c r="DH21" s="26"/>
      <c r="DI21" s="81" t="n">
        <f aca="false">DH21-DG21</f>
        <v>0</v>
      </c>
      <c r="DJ21" s="26"/>
      <c r="DK21" s="26"/>
      <c r="DL21" s="81" t="n">
        <f aca="false">DK21-DJ21</f>
        <v>0</v>
      </c>
      <c r="DM21" s="26"/>
      <c r="DN21" s="26"/>
      <c r="DO21" s="81" t="n">
        <f aca="false">DN21-DM21</f>
        <v>0</v>
      </c>
      <c r="DP21" s="26"/>
      <c r="DQ21" s="26"/>
      <c r="DR21" s="81" t="n">
        <f aca="false">DQ21-DP21</f>
        <v>0</v>
      </c>
      <c r="DS21" s="81" t="n">
        <f aca="false">+C21+F21+I21+L21+O21+R21+U21+X21+AA21+AD21+AG21+AJ21+AM21+AP21+AS21+AV21+AY21+BB21+BE21+BH21+BK21+BN21+BQ21+BT21+BW21+BZ21+CC21+CF21+CI21+CL21+CO21+CR21+CU21+CX21+DA21+DD21+DG21+DJ21+DM21+DP21</f>
        <v>96124</v>
      </c>
      <c r="DT21" s="81" t="n">
        <f aca="false">+D21+G21+J21+M21+P21+S21+V21+Y21+AB21+AE21+AH21+AK21+AN21+AQ21+AT21+AW21+AZ21+BC21+BF21+BI21+BL21+BO21+BR21+BU21+BX21+CA21+CD21+CG21+CJ21+CM21+CP21+CS21+CV21+CY21+DB21+DE21+DH21+DK21+DN21+DQ21</f>
        <v>96124</v>
      </c>
      <c r="DU21" s="81" t="n">
        <f aca="false">DT21-DS21</f>
        <v>0</v>
      </c>
      <c r="DV21" s="111"/>
      <c r="DW21" s="87"/>
      <c r="DX21" s="87"/>
      <c r="DY21" s="111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</row>
    <row r="22" customFormat="false" ht="12.75" hidden="false" customHeight="false" outlineLevel="0" collapsed="false">
      <c r="A22" s="80" t="n">
        <f aca="false">A21+1</f>
        <v>36724</v>
      </c>
      <c r="B22" s="80" t="s">
        <v>91</v>
      </c>
      <c r="C22" s="26" t="n">
        <v>4178</v>
      </c>
      <c r="D22" s="26" t="n">
        <v>4178</v>
      </c>
      <c r="E22" s="81" t="n">
        <f aca="false">D22-C22</f>
        <v>0</v>
      </c>
      <c r="F22" s="26" t="n">
        <v>20000</v>
      </c>
      <c r="G22" s="26" t="n">
        <v>20000</v>
      </c>
      <c r="H22" s="81" t="n">
        <f aca="false">G22-F22</f>
        <v>0</v>
      </c>
      <c r="I22" s="26" t="n">
        <v>2620</v>
      </c>
      <c r="J22" s="26" t="n">
        <v>2620</v>
      </c>
      <c r="K22" s="81" t="n">
        <f aca="false">J22-I22</f>
        <v>0</v>
      </c>
      <c r="L22" s="26" t="n">
        <v>10000</v>
      </c>
      <c r="M22" s="26" t="n">
        <v>10000</v>
      </c>
      <c r="N22" s="81" t="n">
        <f aca="false">M22-L22</f>
        <v>0</v>
      </c>
      <c r="O22" s="26" t="n">
        <f aca="false">5000+5000</f>
        <v>10000</v>
      </c>
      <c r="P22" s="26" t="n">
        <v>10000</v>
      </c>
      <c r="Q22" s="81" t="n">
        <f aca="false">P22-O22</f>
        <v>0</v>
      </c>
      <c r="R22" s="26" t="n">
        <v>5000</v>
      </c>
      <c r="S22" s="26" t="n">
        <v>5000</v>
      </c>
      <c r="T22" s="81" t="n">
        <f aca="false">S22-R22</f>
        <v>0</v>
      </c>
      <c r="U22" s="26" t="n">
        <f aca="false">1000+4000</f>
        <v>5000</v>
      </c>
      <c r="V22" s="26" t="n">
        <f aca="false">1000+4000</f>
        <v>5000</v>
      </c>
      <c r="W22" s="81" t="n">
        <f aca="false">V22-U22</f>
        <v>0</v>
      </c>
      <c r="X22" s="26" t="n">
        <v>10000</v>
      </c>
      <c r="Y22" s="26" t="n">
        <v>10000</v>
      </c>
      <c r="Z22" s="81" t="n">
        <f aca="false">Y22-X22</f>
        <v>0</v>
      </c>
      <c r="AA22" s="26" t="n">
        <v>3090</v>
      </c>
      <c r="AB22" s="26" t="n">
        <v>3090</v>
      </c>
      <c r="AC22" s="81" t="n">
        <f aca="false">AB22-AA22</f>
        <v>0</v>
      </c>
      <c r="AD22" s="26" t="n">
        <v>3090</v>
      </c>
      <c r="AE22" s="26" t="n">
        <v>3090</v>
      </c>
      <c r="AF22" s="81" t="n">
        <f aca="false">AE22-AD22</f>
        <v>0</v>
      </c>
      <c r="AG22" s="26" t="n">
        <v>7741</v>
      </c>
      <c r="AH22" s="26" t="n">
        <v>7741</v>
      </c>
      <c r="AI22" s="81" t="n">
        <f aca="false">AH22-AG22</f>
        <v>0</v>
      </c>
      <c r="AJ22" s="26" t="n">
        <v>3000</v>
      </c>
      <c r="AK22" s="26" t="n">
        <v>3000</v>
      </c>
      <c r="AL22" s="81" t="n">
        <f aca="false">AK22-AJ22</f>
        <v>0</v>
      </c>
      <c r="AM22" s="26" t="n">
        <v>5884</v>
      </c>
      <c r="AN22" s="26" t="n">
        <v>5884</v>
      </c>
      <c r="AO22" s="81" t="n">
        <f aca="false">AN22-AM22</f>
        <v>0</v>
      </c>
      <c r="AP22" s="26" t="n">
        <v>5000</v>
      </c>
      <c r="AQ22" s="26" t="n">
        <v>5000</v>
      </c>
      <c r="AR22" s="81" t="n">
        <f aca="false">AQ22-AP22</f>
        <v>0</v>
      </c>
      <c r="AS22" s="26"/>
      <c r="AT22" s="26"/>
      <c r="AU22" s="81" t="n">
        <f aca="false">AT22-AS22</f>
        <v>0</v>
      </c>
      <c r="AV22" s="26"/>
      <c r="AW22" s="26"/>
      <c r="AX22" s="81" t="n">
        <f aca="false">AW22-AV22</f>
        <v>0</v>
      </c>
      <c r="AY22" s="26"/>
      <c r="AZ22" s="26"/>
      <c r="BA22" s="81" t="n">
        <f aca="false">AZ22-AY22</f>
        <v>0</v>
      </c>
      <c r="BB22" s="26"/>
      <c r="BC22" s="26"/>
      <c r="BD22" s="81" t="n">
        <f aca="false">BC22-BB22</f>
        <v>0</v>
      </c>
      <c r="BE22" s="26"/>
      <c r="BF22" s="26"/>
      <c r="BG22" s="81" t="n">
        <f aca="false">BF22-BE22</f>
        <v>0</v>
      </c>
      <c r="BH22" s="26"/>
      <c r="BI22" s="26"/>
      <c r="BJ22" s="81" t="n">
        <f aca="false">BI22-BH22</f>
        <v>0</v>
      </c>
      <c r="BK22" s="26"/>
      <c r="BL22" s="26"/>
      <c r="BM22" s="81" t="n">
        <f aca="false">BL22-BK22</f>
        <v>0</v>
      </c>
      <c r="BN22" s="26"/>
      <c r="BO22" s="26"/>
      <c r="BP22" s="81" t="n">
        <f aca="false">BO22-BN22</f>
        <v>0</v>
      </c>
      <c r="BQ22" s="26"/>
      <c r="BR22" s="26"/>
      <c r="BS22" s="81" t="n">
        <f aca="false">BR22-BQ22</f>
        <v>0</v>
      </c>
      <c r="BT22" s="26"/>
      <c r="BU22" s="26"/>
      <c r="BV22" s="81" t="n">
        <f aca="false">BU22-BT22</f>
        <v>0</v>
      </c>
      <c r="BW22" s="26"/>
      <c r="BX22" s="26"/>
      <c r="BY22" s="81" t="n">
        <f aca="false">BX22-BW22</f>
        <v>0</v>
      </c>
      <c r="BZ22" s="26"/>
      <c r="CA22" s="26"/>
      <c r="CB22" s="81" t="n">
        <f aca="false">CA22-BZ22</f>
        <v>0</v>
      </c>
      <c r="CC22" s="26"/>
      <c r="CD22" s="26"/>
      <c r="CE22" s="81" t="n">
        <f aca="false">CD22-CC22</f>
        <v>0</v>
      </c>
      <c r="CF22" s="26"/>
      <c r="CG22" s="26"/>
      <c r="CH22" s="81" t="n">
        <f aca="false">CG22-CF22</f>
        <v>0</v>
      </c>
      <c r="CI22" s="26"/>
      <c r="CJ22" s="26"/>
      <c r="CK22" s="81" t="n">
        <f aca="false">CJ22-CI22</f>
        <v>0</v>
      </c>
      <c r="CL22" s="26"/>
      <c r="CM22" s="26"/>
      <c r="CN22" s="81" t="n">
        <f aca="false">CM22-CL22</f>
        <v>0</v>
      </c>
      <c r="CO22" s="26"/>
      <c r="CP22" s="26"/>
      <c r="CQ22" s="81" t="n">
        <f aca="false">CP22-CO22</f>
        <v>0</v>
      </c>
      <c r="CR22" s="26"/>
      <c r="CS22" s="26"/>
      <c r="CT22" s="81" t="n">
        <f aca="false">CS22-CR22</f>
        <v>0</v>
      </c>
      <c r="CU22" s="26"/>
      <c r="CV22" s="26"/>
      <c r="CW22" s="81" t="n">
        <f aca="false">CV22-CU22</f>
        <v>0</v>
      </c>
      <c r="CX22" s="26"/>
      <c r="CY22" s="26"/>
      <c r="CZ22" s="81" t="n">
        <f aca="false">CY22-CX22</f>
        <v>0</v>
      </c>
      <c r="DA22" s="26"/>
      <c r="DB22" s="26"/>
      <c r="DC22" s="81" t="n">
        <f aca="false">DB22-DA22</f>
        <v>0</v>
      </c>
      <c r="DD22" s="26"/>
      <c r="DE22" s="26"/>
      <c r="DF22" s="81" t="n">
        <f aca="false">DE22-DD22</f>
        <v>0</v>
      </c>
      <c r="DG22" s="26"/>
      <c r="DH22" s="26"/>
      <c r="DI22" s="81" t="n">
        <f aca="false">DH22-DG22</f>
        <v>0</v>
      </c>
      <c r="DJ22" s="26"/>
      <c r="DK22" s="26"/>
      <c r="DL22" s="81" t="n">
        <f aca="false">DK22-DJ22</f>
        <v>0</v>
      </c>
      <c r="DM22" s="26"/>
      <c r="DN22" s="26"/>
      <c r="DO22" s="81" t="n">
        <f aca="false">DN22-DM22</f>
        <v>0</v>
      </c>
      <c r="DP22" s="26"/>
      <c r="DQ22" s="26"/>
      <c r="DR22" s="81" t="n">
        <f aca="false">DQ22-DP22</f>
        <v>0</v>
      </c>
      <c r="DS22" s="81" t="n">
        <f aca="false">+C22+F22+I22+L22+O22+R22+U22+X22+AA22+AD22+AG22+AJ22+AM22+AP22+AS22+AV22+AY22+BB22+BE22+BH22+BK22+BN22+BQ22+BT22+BW22+BZ22+CC22+CF22+CI22+CL22+CO22+CR22+CU22+CX22+DA22+DD22+DG22+DJ22+DM22+DP22</f>
        <v>94603</v>
      </c>
      <c r="DT22" s="81" t="n">
        <f aca="false">+D22+G22+J22+M22+P22+S22+V22+Y22+AB22+AE22+AH22+AK22+AN22+AQ22+AT22+AW22+AZ22+BC22+BF22+BI22+BL22+BO22+BR22+BU22+BX22+CA22+CD22+CG22+CJ22+CM22+CP22+CS22+CV22+CY22+DB22+DE22+DH22+DK22+DN22+DQ22</f>
        <v>94603</v>
      </c>
      <c r="DU22" s="81" t="n">
        <f aca="false">DT22-DS22</f>
        <v>0</v>
      </c>
      <c r="DV22" s="111"/>
      <c r="DW22" s="87"/>
      <c r="DX22" s="87"/>
      <c r="DY22" s="111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</row>
    <row r="23" customFormat="false" ht="12.75" hidden="false" customHeight="false" outlineLevel="0" collapsed="false">
      <c r="A23" s="80" t="n">
        <f aca="false">A22+1</f>
        <v>36725</v>
      </c>
      <c r="B23" s="80" t="s">
        <v>92</v>
      </c>
      <c r="C23" s="26" t="n">
        <v>4178</v>
      </c>
      <c r="D23" s="26" t="n">
        <v>4178</v>
      </c>
      <c r="E23" s="81" t="n">
        <f aca="false">D23-C23</f>
        <v>0</v>
      </c>
      <c r="F23" s="26" t="n">
        <v>20000</v>
      </c>
      <c r="G23" s="26" t="n">
        <v>20000</v>
      </c>
      <c r="H23" s="81" t="n">
        <f aca="false">G23-F23</f>
        <v>0</v>
      </c>
      <c r="I23" s="26" t="n">
        <v>2602</v>
      </c>
      <c r="J23" s="26" t="n">
        <v>2602</v>
      </c>
      <c r="K23" s="81" t="n">
        <f aca="false">J23-I23</f>
        <v>0</v>
      </c>
      <c r="L23" s="26" t="n">
        <v>10000</v>
      </c>
      <c r="M23" s="26" t="n">
        <v>10000</v>
      </c>
      <c r="N23" s="81" t="n">
        <f aca="false">M23-L23</f>
        <v>0</v>
      </c>
      <c r="O23" s="26" t="n">
        <f aca="false">5000+5000</f>
        <v>10000</v>
      </c>
      <c r="P23" s="26" t="n">
        <v>10000</v>
      </c>
      <c r="Q23" s="81" t="n">
        <f aca="false">P23-O23</f>
        <v>0</v>
      </c>
      <c r="R23" s="26" t="n">
        <v>5000</v>
      </c>
      <c r="S23" s="26" t="n">
        <v>5000</v>
      </c>
      <c r="T23" s="81" t="n">
        <f aca="false">S23-R23</f>
        <v>0</v>
      </c>
      <c r="U23" s="26" t="n">
        <f aca="false">1000+4000</f>
        <v>5000</v>
      </c>
      <c r="V23" s="26" t="n">
        <f aca="false">1000+4000</f>
        <v>5000</v>
      </c>
      <c r="W23" s="81" t="n">
        <f aca="false">V23-U23</f>
        <v>0</v>
      </c>
      <c r="X23" s="26" t="n">
        <v>10000</v>
      </c>
      <c r="Y23" s="26" t="n">
        <v>10000</v>
      </c>
      <c r="Z23" s="81" t="n">
        <f aca="false">Y23-X23</f>
        <v>0</v>
      </c>
      <c r="AA23" s="26" t="n">
        <v>5000</v>
      </c>
      <c r="AB23" s="26" t="n">
        <v>5000</v>
      </c>
      <c r="AC23" s="81" t="n">
        <f aca="false">AB23-AA23</f>
        <v>0</v>
      </c>
      <c r="AD23" s="26" t="n">
        <v>5000</v>
      </c>
      <c r="AE23" s="26" t="n">
        <v>5000</v>
      </c>
      <c r="AF23" s="81" t="n">
        <f aca="false">AE23-AD23</f>
        <v>0</v>
      </c>
      <c r="AG23" s="26" t="n">
        <v>7741</v>
      </c>
      <c r="AH23" s="26" t="n">
        <v>7741</v>
      </c>
      <c r="AI23" s="81" t="n">
        <f aca="false">AH23-AG23</f>
        <v>0</v>
      </c>
      <c r="AJ23" s="26" t="n">
        <v>3000</v>
      </c>
      <c r="AK23" s="26" t="n">
        <v>3000</v>
      </c>
      <c r="AL23" s="81" t="n">
        <f aca="false">AK23-AJ23</f>
        <v>0</v>
      </c>
      <c r="AM23" s="26" t="n">
        <v>6499</v>
      </c>
      <c r="AN23" s="26" t="n">
        <v>6499</v>
      </c>
      <c r="AO23" s="81" t="n">
        <f aca="false">AN23-AM23</f>
        <v>0</v>
      </c>
      <c r="AP23" s="26" t="n">
        <v>5000</v>
      </c>
      <c r="AQ23" s="26" t="n">
        <v>5000</v>
      </c>
      <c r="AR23" s="81" t="n">
        <f aca="false">AQ23-AP23</f>
        <v>0</v>
      </c>
      <c r="AS23" s="26"/>
      <c r="AT23" s="26"/>
      <c r="AU23" s="81" t="n">
        <f aca="false">AT23-AS23</f>
        <v>0</v>
      </c>
      <c r="AV23" s="26"/>
      <c r="AW23" s="26"/>
      <c r="AX23" s="81" t="n">
        <f aca="false">AW23-AV23</f>
        <v>0</v>
      </c>
      <c r="AY23" s="26"/>
      <c r="AZ23" s="26"/>
      <c r="BA23" s="81" t="n">
        <f aca="false">AZ23-AY23</f>
        <v>0</v>
      </c>
      <c r="BB23" s="26"/>
      <c r="BC23" s="26"/>
      <c r="BD23" s="81" t="n">
        <f aca="false">BC23-BB23</f>
        <v>0</v>
      </c>
      <c r="BE23" s="26"/>
      <c r="BF23" s="26"/>
      <c r="BG23" s="81" t="n">
        <f aca="false">BF23-BE23</f>
        <v>0</v>
      </c>
      <c r="BH23" s="26"/>
      <c r="BI23" s="26"/>
      <c r="BJ23" s="81" t="n">
        <f aca="false">BI23-BH23</f>
        <v>0</v>
      </c>
      <c r="BK23" s="26"/>
      <c r="BL23" s="26"/>
      <c r="BM23" s="81" t="n">
        <f aca="false">BL23-BK23</f>
        <v>0</v>
      </c>
      <c r="BN23" s="26"/>
      <c r="BO23" s="26"/>
      <c r="BP23" s="81" t="n">
        <f aca="false">BO23-BN23</f>
        <v>0</v>
      </c>
      <c r="BQ23" s="26"/>
      <c r="BR23" s="26"/>
      <c r="BS23" s="81" t="n">
        <f aca="false">BR23-BQ23</f>
        <v>0</v>
      </c>
      <c r="BT23" s="26"/>
      <c r="BU23" s="26"/>
      <c r="BV23" s="81" t="n">
        <f aca="false">BU23-BT23</f>
        <v>0</v>
      </c>
      <c r="BW23" s="26"/>
      <c r="BX23" s="26"/>
      <c r="BY23" s="81" t="n">
        <f aca="false">BX23-BW23</f>
        <v>0</v>
      </c>
      <c r="BZ23" s="26"/>
      <c r="CA23" s="26"/>
      <c r="CB23" s="81" t="n">
        <f aca="false">CA23-BZ23</f>
        <v>0</v>
      </c>
      <c r="CC23" s="26"/>
      <c r="CD23" s="26"/>
      <c r="CE23" s="81" t="n">
        <f aca="false">CD23-CC23</f>
        <v>0</v>
      </c>
      <c r="CF23" s="26"/>
      <c r="CG23" s="26"/>
      <c r="CH23" s="81" t="n">
        <f aca="false">CG23-CF23</f>
        <v>0</v>
      </c>
      <c r="CI23" s="26"/>
      <c r="CJ23" s="26"/>
      <c r="CK23" s="81" t="n">
        <f aca="false">CJ23-CI23</f>
        <v>0</v>
      </c>
      <c r="CL23" s="26"/>
      <c r="CM23" s="26"/>
      <c r="CN23" s="81" t="n">
        <f aca="false">CM23-CL23</f>
        <v>0</v>
      </c>
      <c r="CO23" s="26"/>
      <c r="CP23" s="26"/>
      <c r="CQ23" s="81" t="n">
        <f aca="false">CP23-CO23</f>
        <v>0</v>
      </c>
      <c r="CR23" s="26"/>
      <c r="CS23" s="26"/>
      <c r="CT23" s="81" t="n">
        <f aca="false">CS23-CR23</f>
        <v>0</v>
      </c>
      <c r="CU23" s="26"/>
      <c r="CV23" s="26"/>
      <c r="CW23" s="81" t="n">
        <f aca="false">CV23-CU23</f>
        <v>0</v>
      </c>
      <c r="CX23" s="26"/>
      <c r="CY23" s="26"/>
      <c r="CZ23" s="81" t="n">
        <f aca="false">CY23-CX23</f>
        <v>0</v>
      </c>
      <c r="DA23" s="26"/>
      <c r="DB23" s="26"/>
      <c r="DC23" s="81" t="n">
        <f aca="false">DB23-DA23</f>
        <v>0</v>
      </c>
      <c r="DD23" s="26"/>
      <c r="DE23" s="26"/>
      <c r="DF23" s="81" t="n">
        <f aca="false">DE23-DD23</f>
        <v>0</v>
      </c>
      <c r="DG23" s="26"/>
      <c r="DH23" s="26"/>
      <c r="DI23" s="81" t="n">
        <f aca="false">DH23-DG23</f>
        <v>0</v>
      </c>
      <c r="DJ23" s="26"/>
      <c r="DK23" s="26"/>
      <c r="DL23" s="81" t="n">
        <f aca="false">DK23-DJ23</f>
        <v>0</v>
      </c>
      <c r="DM23" s="26"/>
      <c r="DN23" s="26"/>
      <c r="DO23" s="81" t="n">
        <f aca="false">DN23-DM23</f>
        <v>0</v>
      </c>
      <c r="DP23" s="26"/>
      <c r="DQ23" s="26"/>
      <c r="DR23" s="81" t="n">
        <f aca="false">DQ23-DP23</f>
        <v>0</v>
      </c>
      <c r="DS23" s="81" t="n">
        <f aca="false">+C23+F23+I23+L23+O23+R23+U23+X23+AA23+AD23+AG23+AJ23+AM23+AP23+AS23+AV23+AY23+BB23+BE23+BH23+BK23+BN23+BQ23+BT23+BW23+BZ23+CC23+CF23+CI23+CL23+CO23+CR23+CU23+CX23+DA23+DD23+DG23+DJ23+DM23+DP23</f>
        <v>99020</v>
      </c>
      <c r="DT23" s="81" t="n">
        <f aca="false">+D23+G23+J23+M23+P23+S23+V23+Y23+AB23+AE23+AH23+AK23+AN23+AQ23+AT23+AW23+AZ23+BC23+BF23+BI23+BL23+BO23+BR23+BU23+BX23+CA23+CD23+CG23+CJ23+CM23+CP23+CS23+CV23+CY23+DB23+DE23+DH23+DK23+DN23+DQ23</f>
        <v>99020</v>
      </c>
      <c r="DU23" s="81" t="n">
        <f aca="false">DT23-DS23</f>
        <v>0</v>
      </c>
      <c r="DV23" s="111"/>
      <c r="DW23" s="87"/>
      <c r="DX23" s="87"/>
      <c r="DY23" s="111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</row>
    <row r="24" customFormat="false" ht="12.75" hidden="false" customHeight="false" outlineLevel="0" collapsed="false">
      <c r="A24" s="80" t="n">
        <f aca="false">A23+1</f>
        <v>36726</v>
      </c>
      <c r="B24" s="80" t="s">
        <v>93</v>
      </c>
      <c r="C24" s="26" t="n">
        <v>4178</v>
      </c>
      <c r="D24" s="26" t="n">
        <v>4178</v>
      </c>
      <c r="E24" s="81" t="n">
        <f aca="false">D24-C24</f>
        <v>0</v>
      </c>
      <c r="F24" s="26" t="n">
        <v>20000</v>
      </c>
      <c r="G24" s="26" t="n">
        <v>20000</v>
      </c>
      <c r="H24" s="81" t="n">
        <f aca="false">G24-F24</f>
        <v>0</v>
      </c>
      <c r="I24" s="26" t="n">
        <v>2940</v>
      </c>
      <c r="J24" s="26" t="n">
        <v>2940</v>
      </c>
      <c r="K24" s="81" t="n">
        <f aca="false">J24-I24</f>
        <v>0</v>
      </c>
      <c r="L24" s="26" t="n">
        <v>10000</v>
      </c>
      <c r="M24" s="26" t="n">
        <v>10000</v>
      </c>
      <c r="N24" s="81" t="n">
        <f aca="false">M24-L24</f>
        <v>0</v>
      </c>
      <c r="O24" s="26" t="n">
        <f aca="false">5000+5000</f>
        <v>10000</v>
      </c>
      <c r="P24" s="26" t="n">
        <v>10000</v>
      </c>
      <c r="Q24" s="81" t="n">
        <f aca="false">P24-O24</f>
        <v>0</v>
      </c>
      <c r="R24" s="26" t="n">
        <v>5000</v>
      </c>
      <c r="S24" s="26" t="n">
        <v>5000</v>
      </c>
      <c r="T24" s="81" t="n">
        <f aca="false">S24-R24</f>
        <v>0</v>
      </c>
      <c r="U24" s="26" t="n">
        <f aca="false">1000+4000</f>
        <v>5000</v>
      </c>
      <c r="V24" s="26" t="n">
        <f aca="false">1000+4000</f>
        <v>5000</v>
      </c>
      <c r="W24" s="81" t="n">
        <f aca="false">V24-U24</f>
        <v>0</v>
      </c>
      <c r="X24" s="26" t="n">
        <v>10000</v>
      </c>
      <c r="Y24" s="26" t="n">
        <v>10000</v>
      </c>
      <c r="Z24" s="81" t="n">
        <f aca="false">Y24-X24</f>
        <v>0</v>
      </c>
      <c r="AA24" s="26" t="n">
        <v>5000</v>
      </c>
      <c r="AB24" s="26" t="n">
        <v>5000</v>
      </c>
      <c r="AC24" s="81" t="n">
        <f aca="false">AB24-AA24</f>
        <v>0</v>
      </c>
      <c r="AD24" s="26" t="n">
        <v>5000</v>
      </c>
      <c r="AE24" s="26" t="n">
        <v>5000</v>
      </c>
      <c r="AF24" s="81" t="n">
        <f aca="false">AE24-AD24</f>
        <v>0</v>
      </c>
      <c r="AG24" s="26" t="n">
        <v>7741</v>
      </c>
      <c r="AH24" s="26" t="n">
        <v>7741</v>
      </c>
      <c r="AI24" s="81" t="n">
        <f aca="false">AH24-AG24</f>
        <v>0</v>
      </c>
      <c r="AJ24" s="26" t="n">
        <v>3000</v>
      </c>
      <c r="AK24" s="26" t="n">
        <v>3000</v>
      </c>
      <c r="AL24" s="81" t="n">
        <f aca="false">AK24-AJ24</f>
        <v>0</v>
      </c>
      <c r="AM24" s="26" t="n">
        <v>6103</v>
      </c>
      <c r="AN24" s="26" t="n">
        <v>6103</v>
      </c>
      <c r="AO24" s="81" t="n">
        <f aca="false">AN24-AM24</f>
        <v>0</v>
      </c>
      <c r="AP24" s="26" t="n">
        <v>5000</v>
      </c>
      <c r="AQ24" s="26" t="n">
        <v>5000</v>
      </c>
      <c r="AR24" s="81" t="n">
        <f aca="false">AQ24-AP24</f>
        <v>0</v>
      </c>
      <c r="AS24" s="26"/>
      <c r="AT24" s="26"/>
      <c r="AU24" s="81" t="n">
        <f aca="false">AT24-AS24</f>
        <v>0</v>
      </c>
      <c r="AV24" s="26"/>
      <c r="AW24" s="26"/>
      <c r="AX24" s="81" t="n">
        <f aca="false">AW24-AV24</f>
        <v>0</v>
      </c>
      <c r="AY24" s="26"/>
      <c r="AZ24" s="26"/>
      <c r="BA24" s="81" t="n">
        <f aca="false">AZ24-AY24</f>
        <v>0</v>
      </c>
      <c r="BB24" s="26"/>
      <c r="BC24" s="26"/>
      <c r="BD24" s="81" t="n">
        <f aca="false">BC24-BB24</f>
        <v>0</v>
      </c>
      <c r="BE24" s="26"/>
      <c r="BF24" s="26"/>
      <c r="BG24" s="81" t="n">
        <f aca="false">BF24-BE24</f>
        <v>0</v>
      </c>
      <c r="BH24" s="26"/>
      <c r="BI24" s="26"/>
      <c r="BJ24" s="81" t="n">
        <f aca="false">BI24-BH24</f>
        <v>0</v>
      </c>
      <c r="BK24" s="26"/>
      <c r="BL24" s="26"/>
      <c r="BM24" s="81" t="n">
        <f aca="false">BL24-BK24</f>
        <v>0</v>
      </c>
      <c r="BN24" s="26"/>
      <c r="BO24" s="26"/>
      <c r="BP24" s="81" t="n">
        <f aca="false">BO24-BN24</f>
        <v>0</v>
      </c>
      <c r="BQ24" s="26"/>
      <c r="BR24" s="26"/>
      <c r="BS24" s="81" t="n">
        <f aca="false">BR24-BQ24</f>
        <v>0</v>
      </c>
      <c r="BT24" s="26"/>
      <c r="BU24" s="26"/>
      <c r="BV24" s="81" t="n">
        <f aca="false">BU24-BT24</f>
        <v>0</v>
      </c>
      <c r="BW24" s="26"/>
      <c r="BX24" s="26"/>
      <c r="BY24" s="81" t="n">
        <f aca="false">BX24-BW24</f>
        <v>0</v>
      </c>
      <c r="BZ24" s="26"/>
      <c r="CA24" s="26"/>
      <c r="CB24" s="81" t="n">
        <f aca="false">CA24-BZ24</f>
        <v>0</v>
      </c>
      <c r="CC24" s="26"/>
      <c r="CD24" s="26"/>
      <c r="CE24" s="81" t="n">
        <f aca="false">CD24-CC24</f>
        <v>0</v>
      </c>
      <c r="CF24" s="26"/>
      <c r="CG24" s="26"/>
      <c r="CH24" s="81" t="n">
        <f aca="false">CG24-CF24</f>
        <v>0</v>
      </c>
      <c r="CI24" s="26"/>
      <c r="CJ24" s="26"/>
      <c r="CK24" s="81" t="n">
        <f aca="false">CJ24-CI24</f>
        <v>0</v>
      </c>
      <c r="CL24" s="26"/>
      <c r="CM24" s="26"/>
      <c r="CN24" s="81" t="n">
        <f aca="false">CM24-CL24</f>
        <v>0</v>
      </c>
      <c r="CO24" s="26"/>
      <c r="CP24" s="26"/>
      <c r="CQ24" s="81" t="n">
        <f aca="false">CP24-CO24</f>
        <v>0</v>
      </c>
      <c r="CR24" s="26"/>
      <c r="CS24" s="26"/>
      <c r="CT24" s="81" t="n">
        <f aca="false">CS24-CR24</f>
        <v>0</v>
      </c>
      <c r="CU24" s="26"/>
      <c r="CV24" s="26"/>
      <c r="CW24" s="81" t="n">
        <f aca="false">CV24-CU24</f>
        <v>0</v>
      </c>
      <c r="CX24" s="26"/>
      <c r="CY24" s="26"/>
      <c r="CZ24" s="81" t="n">
        <f aca="false">CY24-CX24</f>
        <v>0</v>
      </c>
      <c r="DA24" s="26"/>
      <c r="DB24" s="26"/>
      <c r="DC24" s="81" t="n">
        <f aca="false">DB24-DA24</f>
        <v>0</v>
      </c>
      <c r="DD24" s="26"/>
      <c r="DE24" s="26"/>
      <c r="DF24" s="81" t="n">
        <f aca="false">DE24-DD24</f>
        <v>0</v>
      </c>
      <c r="DG24" s="26"/>
      <c r="DH24" s="26"/>
      <c r="DI24" s="81" t="n">
        <f aca="false">DH24-DG24</f>
        <v>0</v>
      </c>
      <c r="DJ24" s="26"/>
      <c r="DK24" s="26"/>
      <c r="DL24" s="81" t="n">
        <f aca="false">DK24-DJ24</f>
        <v>0</v>
      </c>
      <c r="DM24" s="26"/>
      <c r="DN24" s="26"/>
      <c r="DO24" s="81" t="n">
        <f aca="false">DN24-DM24</f>
        <v>0</v>
      </c>
      <c r="DP24" s="26"/>
      <c r="DQ24" s="26"/>
      <c r="DR24" s="81" t="n">
        <f aca="false">DQ24-DP24</f>
        <v>0</v>
      </c>
      <c r="DS24" s="81" t="n">
        <f aca="false">+C24+F24+I24+L24+O24+R24+U24+X24+AA24+AD24+AG24+AJ24+AM24+AP24+AS24+AV24+AY24+BB24+BE24+BH24+BK24+BN24+BQ24+BT24+BW24+BZ24+CC24+CF24+CI24+CL24+CO24+CR24+CU24+CX24+DA24+DD24+DG24+DJ24+DM24+DP24</f>
        <v>98962</v>
      </c>
      <c r="DT24" s="81" t="n">
        <f aca="false">+D24+G24+J24+M24+P24+S24+V24+Y24+AB24+AE24+AH24+AK24+AN24+AQ24+AT24+AW24+AZ24+BC24+BF24+BI24+BL24+BO24+BR24+BU24+BX24+CA24+CD24+CG24+CJ24+CM24+CP24+CS24+CV24+CY24+DB24+DE24+DH24+DK24+DN24+DQ24</f>
        <v>98962</v>
      </c>
      <c r="DU24" s="81" t="n">
        <f aca="false">DT24-DS24</f>
        <v>0</v>
      </c>
      <c r="DV24" s="111"/>
      <c r="DW24" s="87"/>
      <c r="DX24" s="87"/>
      <c r="DY24" s="111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</row>
    <row r="25" customFormat="false" ht="12.75" hidden="false" customHeight="false" outlineLevel="0" collapsed="false">
      <c r="A25" s="80" t="n">
        <f aca="false">A24+1</f>
        <v>36727</v>
      </c>
      <c r="B25" s="80" t="s">
        <v>94</v>
      </c>
      <c r="C25" s="26" t="n">
        <v>4178</v>
      </c>
      <c r="D25" s="26" t="n">
        <v>4178</v>
      </c>
      <c r="E25" s="81" t="n">
        <f aca="false">D25-C25</f>
        <v>0</v>
      </c>
      <c r="F25" s="26" t="n">
        <v>20000</v>
      </c>
      <c r="G25" s="26" t="n">
        <v>20000</v>
      </c>
      <c r="H25" s="81" t="n">
        <f aca="false">G25-F25</f>
        <v>0</v>
      </c>
      <c r="I25" s="26" t="n">
        <v>5000</v>
      </c>
      <c r="J25" s="26" t="n">
        <v>5000</v>
      </c>
      <c r="K25" s="81" t="n">
        <f aca="false">J25-I25</f>
        <v>0</v>
      </c>
      <c r="L25" s="26" t="n">
        <v>10000</v>
      </c>
      <c r="M25" s="26" t="n">
        <v>10000</v>
      </c>
      <c r="N25" s="81" t="n">
        <f aca="false">M25-L25</f>
        <v>0</v>
      </c>
      <c r="O25" s="26" t="n">
        <f aca="false">5000+5000</f>
        <v>10000</v>
      </c>
      <c r="P25" s="26" t="n">
        <v>10000</v>
      </c>
      <c r="Q25" s="81" t="n">
        <f aca="false">P25-O25</f>
        <v>0</v>
      </c>
      <c r="R25" s="26" t="n">
        <v>5000</v>
      </c>
      <c r="S25" s="26" t="n">
        <v>5000</v>
      </c>
      <c r="T25" s="81" t="n">
        <f aca="false">S25-R25</f>
        <v>0</v>
      </c>
      <c r="U25" s="26" t="n">
        <f aca="false">1000+4000</f>
        <v>5000</v>
      </c>
      <c r="V25" s="26" t="n">
        <f aca="false">1000+4000</f>
        <v>5000</v>
      </c>
      <c r="W25" s="81" t="n">
        <f aca="false">V25-U25</f>
        <v>0</v>
      </c>
      <c r="X25" s="26" t="n">
        <v>10000</v>
      </c>
      <c r="Y25" s="26" t="n">
        <v>10000</v>
      </c>
      <c r="Z25" s="81" t="n">
        <f aca="false">Y25-X25</f>
        <v>0</v>
      </c>
      <c r="AA25" s="26" t="n">
        <v>5000</v>
      </c>
      <c r="AB25" s="26" t="n">
        <v>5000</v>
      </c>
      <c r="AC25" s="81" t="n">
        <f aca="false">AB25-AA25</f>
        <v>0</v>
      </c>
      <c r="AD25" s="26" t="n">
        <v>5000</v>
      </c>
      <c r="AE25" s="26" t="n">
        <v>5000</v>
      </c>
      <c r="AF25" s="81" t="n">
        <f aca="false">AE25-AD25</f>
        <v>0</v>
      </c>
      <c r="AG25" s="26" t="n">
        <v>7741</v>
      </c>
      <c r="AH25" s="26" t="n">
        <v>7741</v>
      </c>
      <c r="AI25" s="81" t="n">
        <f aca="false">AH25-AG25</f>
        <v>0</v>
      </c>
      <c r="AJ25" s="26" t="n">
        <v>3000</v>
      </c>
      <c r="AK25" s="26" t="n">
        <v>3000</v>
      </c>
      <c r="AL25" s="81" t="n">
        <f aca="false">AK25-AJ25</f>
        <v>0</v>
      </c>
      <c r="AM25" s="26" t="n">
        <v>10375</v>
      </c>
      <c r="AN25" s="26" t="n">
        <v>10375</v>
      </c>
      <c r="AO25" s="81" t="n">
        <f aca="false">AN25-AM25</f>
        <v>0</v>
      </c>
      <c r="AP25" s="26" t="n">
        <v>5000</v>
      </c>
      <c r="AQ25" s="26" t="n">
        <v>5000</v>
      </c>
      <c r="AR25" s="81" t="n">
        <f aca="false">AQ25-AP25</f>
        <v>0</v>
      </c>
      <c r="AS25" s="26"/>
      <c r="AT25" s="26"/>
      <c r="AU25" s="81" t="n">
        <f aca="false">AT25-AS25</f>
        <v>0</v>
      </c>
      <c r="AV25" s="26"/>
      <c r="AW25" s="26"/>
      <c r="AX25" s="81" t="n">
        <f aca="false">AW25-AV25</f>
        <v>0</v>
      </c>
      <c r="AY25" s="26"/>
      <c r="AZ25" s="26"/>
      <c r="BA25" s="81" t="n">
        <f aca="false">AZ25-AY25</f>
        <v>0</v>
      </c>
      <c r="BB25" s="26"/>
      <c r="BC25" s="26"/>
      <c r="BD25" s="81" t="n">
        <f aca="false">BC25-BB25</f>
        <v>0</v>
      </c>
      <c r="BE25" s="26"/>
      <c r="BF25" s="26"/>
      <c r="BG25" s="81" t="n">
        <f aca="false">BF25-BE25</f>
        <v>0</v>
      </c>
      <c r="BH25" s="26"/>
      <c r="BI25" s="26"/>
      <c r="BJ25" s="81" t="n">
        <f aca="false">BI25-BH25</f>
        <v>0</v>
      </c>
      <c r="BK25" s="26"/>
      <c r="BL25" s="26"/>
      <c r="BM25" s="81" t="n">
        <f aca="false">BL25-BK25</f>
        <v>0</v>
      </c>
      <c r="BN25" s="26"/>
      <c r="BO25" s="26"/>
      <c r="BP25" s="81" t="n">
        <f aca="false">BO25-BN25</f>
        <v>0</v>
      </c>
      <c r="BQ25" s="26"/>
      <c r="BR25" s="26"/>
      <c r="BS25" s="81" t="n">
        <f aca="false">BR25-BQ25</f>
        <v>0</v>
      </c>
      <c r="BT25" s="26"/>
      <c r="BU25" s="26"/>
      <c r="BV25" s="81" t="n">
        <f aca="false">BU25-BT25</f>
        <v>0</v>
      </c>
      <c r="BW25" s="26"/>
      <c r="BX25" s="26"/>
      <c r="BY25" s="81" t="n">
        <f aca="false">BX25-BW25</f>
        <v>0</v>
      </c>
      <c r="BZ25" s="26"/>
      <c r="CA25" s="26"/>
      <c r="CB25" s="81" t="n">
        <f aca="false">CA25-BZ25</f>
        <v>0</v>
      </c>
      <c r="CC25" s="26"/>
      <c r="CD25" s="26"/>
      <c r="CE25" s="81" t="n">
        <f aca="false">CD25-CC25</f>
        <v>0</v>
      </c>
      <c r="CF25" s="26"/>
      <c r="CG25" s="26"/>
      <c r="CH25" s="81" t="n">
        <f aca="false">CG25-CF25</f>
        <v>0</v>
      </c>
      <c r="CI25" s="26"/>
      <c r="CJ25" s="26"/>
      <c r="CK25" s="81" t="n">
        <f aca="false">CJ25-CI25</f>
        <v>0</v>
      </c>
      <c r="CL25" s="26"/>
      <c r="CM25" s="26"/>
      <c r="CN25" s="81" t="n">
        <f aca="false">CM25-CL25</f>
        <v>0</v>
      </c>
      <c r="CO25" s="26"/>
      <c r="CP25" s="26"/>
      <c r="CQ25" s="81" t="n">
        <f aca="false">CP25-CO25</f>
        <v>0</v>
      </c>
      <c r="CR25" s="26"/>
      <c r="CS25" s="26"/>
      <c r="CT25" s="81" t="n">
        <f aca="false">CS25-CR25</f>
        <v>0</v>
      </c>
      <c r="CU25" s="26"/>
      <c r="CV25" s="26"/>
      <c r="CW25" s="81" t="n">
        <f aca="false">CV25-CU25</f>
        <v>0</v>
      </c>
      <c r="CX25" s="26"/>
      <c r="CY25" s="26"/>
      <c r="CZ25" s="81" t="n">
        <f aca="false">CY25-CX25</f>
        <v>0</v>
      </c>
      <c r="DA25" s="26"/>
      <c r="DB25" s="26"/>
      <c r="DC25" s="81" t="n">
        <f aca="false">DB25-DA25</f>
        <v>0</v>
      </c>
      <c r="DD25" s="26"/>
      <c r="DE25" s="26"/>
      <c r="DF25" s="81" t="n">
        <f aca="false">DE25-DD25</f>
        <v>0</v>
      </c>
      <c r="DG25" s="26"/>
      <c r="DH25" s="26"/>
      <c r="DI25" s="81" t="n">
        <f aca="false">DH25-DG25</f>
        <v>0</v>
      </c>
      <c r="DJ25" s="26"/>
      <c r="DK25" s="26"/>
      <c r="DL25" s="81" t="n">
        <f aca="false">DK25-DJ25</f>
        <v>0</v>
      </c>
      <c r="DM25" s="26"/>
      <c r="DN25" s="26"/>
      <c r="DO25" s="81" t="n">
        <f aca="false">DN25-DM25</f>
        <v>0</v>
      </c>
      <c r="DP25" s="26"/>
      <c r="DQ25" s="26"/>
      <c r="DR25" s="81" t="n">
        <f aca="false">DQ25-DP25</f>
        <v>0</v>
      </c>
      <c r="DS25" s="81" t="n">
        <f aca="false">+C25+F25+I25+L25+O25+R25+U25+X25+AA25+AD25+AG25+AJ25+AM25+AP25+AS25+AV25+AY25+BB25+BE25+BH25+BK25+BN25+BQ25+BT25+BW25+BZ25+CC25+CF25+CI25+CL25+CO25+CR25+CU25+CX25+DA25+DD25+DG25+DJ25+DM25+DP25</f>
        <v>105294</v>
      </c>
      <c r="DT25" s="81" t="n">
        <f aca="false">+D25+G25+J25+M25+P25+S25+V25+Y25+AB25+AE25+AH25+AK25+AN25+AQ25+AT25+AW25+AZ25+BC25+BF25+BI25+BL25+BO25+BR25+BU25+BX25+CA25+CD25+CG25+CJ25+CM25+CP25+CS25+CV25+CY25+DB25+DE25+DH25+DK25+DN25+DQ25</f>
        <v>105294</v>
      </c>
      <c r="DU25" s="81" t="n">
        <f aca="false">DT25-DS25</f>
        <v>0</v>
      </c>
      <c r="DV25" s="111"/>
      <c r="DW25" s="87"/>
      <c r="DX25" s="87"/>
      <c r="DY25" s="111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</row>
    <row r="26" customFormat="false" ht="12.75" hidden="false" customHeight="false" outlineLevel="0" collapsed="false">
      <c r="A26" s="80" t="n">
        <f aca="false">A25+1</f>
        <v>36728</v>
      </c>
      <c r="B26" s="80" t="s">
        <v>95</v>
      </c>
      <c r="C26" s="26" t="n">
        <v>4178</v>
      </c>
      <c r="D26" s="26" t="n">
        <v>4178</v>
      </c>
      <c r="E26" s="81" t="n">
        <f aca="false">D26-C26</f>
        <v>0</v>
      </c>
      <c r="F26" s="26" t="n">
        <v>20000</v>
      </c>
      <c r="G26" s="26" t="n">
        <v>20000</v>
      </c>
      <c r="H26" s="81" t="n">
        <f aca="false">G26-F26</f>
        <v>0</v>
      </c>
      <c r="I26" s="26" t="n">
        <v>5000</v>
      </c>
      <c r="J26" s="26" t="n">
        <v>5000</v>
      </c>
      <c r="K26" s="81" t="n">
        <f aca="false">J26-I26</f>
        <v>0</v>
      </c>
      <c r="L26" s="26" t="n">
        <v>10000</v>
      </c>
      <c r="M26" s="26" t="n">
        <v>10000</v>
      </c>
      <c r="N26" s="81" t="n">
        <f aca="false">M26-L26</f>
        <v>0</v>
      </c>
      <c r="O26" s="26" t="n">
        <f aca="false">5000+5000</f>
        <v>10000</v>
      </c>
      <c r="P26" s="26" t="n">
        <v>10000</v>
      </c>
      <c r="Q26" s="81" t="n">
        <f aca="false">P26-O26</f>
        <v>0</v>
      </c>
      <c r="R26" s="26" t="n">
        <v>5000</v>
      </c>
      <c r="S26" s="26" t="n">
        <v>5000</v>
      </c>
      <c r="T26" s="81" t="n">
        <f aca="false">S26-R26</f>
        <v>0</v>
      </c>
      <c r="U26" s="26" t="n">
        <f aca="false">1000+4000</f>
        <v>5000</v>
      </c>
      <c r="V26" s="26" t="n">
        <f aca="false">1000+4000</f>
        <v>5000</v>
      </c>
      <c r="W26" s="81" t="n">
        <f aca="false">V26-U26</f>
        <v>0</v>
      </c>
      <c r="X26" s="26" t="n">
        <v>10000</v>
      </c>
      <c r="Y26" s="26" t="n">
        <v>10000</v>
      </c>
      <c r="Z26" s="81" t="n">
        <f aca="false">Y26-X26</f>
        <v>0</v>
      </c>
      <c r="AA26" s="26" t="n">
        <v>5000</v>
      </c>
      <c r="AB26" s="26" t="n">
        <v>5000</v>
      </c>
      <c r="AC26" s="81" t="n">
        <f aca="false">AB26-AA26</f>
        <v>0</v>
      </c>
      <c r="AD26" s="26" t="n">
        <v>5000</v>
      </c>
      <c r="AE26" s="26" t="n">
        <v>5000</v>
      </c>
      <c r="AF26" s="81" t="n">
        <f aca="false">AE26-AD26</f>
        <v>0</v>
      </c>
      <c r="AG26" s="26" t="n">
        <v>7741</v>
      </c>
      <c r="AH26" s="26" t="n">
        <v>7741</v>
      </c>
      <c r="AI26" s="81" t="n">
        <f aca="false">AH26-AG26</f>
        <v>0</v>
      </c>
      <c r="AJ26" s="26" t="n">
        <v>3000</v>
      </c>
      <c r="AK26" s="26" t="n">
        <v>3000</v>
      </c>
      <c r="AL26" s="81" t="n">
        <f aca="false">AK26-AJ26</f>
        <v>0</v>
      </c>
      <c r="AM26" s="26" t="n">
        <v>10375</v>
      </c>
      <c r="AN26" s="26" t="n">
        <v>10375</v>
      </c>
      <c r="AO26" s="81" t="n">
        <f aca="false">AN26-AM26</f>
        <v>0</v>
      </c>
      <c r="AP26" s="26" t="n">
        <v>5000</v>
      </c>
      <c r="AQ26" s="26" t="n">
        <v>5000</v>
      </c>
      <c r="AR26" s="81" t="n">
        <f aca="false">AQ26-AP26</f>
        <v>0</v>
      </c>
      <c r="AS26" s="26"/>
      <c r="AT26" s="26"/>
      <c r="AU26" s="81" t="n">
        <f aca="false">AT26-AS26</f>
        <v>0</v>
      </c>
      <c r="AV26" s="26"/>
      <c r="AW26" s="26"/>
      <c r="AX26" s="81" t="n">
        <f aca="false">AW26-AV26</f>
        <v>0</v>
      </c>
      <c r="AY26" s="26"/>
      <c r="AZ26" s="26"/>
      <c r="BA26" s="81" t="n">
        <f aca="false">AZ26-AY26</f>
        <v>0</v>
      </c>
      <c r="BB26" s="26"/>
      <c r="BC26" s="26"/>
      <c r="BD26" s="81" t="n">
        <f aca="false">BC26-BB26</f>
        <v>0</v>
      </c>
      <c r="BE26" s="26"/>
      <c r="BF26" s="26"/>
      <c r="BG26" s="81" t="n">
        <f aca="false">BF26-BE26</f>
        <v>0</v>
      </c>
      <c r="BH26" s="26"/>
      <c r="BI26" s="26"/>
      <c r="BJ26" s="81" t="n">
        <f aca="false">BI26-BH26</f>
        <v>0</v>
      </c>
      <c r="BK26" s="26"/>
      <c r="BL26" s="26"/>
      <c r="BM26" s="81" t="n">
        <f aca="false">BL26-BK26</f>
        <v>0</v>
      </c>
      <c r="BN26" s="26"/>
      <c r="BO26" s="26"/>
      <c r="BP26" s="81" t="n">
        <f aca="false">BO26-BN26</f>
        <v>0</v>
      </c>
      <c r="BQ26" s="26"/>
      <c r="BR26" s="26"/>
      <c r="BS26" s="81" t="n">
        <f aca="false">BR26-BQ26</f>
        <v>0</v>
      </c>
      <c r="BT26" s="26"/>
      <c r="BU26" s="26"/>
      <c r="BV26" s="81" t="n">
        <f aca="false">BU26-BT26</f>
        <v>0</v>
      </c>
      <c r="BW26" s="26"/>
      <c r="BX26" s="26"/>
      <c r="BY26" s="81" t="n">
        <f aca="false">BX26-BW26</f>
        <v>0</v>
      </c>
      <c r="BZ26" s="26"/>
      <c r="CA26" s="26"/>
      <c r="CB26" s="81" t="n">
        <f aca="false">CA26-BZ26</f>
        <v>0</v>
      </c>
      <c r="CC26" s="26"/>
      <c r="CD26" s="26"/>
      <c r="CE26" s="81" t="n">
        <f aca="false">CD26-CC26</f>
        <v>0</v>
      </c>
      <c r="CF26" s="26"/>
      <c r="CG26" s="26"/>
      <c r="CH26" s="81" t="n">
        <f aca="false">CG26-CF26</f>
        <v>0</v>
      </c>
      <c r="CI26" s="26"/>
      <c r="CJ26" s="26"/>
      <c r="CK26" s="81" t="n">
        <f aca="false">CJ26-CI26</f>
        <v>0</v>
      </c>
      <c r="CL26" s="26"/>
      <c r="CM26" s="26"/>
      <c r="CN26" s="81" t="n">
        <f aca="false">CM26-CL26</f>
        <v>0</v>
      </c>
      <c r="CO26" s="26"/>
      <c r="CP26" s="26"/>
      <c r="CQ26" s="81" t="n">
        <f aca="false">CP26-CO26</f>
        <v>0</v>
      </c>
      <c r="CR26" s="26"/>
      <c r="CS26" s="26"/>
      <c r="CT26" s="81" t="n">
        <f aca="false">CS26-CR26</f>
        <v>0</v>
      </c>
      <c r="CU26" s="26"/>
      <c r="CV26" s="26"/>
      <c r="CW26" s="81" t="n">
        <f aca="false">CV26-CU26</f>
        <v>0</v>
      </c>
      <c r="CX26" s="26"/>
      <c r="CY26" s="26"/>
      <c r="CZ26" s="81" t="n">
        <f aca="false">CY26-CX26</f>
        <v>0</v>
      </c>
      <c r="DA26" s="26"/>
      <c r="DB26" s="26"/>
      <c r="DC26" s="81" t="n">
        <f aca="false">DB26-DA26</f>
        <v>0</v>
      </c>
      <c r="DD26" s="26"/>
      <c r="DE26" s="26"/>
      <c r="DF26" s="81" t="n">
        <f aca="false">DE26-DD26</f>
        <v>0</v>
      </c>
      <c r="DG26" s="26"/>
      <c r="DH26" s="26"/>
      <c r="DI26" s="81" t="n">
        <f aca="false">DH26-DG26</f>
        <v>0</v>
      </c>
      <c r="DJ26" s="26"/>
      <c r="DK26" s="26"/>
      <c r="DL26" s="81" t="n">
        <f aca="false">DK26-DJ26</f>
        <v>0</v>
      </c>
      <c r="DM26" s="26"/>
      <c r="DN26" s="26"/>
      <c r="DO26" s="81" t="n">
        <f aca="false">DN26-DM26</f>
        <v>0</v>
      </c>
      <c r="DP26" s="26"/>
      <c r="DQ26" s="26"/>
      <c r="DR26" s="81" t="n">
        <f aca="false">DQ26-DP26</f>
        <v>0</v>
      </c>
      <c r="DS26" s="81" t="n">
        <f aca="false">+C26+F26+I26+L26+O26+R26+U26+X26+AA26+AD26+AG26+AJ26+AM26+AP26+AS26+AV26+AY26+BB26+BE26+BH26+BK26+BN26+BQ26+BT26+BW26+BZ26+CC26+CF26+CI26+CL26+CO26+CR26+CU26+CX26+DA26+DD26+DG26+DJ26+DM26+DP26</f>
        <v>105294</v>
      </c>
      <c r="DT26" s="81" t="n">
        <f aca="false">+D26+G26+J26+M26+P26+S26+V26+Y26+AB26+AE26+AH26+AK26+AN26+AQ26+AT26+AW26+AZ26+BC26+BF26+BI26+BL26+BO26+BR26+BU26+BX26+CA26+CD26+CG26+CJ26+CM26+CP26+CS26+CV26+CY26+DB26+DE26+DH26+DK26+DN26+DQ26</f>
        <v>105294</v>
      </c>
      <c r="DU26" s="81" t="n">
        <f aca="false">DT26-DS26</f>
        <v>0</v>
      </c>
      <c r="DV26" s="111"/>
      <c r="DW26" s="87"/>
      <c r="DX26" s="87"/>
      <c r="DY26" s="111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</row>
    <row r="27" customFormat="false" ht="12.75" hidden="false" customHeight="false" outlineLevel="0" collapsed="false">
      <c r="A27" s="80" t="n">
        <f aca="false">A26+1</f>
        <v>36729</v>
      </c>
      <c r="B27" s="80" t="s">
        <v>89</v>
      </c>
      <c r="C27" s="26" t="n">
        <v>4178</v>
      </c>
      <c r="D27" s="26" t="n">
        <v>4178</v>
      </c>
      <c r="E27" s="81" t="n">
        <f aca="false">D27-C27</f>
        <v>0</v>
      </c>
      <c r="F27" s="26" t="n">
        <v>20000</v>
      </c>
      <c r="G27" s="26" t="n">
        <v>20000</v>
      </c>
      <c r="H27" s="81" t="n">
        <f aca="false">G27-F27</f>
        <v>0</v>
      </c>
      <c r="I27" s="26" t="n">
        <v>5000</v>
      </c>
      <c r="J27" s="26" t="n">
        <v>5000</v>
      </c>
      <c r="K27" s="81" t="n">
        <f aca="false">J27-I27</f>
        <v>0</v>
      </c>
      <c r="L27" s="26" t="n">
        <v>10000</v>
      </c>
      <c r="M27" s="26" t="n">
        <v>10000</v>
      </c>
      <c r="N27" s="81" t="n">
        <f aca="false">M27-L27</f>
        <v>0</v>
      </c>
      <c r="O27" s="26" t="n">
        <f aca="false">5000+5000</f>
        <v>10000</v>
      </c>
      <c r="P27" s="26" t="n">
        <v>10000</v>
      </c>
      <c r="Q27" s="81" t="n">
        <f aca="false">P27-O27</f>
        <v>0</v>
      </c>
      <c r="R27" s="26" t="n">
        <v>5000</v>
      </c>
      <c r="S27" s="26" t="n">
        <v>5000</v>
      </c>
      <c r="T27" s="81" t="n">
        <f aca="false">S27-R27</f>
        <v>0</v>
      </c>
      <c r="U27" s="26" t="n">
        <f aca="false">1000+4000</f>
        <v>5000</v>
      </c>
      <c r="V27" s="26" t="n">
        <f aca="false">1000+4000</f>
        <v>5000</v>
      </c>
      <c r="W27" s="81" t="n">
        <f aca="false">V27-U27</f>
        <v>0</v>
      </c>
      <c r="X27" s="26" t="n">
        <v>10000</v>
      </c>
      <c r="Y27" s="26" t="n">
        <v>10000</v>
      </c>
      <c r="Z27" s="81" t="n">
        <f aca="false">Y27-X27</f>
        <v>0</v>
      </c>
      <c r="AA27" s="26" t="n">
        <v>5000</v>
      </c>
      <c r="AB27" s="26" t="n">
        <v>5000</v>
      </c>
      <c r="AC27" s="81" t="n">
        <f aca="false">AB27-AA27</f>
        <v>0</v>
      </c>
      <c r="AD27" s="26" t="n">
        <v>5000</v>
      </c>
      <c r="AE27" s="26" t="n">
        <v>5000</v>
      </c>
      <c r="AF27" s="81" t="n">
        <f aca="false">AE27-AD27</f>
        <v>0</v>
      </c>
      <c r="AG27" s="26" t="n">
        <v>7741</v>
      </c>
      <c r="AH27" s="26" t="n">
        <v>7741</v>
      </c>
      <c r="AI27" s="81" t="n">
        <f aca="false">AH27-AG27</f>
        <v>0</v>
      </c>
      <c r="AJ27" s="26" t="n">
        <v>3000</v>
      </c>
      <c r="AK27" s="26" t="n">
        <v>3000</v>
      </c>
      <c r="AL27" s="81" t="n">
        <f aca="false">AK27-AJ27</f>
        <v>0</v>
      </c>
      <c r="AM27" s="26" t="n">
        <v>10375</v>
      </c>
      <c r="AN27" s="26" t="n">
        <v>10375</v>
      </c>
      <c r="AO27" s="81" t="n">
        <f aca="false">AN27-AM27</f>
        <v>0</v>
      </c>
      <c r="AP27" s="26" t="n">
        <v>5000</v>
      </c>
      <c r="AQ27" s="26" t="n">
        <v>5000</v>
      </c>
      <c r="AR27" s="81" t="n">
        <f aca="false">AQ27-AP27</f>
        <v>0</v>
      </c>
      <c r="AS27" s="26"/>
      <c r="AT27" s="26"/>
      <c r="AU27" s="81" t="n">
        <f aca="false">AT27-AS27</f>
        <v>0</v>
      </c>
      <c r="AV27" s="26"/>
      <c r="AW27" s="26"/>
      <c r="AX27" s="81" t="n">
        <f aca="false">AW27-AV27</f>
        <v>0</v>
      </c>
      <c r="AY27" s="26"/>
      <c r="AZ27" s="26"/>
      <c r="BA27" s="81" t="n">
        <f aca="false">AZ27-AY27</f>
        <v>0</v>
      </c>
      <c r="BB27" s="26"/>
      <c r="BC27" s="26"/>
      <c r="BD27" s="81" t="n">
        <f aca="false">BC27-BB27</f>
        <v>0</v>
      </c>
      <c r="BE27" s="26"/>
      <c r="BF27" s="26"/>
      <c r="BG27" s="81" t="n">
        <f aca="false">BF27-BE27</f>
        <v>0</v>
      </c>
      <c r="BH27" s="26"/>
      <c r="BI27" s="26"/>
      <c r="BJ27" s="81" t="n">
        <f aca="false">BI27-BH27</f>
        <v>0</v>
      </c>
      <c r="BK27" s="26"/>
      <c r="BL27" s="26"/>
      <c r="BM27" s="81" t="n">
        <f aca="false">BL27-BK27</f>
        <v>0</v>
      </c>
      <c r="BN27" s="26"/>
      <c r="BO27" s="26"/>
      <c r="BP27" s="81" t="n">
        <f aca="false">BO27-BN27</f>
        <v>0</v>
      </c>
      <c r="BQ27" s="26"/>
      <c r="BR27" s="26"/>
      <c r="BS27" s="81" t="n">
        <f aca="false">BR27-BQ27</f>
        <v>0</v>
      </c>
      <c r="BT27" s="26"/>
      <c r="BU27" s="26"/>
      <c r="BV27" s="81" t="n">
        <f aca="false">BU27-BT27</f>
        <v>0</v>
      </c>
      <c r="BW27" s="26"/>
      <c r="BX27" s="26"/>
      <c r="BY27" s="81" t="n">
        <f aca="false">BX27-BW27</f>
        <v>0</v>
      </c>
      <c r="BZ27" s="26"/>
      <c r="CA27" s="26"/>
      <c r="CB27" s="81" t="n">
        <f aca="false">CA27-BZ27</f>
        <v>0</v>
      </c>
      <c r="CC27" s="26"/>
      <c r="CD27" s="26"/>
      <c r="CE27" s="81" t="n">
        <f aca="false">CD27-CC27</f>
        <v>0</v>
      </c>
      <c r="CF27" s="26"/>
      <c r="CG27" s="26"/>
      <c r="CH27" s="81" t="n">
        <f aca="false">CG27-CF27</f>
        <v>0</v>
      </c>
      <c r="CI27" s="26"/>
      <c r="CJ27" s="26"/>
      <c r="CK27" s="81" t="n">
        <f aca="false">CJ27-CI27</f>
        <v>0</v>
      </c>
      <c r="CL27" s="26"/>
      <c r="CM27" s="26"/>
      <c r="CN27" s="81" t="n">
        <f aca="false">CM27-CL27</f>
        <v>0</v>
      </c>
      <c r="CO27" s="26"/>
      <c r="CP27" s="26"/>
      <c r="CQ27" s="81" t="n">
        <f aca="false">CP27-CO27</f>
        <v>0</v>
      </c>
      <c r="CR27" s="26"/>
      <c r="CS27" s="26"/>
      <c r="CT27" s="81" t="n">
        <f aca="false">CS27-CR27</f>
        <v>0</v>
      </c>
      <c r="CU27" s="26"/>
      <c r="CV27" s="26"/>
      <c r="CW27" s="81" t="n">
        <f aca="false">CV27-CU27</f>
        <v>0</v>
      </c>
      <c r="CX27" s="26"/>
      <c r="CY27" s="26"/>
      <c r="CZ27" s="81" t="n">
        <f aca="false">CY27-CX27</f>
        <v>0</v>
      </c>
      <c r="DA27" s="26"/>
      <c r="DB27" s="26"/>
      <c r="DC27" s="81" t="n">
        <f aca="false">DB27-DA27</f>
        <v>0</v>
      </c>
      <c r="DD27" s="26"/>
      <c r="DE27" s="26"/>
      <c r="DF27" s="81" t="n">
        <f aca="false">DE27-DD27</f>
        <v>0</v>
      </c>
      <c r="DG27" s="26"/>
      <c r="DH27" s="26"/>
      <c r="DI27" s="81" t="n">
        <f aca="false">DH27-DG27</f>
        <v>0</v>
      </c>
      <c r="DJ27" s="26"/>
      <c r="DK27" s="26"/>
      <c r="DL27" s="81" t="n">
        <f aca="false">DK27-DJ27</f>
        <v>0</v>
      </c>
      <c r="DM27" s="26"/>
      <c r="DN27" s="26"/>
      <c r="DO27" s="81" t="n">
        <f aca="false">DN27-DM27</f>
        <v>0</v>
      </c>
      <c r="DP27" s="26"/>
      <c r="DQ27" s="26"/>
      <c r="DR27" s="81" t="n">
        <f aca="false">DQ27-DP27</f>
        <v>0</v>
      </c>
      <c r="DS27" s="81" t="n">
        <f aca="false">+C27+F27+I27+L27+O27+R27+U27+X27+AA27+AD27+AG27+AJ27+AM27+AP27+AS27+AV27+AY27+BB27+BE27+BH27+BK27+BN27+BQ27+BT27+BW27+BZ27+CC27+CF27+CI27+CL27+CO27+CR27+CU27+CX27+DA27+DD27+DG27+DJ27+DM27+DP27</f>
        <v>105294</v>
      </c>
      <c r="DT27" s="81" t="n">
        <f aca="false">+D27+G27+J27+M27+P27+S27+V27+Y27+AB27+AE27+AH27+AK27+AN27+AQ27+AT27+AW27+AZ27+BC27+BF27+BI27+BL27+BO27+BR27+BU27+BX27+CA27+CD27+CG27+CJ27+CM27+CP27+CS27+CV27+CY27+DB27+DE27+DH27+DK27+DN27+DQ27</f>
        <v>105294</v>
      </c>
      <c r="DU27" s="81" t="n">
        <f aca="false">DT27-DS27</f>
        <v>0</v>
      </c>
      <c r="DV27" s="111"/>
      <c r="DW27" s="87"/>
      <c r="DX27" s="87"/>
      <c r="DY27" s="111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</row>
    <row r="28" customFormat="false" ht="12.75" hidden="false" customHeight="false" outlineLevel="0" collapsed="false">
      <c r="A28" s="80" t="n">
        <f aca="false">A27+1</f>
        <v>36730</v>
      </c>
      <c r="B28" s="80" t="s">
        <v>90</v>
      </c>
      <c r="C28" s="26" t="n">
        <v>4178</v>
      </c>
      <c r="D28" s="26" t="n">
        <v>4178</v>
      </c>
      <c r="E28" s="81" t="n">
        <f aca="false">D28-C28</f>
        <v>0</v>
      </c>
      <c r="F28" s="26" t="n">
        <v>20000</v>
      </c>
      <c r="G28" s="26" t="n">
        <v>20000</v>
      </c>
      <c r="H28" s="81" t="n">
        <f aca="false">G28-F28</f>
        <v>0</v>
      </c>
      <c r="I28" s="26" t="n">
        <v>5000</v>
      </c>
      <c r="J28" s="26" t="n">
        <v>5000</v>
      </c>
      <c r="K28" s="81" t="n">
        <f aca="false">J28-I28</f>
        <v>0</v>
      </c>
      <c r="L28" s="26" t="n">
        <v>10000</v>
      </c>
      <c r="M28" s="26" t="n">
        <v>10000</v>
      </c>
      <c r="N28" s="81" t="n">
        <f aca="false">M28-L28</f>
        <v>0</v>
      </c>
      <c r="O28" s="26" t="n">
        <f aca="false">5000+5000</f>
        <v>10000</v>
      </c>
      <c r="P28" s="26" t="n">
        <v>10000</v>
      </c>
      <c r="Q28" s="81" t="n">
        <f aca="false">P28-O28</f>
        <v>0</v>
      </c>
      <c r="R28" s="26" t="n">
        <v>5000</v>
      </c>
      <c r="S28" s="26" t="n">
        <v>5000</v>
      </c>
      <c r="T28" s="81" t="n">
        <f aca="false">S28-R28</f>
        <v>0</v>
      </c>
      <c r="U28" s="26" t="n">
        <f aca="false">1000+4000</f>
        <v>5000</v>
      </c>
      <c r="V28" s="26" t="n">
        <f aca="false">1000+4000</f>
        <v>5000</v>
      </c>
      <c r="W28" s="81" t="n">
        <f aca="false">V28-U28</f>
        <v>0</v>
      </c>
      <c r="X28" s="26" t="n">
        <v>10000</v>
      </c>
      <c r="Y28" s="26" t="n">
        <v>10000</v>
      </c>
      <c r="Z28" s="81" t="n">
        <f aca="false">Y28-X28</f>
        <v>0</v>
      </c>
      <c r="AA28" s="26" t="n">
        <v>5000</v>
      </c>
      <c r="AB28" s="26" t="n">
        <v>5000</v>
      </c>
      <c r="AC28" s="81" t="n">
        <f aca="false">AB28-AA28</f>
        <v>0</v>
      </c>
      <c r="AD28" s="26" t="n">
        <v>5000</v>
      </c>
      <c r="AE28" s="26" t="n">
        <v>5000</v>
      </c>
      <c r="AF28" s="81" t="n">
        <f aca="false">AE28-AD28</f>
        <v>0</v>
      </c>
      <c r="AG28" s="26" t="n">
        <v>4400</v>
      </c>
      <c r="AH28" s="26" t="n">
        <f aca="false">7741-4341+1000</f>
        <v>4400</v>
      </c>
      <c r="AI28" s="81" t="n">
        <f aca="false">AH28-AG28</f>
        <v>0</v>
      </c>
      <c r="AJ28" s="26" t="n">
        <v>3000</v>
      </c>
      <c r="AK28" s="26" t="n">
        <v>3000</v>
      </c>
      <c r="AL28" s="81" t="n">
        <f aca="false">AK28-AJ28</f>
        <v>0</v>
      </c>
      <c r="AM28" s="26" t="n">
        <v>10375</v>
      </c>
      <c r="AN28" s="26" t="n">
        <v>10375</v>
      </c>
      <c r="AO28" s="81" t="n">
        <f aca="false">AN28-AM28</f>
        <v>0</v>
      </c>
      <c r="AP28" s="26" t="n">
        <v>5000</v>
      </c>
      <c r="AQ28" s="26" t="n">
        <v>5000</v>
      </c>
      <c r="AR28" s="81" t="n">
        <f aca="false">AQ28-AP28</f>
        <v>0</v>
      </c>
      <c r="AS28" s="26"/>
      <c r="AT28" s="26"/>
      <c r="AU28" s="81" t="n">
        <f aca="false">AT28-AS28</f>
        <v>0</v>
      </c>
      <c r="AV28" s="26"/>
      <c r="AW28" s="26"/>
      <c r="AX28" s="81" t="n">
        <f aca="false">AW28-AV28</f>
        <v>0</v>
      </c>
      <c r="AY28" s="26"/>
      <c r="AZ28" s="26"/>
      <c r="BA28" s="81" t="n">
        <f aca="false">AZ28-AY28</f>
        <v>0</v>
      </c>
      <c r="BB28" s="26"/>
      <c r="BC28" s="26"/>
      <c r="BD28" s="81" t="n">
        <f aca="false">BC28-BB28</f>
        <v>0</v>
      </c>
      <c r="BE28" s="26"/>
      <c r="BF28" s="26"/>
      <c r="BG28" s="81" t="n">
        <f aca="false">BF28-BE28</f>
        <v>0</v>
      </c>
      <c r="BH28" s="26"/>
      <c r="BI28" s="26"/>
      <c r="BJ28" s="81" t="n">
        <f aca="false">BI28-BH28</f>
        <v>0</v>
      </c>
      <c r="BK28" s="26"/>
      <c r="BL28" s="26"/>
      <c r="BM28" s="81" t="n">
        <f aca="false">BL28-BK28</f>
        <v>0</v>
      </c>
      <c r="BN28" s="26"/>
      <c r="BO28" s="26"/>
      <c r="BP28" s="81" t="n">
        <f aca="false">BO28-BN28</f>
        <v>0</v>
      </c>
      <c r="BQ28" s="26"/>
      <c r="BR28" s="26"/>
      <c r="BS28" s="81" t="n">
        <f aca="false">BR28-BQ28</f>
        <v>0</v>
      </c>
      <c r="BT28" s="26"/>
      <c r="BU28" s="26"/>
      <c r="BV28" s="81" t="n">
        <f aca="false">BU28-BT28</f>
        <v>0</v>
      </c>
      <c r="BW28" s="26"/>
      <c r="BX28" s="26"/>
      <c r="BY28" s="81" t="n">
        <f aca="false">BX28-BW28</f>
        <v>0</v>
      </c>
      <c r="BZ28" s="26"/>
      <c r="CA28" s="26"/>
      <c r="CB28" s="81" t="n">
        <f aca="false">CA28-BZ28</f>
        <v>0</v>
      </c>
      <c r="CC28" s="26"/>
      <c r="CD28" s="26"/>
      <c r="CE28" s="81" t="n">
        <f aca="false">CD28-CC28</f>
        <v>0</v>
      </c>
      <c r="CF28" s="26"/>
      <c r="CG28" s="26"/>
      <c r="CH28" s="81" t="n">
        <f aca="false">CG28-CF28</f>
        <v>0</v>
      </c>
      <c r="CI28" s="26"/>
      <c r="CJ28" s="26"/>
      <c r="CK28" s="81" t="n">
        <f aca="false">CJ28-CI28</f>
        <v>0</v>
      </c>
      <c r="CL28" s="26"/>
      <c r="CM28" s="26"/>
      <c r="CN28" s="81" t="n">
        <f aca="false">CM28-CL28</f>
        <v>0</v>
      </c>
      <c r="CO28" s="26"/>
      <c r="CP28" s="26"/>
      <c r="CQ28" s="81" t="n">
        <f aca="false">CP28-CO28</f>
        <v>0</v>
      </c>
      <c r="CR28" s="26"/>
      <c r="CS28" s="26"/>
      <c r="CT28" s="81" t="n">
        <f aca="false">CS28-CR28</f>
        <v>0</v>
      </c>
      <c r="CU28" s="26"/>
      <c r="CV28" s="26"/>
      <c r="CW28" s="81" t="n">
        <f aca="false">CV28-CU28</f>
        <v>0</v>
      </c>
      <c r="CX28" s="26"/>
      <c r="CY28" s="26"/>
      <c r="CZ28" s="81" t="n">
        <f aca="false">CY28-CX28</f>
        <v>0</v>
      </c>
      <c r="DA28" s="26"/>
      <c r="DB28" s="26"/>
      <c r="DC28" s="81" t="n">
        <f aca="false">DB28-DA28</f>
        <v>0</v>
      </c>
      <c r="DD28" s="26"/>
      <c r="DE28" s="26"/>
      <c r="DF28" s="81" t="n">
        <f aca="false">DE28-DD28</f>
        <v>0</v>
      </c>
      <c r="DG28" s="26"/>
      <c r="DH28" s="26"/>
      <c r="DI28" s="81" t="n">
        <f aca="false">DH28-DG28</f>
        <v>0</v>
      </c>
      <c r="DJ28" s="26"/>
      <c r="DK28" s="26"/>
      <c r="DL28" s="81" t="n">
        <f aca="false">DK28-DJ28</f>
        <v>0</v>
      </c>
      <c r="DM28" s="26"/>
      <c r="DN28" s="26"/>
      <c r="DO28" s="81" t="n">
        <f aca="false">DN28-DM28</f>
        <v>0</v>
      </c>
      <c r="DP28" s="26"/>
      <c r="DQ28" s="26"/>
      <c r="DR28" s="81" t="n">
        <f aca="false">DQ28-DP28</f>
        <v>0</v>
      </c>
      <c r="DS28" s="81" t="n">
        <f aca="false">+C28+F28+I28+L28+O28+R28+U28+X28+AA28+AD28+AG28+AJ28+AM28+AP28+AS28+AV28+AY28+BB28+BE28+BH28+BK28+BN28+BQ28+BT28+BW28+BZ28+CC28+CF28+CI28+CL28+CO28+CR28+CU28+CX28+DA28+DD28+DG28+DJ28+DM28+DP28</f>
        <v>101953</v>
      </c>
      <c r="DT28" s="81" t="n">
        <f aca="false">+D28+G28+J28+M28+P28+S28+V28+Y28+AB28+AE28+AH28+AK28+AN28+AQ28+AT28+AW28+AZ28+BC28+BF28+BI28+BL28+BO28+BR28+BU28+BX28+CA28+CD28+CG28+CJ28+CM28+CP28+CS28+CV28+CY28+DB28+DE28+DH28+DK28+DN28+DQ28</f>
        <v>101953</v>
      </c>
      <c r="DU28" s="81" t="n">
        <f aca="false">DT28-DS28</f>
        <v>0</v>
      </c>
      <c r="DV28" s="111"/>
      <c r="DW28" s="87"/>
      <c r="DX28" s="87"/>
      <c r="DY28" s="111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</row>
    <row r="29" customFormat="false" ht="12.75" hidden="false" customHeight="false" outlineLevel="0" collapsed="false">
      <c r="A29" s="80" t="n">
        <f aca="false">A28+1</f>
        <v>36731</v>
      </c>
      <c r="B29" s="80" t="s">
        <v>91</v>
      </c>
      <c r="C29" s="26" t="n">
        <v>4178</v>
      </c>
      <c r="D29" s="26" t="n">
        <v>4178</v>
      </c>
      <c r="E29" s="81" t="n">
        <f aca="false">D29-C29</f>
        <v>0</v>
      </c>
      <c r="F29" s="26" t="n">
        <v>20000</v>
      </c>
      <c r="G29" s="26" t="n">
        <v>20000</v>
      </c>
      <c r="H29" s="81" t="n">
        <f aca="false">G29-F29</f>
        <v>0</v>
      </c>
      <c r="I29" s="26" t="n">
        <v>5000</v>
      </c>
      <c r="J29" s="26" t="n">
        <v>5000</v>
      </c>
      <c r="K29" s="81" t="n">
        <f aca="false">J29-I29</f>
        <v>0</v>
      </c>
      <c r="L29" s="26" t="n">
        <v>10000</v>
      </c>
      <c r="M29" s="26" t="n">
        <v>10000</v>
      </c>
      <c r="N29" s="81" t="n">
        <f aca="false">M29-L29</f>
        <v>0</v>
      </c>
      <c r="O29" s="26" t="n">
        <f aca="false">5000+5000</f>
        <v>10000</v>
      </c>
      <c r="P29" s="26" t="n">
        <v>10000</v>
      </c>
      <c r="Q29" s="81" t="n">
        <f aca="false">P29-O29</f>
        <v>0</v>
      </c>
      <c r="R29" s="26" t="n">
        <v>5000</v>
      </c>
      <c r="S29" s="26" t="n">
        <v>5000</v>
      </c>
      <c r="T29" s="81" t="n">
        <f aca="false">S29-R29</f>
        <v>0</v>
      </c>
      <c r="U29" s="26" t="n">
        <f aca="false">1000+4000</f>
        <v>5000</v>
      </c>
      <c r="V29" s="26" t="n">
        <f aca="false">1000+4000</f>
        <v>5000</v>
      </c>
      <c r="W29" s="81" t="n">
        <f aca="false">V29-U29</f>
        <v>0</v>
      </c>
      <c r="X29" s="26" t="n">
        <v>10000</v>
      </c>
      <c r="Y29" s="26" t="n">
        <v>10000</v>
      </c>
      <c r="Z29" s="81" t="n">
        <f aca="false">Y29-X29</f>
        <v>0</v>
      </c>
      <c r="AA29" s="26" t="n">
        <v>5000</v>
      </c>
      <c r="AB29" s="26" t="n">
        <v>5000</v>
      </c>
      <c r="AC29" s="81" t="n">
        <f aca="false">AB29-AA29</f>
        <v>0</v>
      </c>
      <c r="AD29" s="26" t="n">
        <v>5000</v>
      </c>
      <c r="AE29" s="26" t="n">
        <v>5000</v>
      </c>
      <c r="AF29" s="81" t="n">
        <f aca="false">AE29-AD29</f>
        <v>0</v>
      </c>
      <c r="AG29" s="26" t="n">
        <v>7741</v>
      </c>
      <c r="AH29" s="26" t="n">
        <v>7741</v>
      </c>
      <c r="AI29" s="81" t="n">
        <f aca="false">AH29-AG29</f>
        <v>0</v>
      </c>
      <c r="AJ29" s="26" t="n">
        <v>3000</v>
      </c>
      <c r="AK29" s="26" t="n">
        <v>3000</v>
      </c>
      <c r="AL29" s="81" t="n">
        <f aca="false">AK29-AJ29</f>
        <v>0</v>
      </c>
      <c r="AM29" s="26" t="n">
        <v>10375</v>
      </c>
      <c r="AN29" s="26" t="n">
        <v>10375</v>
      </c>
      <c r="AO29" s="81" t="n">
        <f aca="false">AN29-AM29</f>
        <v>0</v>
      </c>
      <c r="AP29" s="26" t="n">
        <v>5000</v>
      </c>
      <c r="AQ29" s="26" t="n">
        <v>5000</v>
      </c>
      <c r="AR29" s="81" t="n">
        <f aca="false">AQ29-AP29</f>
        <v>0</v>
      </c>
      <c r="AS29" s="26"/>
      <c r="AT29" s="26"/>
      <c r="AU29" s="81" t="n">
        <f aca="false">AT29-AS29</f>
        <v>0</v>
      </c>
      <c r="AV29" s="26"/>
      <c r="AW29" s="26"/>
      <c r="AX29" s="81" t="n">
        <f aca="false">AW29-AV29</f>
        <v>0</v>
      </c>
      <c r="AY29" s="26"/>
      <c r="AZ29" s="26"/>
      <c r="BA29" s="81" t="n">
        <f aca="false">AZ29-AY29</f>
        <v>0</v>
      </c>
      <c r="BB29" s="26"/>
      <c r="BC29" s="26"/>
      <c r="BD29" s="81" t="n">
        <f aca="false">BC29-BB29</f>
        <v>0</v>
      </c>
      <c r="BE29" s="26"/>
      <c r="BF29" s="26"/>
      <c r="BG29" s="81" t="n">
        <f aca="false">BF29-BE29</f>
        <v>0</v>
      </c>
      <c r="BH29" s="26"/>
      <c r="BI29" s="26"/>
      <c r="BJ29" s="81" t="n">
        <f aca="false">BI29-BH29</f>
        <v>0</v>
      </c>
      <c r="BK29" s="26"/>
      <c r="BL29" s="26"/>
      <c r="BM29" s="81" t="n">
        <f aca="false">BL29-BK29</f>
        <v>0</v>
      </c>
      <c r="BN29" s="26"/>
      <c r="BO29" s="26"/>
      <c r="BP29" s="81" t="n">
        <f aca="false">BO29-BN29</f>
        <v>0</v>
      </c>
      <c r="BQ29" s="26"/>
      <c r="BR29" s="26"/>
      <c r="BS29" s="81" t="n">
        <f aca="false">BR29-BQ29</f>
        <v>0</v>
      </c>
      <c r="BT29" s="26"/>
      <c r="BU29" s="26"/>
      <c r="BV29" s="81" t="n">
        <f aca="false">BU29-BT29</f>
        <v>0</v>
      </c>
      <c r="BW29" s="26"/>
      <c r="BX29" s="26"/>
      <c r="BY29" s="81" t="n">
        <f aca="false">BX29-BW29</f>
        <v>0</v>
      </c>
      <c r="BZ29" s="26"/>
      <c r="CA29" s="26"/>
      <c r="CB29" s="81" t="n">
        <f aca="false">CA29-BZ29</f>
        <v>0</v>
      </c>
      <c r="CC29" s="26"/>
      <c r="CD29" s="26"/>
      <c r="CE29" s="81" t="n">
        <f aca="false">CD29-CC29</f>
        <v>0</v>
      </c>
      <c r="CF29" s="26"/>
      <c r="CG29" s="26"/>
      <c r="CH29" s="81" t="n">
        <f aca="false">CG29-CF29</f>
        <v>0</v>
      </c>
      <c r="CI29" s="26"/>
      <c r="CJ29" s="26"/>
      <c r="CK29" s="81" t="n">
        <f aca="false">CJ29-CI29</f>
        <v>0</v>
      </c>
      <c r="CL29" s="26"/>
      <c r="CM29" s="26"/>
      <c r="CN29" s="81" t="n">
        <f aca="false">CM29-CL29</f>
        <v>0</v>
      </c>
      <c r="CO29" s="26"/>
      <c r="CP29" s="26"/>
      <c r="CQ29" s="81" t="n">
        <f aca="false">CP29-CO29</f>
        <v>0</v>
      </c>
      <c r="CR29" s="26"/>
      <c r="CS29" s="26"/>
      <c r="CT29" s="81" t="n">
        <f aca="false">CS29-CR29</f>
        <v>0</v>
      </c>
      <c r="CU29" s="26"/>
      <c r="CV29" s="26"/>
      <c r="CW29" s="81" t="n">
        <f aca="false">CV29-CU29</f>
        <v>0</v>
      </c>
      <c r="CX29" s="26"/>
      <c r="CY29" s="26"/>
      <c r="CZ29" s="81" t="n">
        <f aca="false">CY29-CX29</f>
        <v>0</v>
      </c>
      <c r="DA29" s="26"/>
      <c r="DB29" s="26"/>
      <c r="DC29" s="81" t="n">
        <f aca="false">DB29-DA29</f>
        <v>0</v>
      </c>
      <c r="DD29" s="26"/>
      <c r="DE29" s="26"/>
      <c r="DF29" s="81" t="n">
        <f aca="false">DE29-DD29</f>
        <v>0</v>
      </c>
      <c r="DG29" s="26"/>
      <c r="DH29" s="26"/>
      <c r="DI29" s="81" t="n">
        <f aca="false">DH29-DG29</f>
        <v>0</v>
      </c>
      <c r="DJ29" s="26"/>
      <c r="DK29" s="26"/>
      <c r="DL29" s="81" t="n">
        <f aca="false">DK29-DJ29</f>
        <v>0</v>
      </c>
      <c r="DM29" s="26"/>
      <c r="DN29" s="26"/>
      <c r="DO29" s="81" t="n">
        <f aca="false">DN29-DM29</f>
        <v>0</v>
      </c>
      <c r="DP29" s="26"/>
      <c r="DQ29" s="26"/>
      <c r="DR29" s="81" t="n">
        <f aca="false">DQ29-DP29</f>
        <v>0</v>
      </c>
      <c r="DS29" s="81" t="n">
        <f aca="false">+C29+F29+I29+L29+O29+R29+U29+X29+AA29+AD29+AG29+AJ29+AM29+AP29+AS29+AV29+AY29+BB29+BE29+BH29+BK29+BN29+BQ29+BT29+BW29+BZ29+CC29+CF29+CI29+CL29+CO29+CR29+CU29+CX29+DA29+DD29+DG29+DJ29+DM29+DP29</f>
        <v>105294</v>
      </c>
      <c r="DT29" s="81" t="n">
        <f aca="false">+D29+G29+J29+M29+P29+S29+V29+Y29+AB29+AE29+AH29+AK29+AN29+AQ29+AT29+AW29+AZ29+BC29+BF29+BI29+BL29+BO29+BR29+BU29+BX29+CA29+CD29+CG29+CJ29+CM29+CP29+CS29+CV29+CY29+DB29+DE29+DH29+DK29+DN29+DQ29</f>
        <v>105294</v>
      </c>
      <c r="DU29" s="81" t="n">
        <f aca="false">DT29-DS29</f>
        <v>0</v>
      </c>
      <c r="DV29" s="111"/>
      <c r="DW29" s="87"/>
      <c r="DX29" s="87"/>
      <c r="DY29" s="111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</row>
    <row r="30" customFormat="false" ht="12.75" hidden="false" customHeight="false" outlineLevel="0" collapsed="false">
      <c r="A30" s="80" t="n">
        <f aca="false">A29+1</f>
        <v>36732</v>
      </c>
      <c r="B30" s="80" t="s">
        <v>92</v>
      </c>
      <c r="C30" s="26" t="n">
        <v>4178</v>
      </c>
      <c r="D30" s="26" t="n">
        <v>4178</v>
      </c>
      <c r="E30" s="81" t="n">
        <f aca="false">D30-C30</f>
        <v>0</v>
      </c>
      <c r="F30" s="26" t="n">
        <v>20000</v>
      </c>
      <c r="G30" s="26" t="n">
        <v>20000</v>
      </c>
      <c r="H30" s="81" t="n">
        <f aca="false">G30-F30</f>
        <v>0</v>
      </c>
      <c r="I30" s="26" t="n">
        <v>5000</v>
      </c>
      <c r="J30" s="26" t="n">
        <v>5000</v>
      </c>
      <c r="K30" s="81" t="n">
        <f aca="false">J30-I30</f>
        <v>0</v>
      </c>
      <c r="L30" s="26" t="n">
        <v>10000</v>
      </c>
      <c r="M30" s="26" t="n">
        <v>10000</v>
      </c>
      <c r="N30" s="81" t="n">
        <f aca="false">M30-L30</f>
        <v>0</v>
      </c>
      <c r="O30" s="26" t="n">
        <f aca="false">5000+5000</f>
        <v>10000</v>
      </c>
      <c r="P30" s="26" t="n">
        <v>10000</v>
      </c>
      <c r="Q30" s="81" t="n">
        <f aca="false">P30-O30</f>
        <v>0</v>
      </c>
      <c r="R30" s="26" t="n">
        <v>5000</v>
      </c>
      <c r="S30" s="26" t="n">
        <v>5000</v>
      </c>
      <c r="T30" s="81" t="n">
        <f aca="false">S30-R30</f>
        <v>0</v>
      </c>
      <c r="U30" s="26" t="n">
        <f aca="false">1000+4000</f>
        <v>5000</v>
      </c>
      <c r="V30" s="26" t="n">
        <f aca="false">1000+4000</f>
        <v>5000</v>
      </c>
      <c r="W30" s="81" t="n">
        <f aca="false">V30-U30</f>
        <v>0</v>
      </c>
      <c r="X30" s="26" t="n">
        <v>10000</v>
      </c>
      <c r="Y30" s="26" t="n">
        <v>10000</v>
      </c>
      <c r="Z30" s="81" t="n">
        <f aca="false">Y30-X30</f>
        <v>0</v>
      </c>
      <c r="AA30" s="26" t="n">
        <v>5000</v>
      </c>
      <c r="AB30" s="26" t="n">
        <v>5000</v>
      </c>
      <c r="AC30" s="81" t="n">
        <f aca="false">AB30-AA30</f>
        <v>0</v>
      </c>
      <c r="AD30" s="26" t="n">
        <v>5000</v>
      </c>
      <c r="AE30" s="26" t="n">
        <v>5000</v>
      </c>
      <c r="AF30" s="81" t="n">
        <f aca="false">AE30-AD30</f>
        <v>0</v>
      </c>
      <c r="AG30" s="26" t="n">
        <v>7741</v>
      </c>
      <c r="AH30" s="26" t="n">
        <v>7741</v>
      </c>
      <c r="AI30" s="81" t="n">
        <f aca="false">AH30-AG30</f>
        <v>0</v>
      </c>
      <c r="AJ30" s="26" t="n">
        <v>3000</v>
      </c>
      <c r="AK30" s="26" t="n">
        <v>3000</v>
      </c>
      <c r="AL30" s="81" t="n">
        <f aca="false">AK30-AJ30</f>
        <v>0</v>
      </c>
      <c r="AM30" s="26" t="n">
        <v>10375</v>
      </c>
      <c r="AN30" s="26" t="n">
        <v>10375</v>
      </c>
      <c r="AO30" s="81" t="n">
        <f aca="false">AN30-AM30</f>
        <v>0</v>
      </c>
      <c r="AP30" s="26" t="n">
        <v>5000</v>
      </c>
      <c r="AQ30" s="26" t="n">
        <v>5000</v>
      </c>
      <c r="AR30" s="81" t="n">
        <f aca="false">AQ30-AP30</f>
        <v>0</v>
      </c>
      <c r="AS30" s="26"/>
      <c r="AT30" s="26"/>
      <c r="AU30" s="81" t="n">
        <f aca="false">AT30-AS30</f>
        <v>0</v>
      </c>
      <c r="AV30" s="26"/>
      <c r="AW30" s="26"/>
      <c r="AX30" s="81" t="n">
        <f aca="false">AW30-AV30</f>
        <v>0</v>
      </c>
      <c r="AY30" s="26"/>
      <c r="AZ30" s="26"/>
      <c r="BA30" s="81" t="n">
        <f aca="false">AZ30-AY30</f>
        <v>0</v>
      </c>
      <c r="BB30" s="26"/>
      <c r="BC30" s="26"/>
      <c r="BD30" s="81" t="n">
        <f aca="false">BC30-BB30</f>
        <v>0</v>
      </c>
      <c r="BE30" s="26"/>
      <c r="BF30" s="26"/>
      <c r="BG30" s="81" t="n">
        <f aca="false">BF30-BE30</f>
        <v>0</v>
      </c>
      <c r="BH30" s="26"/>
      <c r="BI30" s="26"/>
      <c r="BJ30" s="81" t="n">
        <f aca="false">BI30-BH30</f>
        <v>0</v>
      </c>
      <c r="BK30" s="26"/>
      <c r="BL30" s="26"/>
      <c r="BM30" s="81" t="n">
        <f aca="false">BL30-BK30</f>
        <v>0</v>
      </c>
      <c r="BN30" s="26"/>
      <c r="BO30" s="26"/>
      <c r="BP30" s="81" t="n">
        <f aca="false">BO30-BN30</f>
        <v>0</v>
      </c>
      <c r="BQ30" s="26"/>
      <c r="BR30" s="26"/>
      <c r="BS30" s="81" t="n">
        <f aca="false">BR30-BQ30</f>
        <v>0</v>
      </c>
      <c r="BT30" s="26"/>
      <c r="BU30" s="26"/>
      <c r="BV30" s="81" t="n">
        <f aca="false">BU30-BT30</f>
        <v>0</v>
      </c>
      <c r="BW30" s="26"/>
      <c r="BX30" s="26"/>
      <c r="BY30" s="81" t="n">
        <f aca="false">BX30-BW30</f>
        <v>0</v>
      </c>
      <c r="BZ30" s="26"/>
      <c r="CA30" s="26"/>
      <c r="CB30" s="81" t="n">
        <f aca="false">CA30-BZ30</f>
        <v>0</v>
      </c>
      <c r="CC30" s="26"/>
      <c r="CD30" s="26"/>
      <c r="CE30" s="81" t="n">
        <f aca="false">CD30-CC30</f>
        <v>0</v>
      </c>
      <c r="CF30" s="26"/>
      <c r="CG30" s="26"/>
      <c r="CH30" s="81" t="n">
        <f aca="false">CG30-CF30</f>
        <v>0</v>
      </c>
      <c r="CI30" s="26"/>
      <c r="CJ30" s="26"/>
      <c r="CK30" s="81" t="n">
        <f aca="false">CJ30-CI30</f>
        <v>0</v>
      </c>
      <c r="CL30" s="26"/>
      <c r="CM30" s="26"/>
      <c r="CN30" s="81" t="n">
        <f aca="false">CM30-CL30</f>
        <v>0</v>
      </c>
      <c r="CO30" s="26"/>
      <c r="CP30" s="26"/>
      <c r="CQ30" s="81" t="n">
        <f aca="false">CP30-CO30</f>
        <v>0</v>
      </c>
      <c r="CR30" s="26"/>
      <c r="CS30" s="26"/>
      <c r="CT30" s="81" t="n">
        <f aca="false">CS30-CR30</f>
        <v>0</v>
      </c>
      <c r="CU30" s="26"/>
      <c r="CV30" s="26"/>
      <c r="CW30" s="81" t="n">
        <f aca="false">CV30-CU30</f>
        <v>0</v>
      </c>
      <c r="CX30" s="26"/>
      <c r="CY30" s="26"/>
      <c r="CZ30" s="81" t="n">
        <f aca="false">CY30-CX30</f>
        <v>0</v>
      </c>
      <c r="DA30" s="26"/>
      <c r="DB30" s="26"/>
      <c r="DC30" s="81" t="n">
        <f aca="false">DB30-DA30</f>
        <v>0</v>
      </c>
      <c r="DD30" s="26"/>
      <c r="DE30" s="26"/>
      <c r="DF30" s="81" t="n">
        <f aca="false">DE30-DD30</f>
        <v>0</v>
      </c>
      <c r="DG30" s="26"/>
      <c r="DH30" s="26"/>
      <c r="DI30" s="81" t="n">
        <f aca="false">DH30-DG30</f>
        <v>0</v>
      </c>
      <c r="DJ30" s="26"/>
      <c r="DK30" s="26"/>
      <c r="DL30" s="81" t="n">
        <f aca="false">DK30-DJ30</f>
        <v>0</v>
      </c>
      <c r="DM30" s="26"/>
      <c r="DN30" s="26"/>
      <c r="DO30" s="81" t="n">
        <f aca="false">DN30-DM30</f>
        <v>0</v>
      </c>
      <c r="DP30" s="26"/>
      <c r="DQ30" s="26"/>
      <c r="DR30" s="81" t="n">
        <f aca="false">DQ30-DP30</f>
        <v>0</v>
      </c>
      <c r="DS30" s="81" t="n">
        <f aca="false">+C30+F30+I30+L30+O30+R30+U30+X30+AA30+AD30+AG30+AJ30+AM30+AP30+AS30+AV30+AY30+BB30+BE30+BH30+BK30+BN30+BQ30+BT30+BW30+BZ30+CC30+CF30+CI30+CL30+CO30+CR30+CU30+CX30+DA30+DD30+DG30+DJ30+DM30+DP30</f>
        <v>105294</v>
      </c>
      <c r="DT30" s="81" t="n">
        <f aca="false">+D30+G30+J30+M30+P30+S30+V30+Y30+AB30+AE30+AH30+AK30+AN30+AQ30+AT30+AW30+AZ30+BC30+BF30+BI30+BL30+BO30+BR30+BU30+BX30+CA30+CD30+CG30+CJ30+CM30+CP30+CS30+CV30+CY30+DB30+DE30+DH30+DK30+DN30+DQ30</f>
        <v>105294</v>
      </c>
      <c r="DU30" s="81" t="n">
        <f aca="false">DT30-DS30</f>
        <v>0</v>
      </c>
      <c r="DV30" s="111"/>
      <c r="DW30" s="87"/>
      <c r="DX30" s="87"/>
      <c r="DY30" s="111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</row>
    <row r="31" customFormat="false" ht="12.75" hidden="false" customHeight="false" outlineLevel="0" collapsed="false">
      <c r="A31" s="80" t="n">
        <f aca="false">A30+1</f>
        <v>36733</v>
      </c>
      <c r="B31" s="80" t="s">
        <v>93</v>
      </c>
      <c r="C31" s="26" t="n">
        <v>4178</v>
      </c>
      <c r="D31" s="26" t="n">
        <v>4178</v>
      </c>
      <c r="E31" s="81" t="n">
        <f aca="false">D31-C31</f>
        <v>0</v>
      </c>
      <c r="F31" s="26" t="n">
        <v>20000</v>
      </c>
      <c r="G31" s="26" t="n">
        <v>20000</v>
      </c>
      <c r="H31" s="81" t="n">
        <f aca="false">G31-F31</f>
        <v>0</v>
      </c>
      <c r="I31" s="26" t="n">
        <v>5000</v>
      </c>
      <c r="J31" s="26" t="n">
        <v>5000</v>
      </c>
      <c r="K31" s="81" t="n">
        <f aca="false">J31-I31</f>
        <v>0</v>
      </c>
      <c r="L31" s="26" t="n">
        <v>10000</v>
      </c>
      <c r="M31" s="26" t="n">
        <v>10000</v>
      </c>
      <c r="N31" s="81" t="n">
        <f aca="false">M31-L31</f>
        <v>0</v>
      </c>
      <c r="O31" s="26" t="n">
        <f aca="false">5000+5000</f>
        <v>10000</v>
      </c>
      <c r="P31" s="26" t="n">
        <v>10000</v>
      </c>
      <c r="Q31" s="81" t="n">
        <f aca="false">P31-O31</f>
        <v>0</v>
      </c>
      <c r="R31" s="26" t="n">
        <v>5000</v>
      </c>
      <c r="S31" s="26" t="n">
        <v>5000</v>
      </c>
      <c r="T31" s="81" t="n">
        <f aca="false">S31-R31</f>
        <v>0</v>
      </c>
      <c r="U31" s="26" t="n">
        <f aca="false">1000+4000</f>
        <v>5000</v>
      </c>
      <c r="V31" s="26" t="n">
        <f aca="false">1000+4000</f>
        <v>5000</v>
      </c>
      <c r="W31" s="81" t="n">
        <f aca="false">V31-U31</f>
        <v>0</v>
      </c>
      <c r="X31" s="26" t="n">
        <v>10000</v>
      </c>
      <c r="Y31" s="26" t="n">
        <v>10000</v>
      </c>
      <c r="Z31" s="81" t="n">
        <f aca="false">Y31-X31</f>
        <v>0</v>
      </c>
      <c r="AA31" s="26" t="n">
        <v>5000</v>
      </c>
      <c r="AB31" s="26" t="n">
        <v>5000</v>
      </c>
      <c r="AC31" s="81" t="n">
        <f aca="false">AB31-AA31</f>
        <v>0</v>
      </c>
      <c r="AD31" s="26" t="n">
        <v>5000</v>
      </c>
      <c r="AE31" s="26" t="n">
        <v>5000</v>
      </c>
      <c r="AF31" s="81" t="n">
        <f aca="false">AE31-AD31</f>
        <v>0</v>
      </c>
      <c r="AG31" s="26" t="n">
        <v>7741</v>
      </c>
      <c r="AH31" s="26" t="n">
        <v>7741</v>
      </c>
      <c r="AI31" s="81" t="n">
        <f aca="false">AH31-AG31</f>
        <v>0</v>
      </c>
      <c r="AJ31" s="26" t="n">
        <v>3000</v>
      </c>
      <c r="AK31" s="26" t="n">
        <v>3000</v>
      </c>
      <c r="AL31" s="81" t="n">
        <f aca="false">AK31-AJ31</f>
        <v>0</v>
      </c>
      <c r="AM31" s="26" t="n">
        <v>10375</v>
      </c>
      <c r="AN31" s="26" t="n">
        <v>10375</v>
      </c>
      <c r="AO31" s="81" t="n">
        <f aca="false">AN31-AM31</f>
        <v>0</v>
      </c>
      <c r="AP31" s="26" t="n">
        <v>5000</v>
      </c>
      <c r="AQ31" s="26" t="n">
        <v>5000</v>
      </c>
      <c r="AR31" s="81" t="n">
        <f aca="false">AQ31-AP31</f>
        <v>0</v>
      </c>
      <c r="AS31" s="26"/>
      <c r="AT31" s="26"/>
      <c r="AU31" s="81" t="n">
        <f aca="false">AT31-AS31</f>
        <v>0</v>
      </c>
      <c r="AV31" s="26"/>
      <c r="AW31" s="26"/>
      <c r="AX31" s="81" t="n">
        <f aca="false">AW31-AV31</f>
        <v>0</v>
      </c>
      <c r="AY31" s="26"/>
      <c r="AZ31" s="26"/>
      <c r="BA31" s="81" t="n">
        <f aca="false">AZ31-AY31</f>
        <v>0</v>
      </c>
      <c r="BB31" s="26"/>
      <c r="BC31" s="26"/>
      <c r="BD31" s="81" t="n">
        <f aca="false">BC31-BB31</f>
        <v>0</v>
      </c>
      <c r="BE31" s="26"/>
      <c r="BF31" s="26"/>
      <c r="BG31" s="81" t="n">
        <f aca="false">BF31-BE31</f>
        <v>0</v>
      </c>
      <c r="BH31" s="26"/>
      <c r="BI31" s="26"/>
      <c r="BJ31" s="81" t="n">
        <f aca="false">BI31-BH31</f>
        <v>0</v>
      </c>
      <c r="BK31" s="26"/>
      <c r="BL31" s="26"/>
      <c r="BM31" s="81" t="n">
        <f aca="false">BL31-BK31</f>
        <v>0</v>
      </c>
      <c r="BN31" s="26"/>
      <c r="BO31" s="26"/>
      <c r="BP31" s="81" t="n">
        <f aca="false">BO31-BN31</f>
        <v>0</v>
      </c>
      <c r="BQ31" s="26"/>
      <c r="BR31" s="26"/>
      <c r="BS31" s="81" t="n">
        <f aca="false">BR31-BQ31</f>
        <v>0</v>
      </c>
      <c r="BT31" s="26"/>
      <c r="BU31" s="26"/>
      <c r="BV31" s="81" t="n">
        <f aca="false">BU31-BT31</f>
        <v>0</v>
      </c>
      <c r="BW31" s="26"/>
      <c r="BX31" s="26"/>
      <c r="BY31" s="81" t="n">
        <f aca="false">BX31-BW31</f>
        <v>0</v>
      </c>
      <c r="BZ31" s="26"/>
      <c r="CA31" s="26"/>
      <c r="CB31" s="81" t="n">
        <f aca="false">CA31-BZ31</f>
        <v>0</v>
      </c>
      <c r="CC31" s="26"/>
      <c r="CD31" s="26"/>
      <c r="CE31" s="81" t="n">
        <f aca="false">CD31-CC31</f>
        <v>0</v>
      </c>
      <c r="CF31" s="26"/>
      <c r="CG31" s="26"/>
      <c r="CH31" s="81" t="n">
        <f aca="false">CG31-CF31</f>
        <v>0</v>
      </c>
      <c r="CI31" s="26"/>
      <c r="CJ31" s="26"/>
      <c r="CK31" s="81" t="n">
        <f aca="false">CJ31-CI31</f>
        <v>0</v>
      </c>
      <c r="CL31" s="26"/>
      <c r="CM31" s="26"/>
      <c r="CN31" s="81" t="n">
        <f aca="false">CM31-CL31</f>
        <v>0</v>
      </c>
      <c r="CO31" s="26"/>
      <c r="CP31" s="26"/>
      <c r="CQ31" s="81" t="n">
        <f aca="false">CP31-CO31</f>
        <v>0</v>
      </c>
      <c r="CR31" s="26"/>
      <c r="CS31" s="26"/>
      <c r="CT31" s="81" t="n">
        <f aca="false">CS31-CR31</f>
        <v>0</v>
      </c>
      <c r="CU31" s="26"/>
      <c r="CV31" s="26"/>
      <c r="CW31" s="81" t="n">
        <f aca="false">CV31-CU31</f>
        <v>0</v>
      </c>
      <c r="CX31" s="26"/>
      <c r="CY31" s="26"/>
      <c r="CZ31" s="81" t="n">
        <f aca="false">CY31-CX31</f>
        <v>0</v>
      </c>
      <c r="DA31" s="26"/>
      <c r="DB31" s="26"/>
      <c r="DC31" s="81" t="n">
        <f aca="false">DB31-DA31</f>
        <v>0</v>
      </c>
      <c r="DD31" s="26"/>
      <c r="DE31" s="26"/>
      <c r="DF31" s="81" t="n">
        <f aca="false">DE31-DD31</f>
        <v>0</v>
      </c>
      <c r="DG31" s="26"/>
      <c r="DH31" s="26"/>
      <c r="DI31" s="81" t="n">
        <f aca="false">DH31-DG31</f>
        <v>0</v>
      </c>
      <c r="DJ31" s="26"/>
      <c r="DK31" s="26"/>
      <c r="DL31" s="81" t="n">
        <f aca="false">DK31-DJ31</f>
        <v>0</v>
      </c>
      <c r="DM31" s="26"/>
      <c r="DN31" s="26"/>
      <c r="DO31" s="81" t="n">
        <f aca="false">DN31-DM31</f>
        <v>0</v>
      </c>
      <c r="DP31" s="26"/>
      <c r="DQ31" s="26"/>
      <c r="DR31" s="81" t="n">
        <f aca="false">DQ31-DP31</f>
        <v>0</v>
      </c>
      <c r="DS31" s="81" t="n">
        <f aca="false">+C31+F31+I31+L31+O31+R31+U31+X31+AA31+AD31+AG31+AJ31+AM31+AP31+AS31+AV31+AY31+BB31+BE31+BH31+BK31+BN31+BQ31+BT31+BW31+BZ31+CC31+CF31+CI31+CL31+CO31+CR31+CU31+CX31+DA31+DD31+DG31+DJ31+DM31+DP31</f>
        <v>105294</v>
      </c>
      <c r="DT31" s="81" t="n">
        <f aca="false">+D31+G31+J31+M31+P31+S31+V31+Y31+AB31+AE31+AH31+AK31+AN31+AQ31+AT31+AW31+AZ31+BC31+BF31+BI31+BL31+BO31+BR31+BU31+BX31+CA31+CD31+CG31+CJ31+CM31+CP31+CS31+CV31+CY31+DB31+DE31+DH31+DK31+DN31+DQ31</f>
        <v>105294</v>
      </c>
      <c r="DU31" s="81" t="n">
        <f aca="false">DT31-DS31</f>
        <v>0</v>
      </c>
      <c r="DV31" s="111"/>
      <c r="DW31" s="87"/>
      <c r="DX31" s="87"/>
      <c r="DY31" s="111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</row>
    <row r="32" customFormat="false" ht="12.75" hidden="false" customHeight="false" outlineLevel="0" collapsed="false">
      <c r="A32" s="80" t="n">
        <f aca="false">A31+1</f>
        <v>36734</v>
      </c>
      <c r="B32" s="80" t="s">
        <v>94</v>
      </c>
      <c r="C32" s="26" t="n">
        <v>4178</v>
      </c>
      <c r="D32" s="26" t="n">
        <v>4178</v>
      </c>
      <c r="E32" s="81" t="n">
        <f aca="false">D32-C32</f>
        <v>0</v>
      </c>
      <c r="F32" s="26" t="n">
        <v>20000</v>
      </c>
      <c r="G32" s="26" t="n">
        <v>20000</v>
      </c>
      <c r="H32" s="81" t="n">
        <f aca="false">G32-F32</f>
        <v>0</v>
      </c>
      <c r="I32" s="26" t="n">
        <v>5000</v>
      </c>
      <c r="J32" s="26" t="n">
        <v>5000</v>
      </c>
      <c r="K32" s="81" t="n">
        <f aca="false">J32-I32</f>
        <v>0</v>
      </c>
      <c r="L32" s="26" t="n">
        <v>10000</v>
      </c>
      <c r="M32" s="26" t="n">
        <v>10000</v>
      </c>
      <c r="N32" s="81" t="n">
        <f aca="false">M32-L32</f>
        <v>0</v>
      </c>
      <c r="O32" s="26" t="n">
        <f aca="false">5000+5000</f>
        <v>10000</v>
      </c>
      <c r="P32" s="26" t="n">
        <v>10000</v>
      </c>
      <c r="Q32" s="81" t="n">
        <f aca="false">P32-O32</f>
        <v>0</v>
      </c>
      <c r="R32" s="26" t="n">
        <v>5000</v>
      </c>
      <c r="S32" s="26" t="n">
        <v>5000</v>
      </c>
      <c r="T32" s="81" t="n">
        <f aca="false">S32-R32</f>
        <v>0</v>
      </c>
      <c r="U32" s="26" t="n">
        <f aca="false">1000+4000</f>
        <v>5000</v>
      </c>
      <c r="V32" s="26" t="n">
        <f aca="false">1000+4000</f>
        <v>5000</v>
      </c>
      <c r="W32" s="81" t="n">
        <f aca="false">V32-U32</f>
        <v>0</v>
      </c>
      <c r="X32" s="26" t="n">
        <v>10000</v>
      </c>
      <c r="Y32" s="26" t="n">
        <v>10000</v>
      </c>
      <c r="Z32" s="81" t="n">
        <f aca="false">Y32-X32</f>
        <v>0</v>
      </c>
      <c r="AA32" s="26" t="n">
        <v>5000</v>
      </c>
      <c r="AB32" s="26" t="n">
        <v>5000</v>
      </c>
      <c r="AC32" s="81" t="n">
        <f aca="false">AB32-AA32</f>
        <v>0</v>
      </c>
      <c r="AD32" s="26" t="n">
        <v>5000</v>
      </c>
      <c r="AE32" s="26" t="n">
        <v>5000</v>
      </c>
      <c r="AF32" s="81" t="n">
        <f aca="false">AE32-AD32</f>
        <v>0</v>
      </c>
      <c r="AG32" s="26" t="n">
        <v>7741</v>
      </c>
      <c r="AH32" s="26" t="n">
        <v>7281</v>
      </c>
      <c r="AI32" s="81" t="n">
        <f aca="false">AH32-AG32</f>
        <v>-460</v>
      </c>
      <c r="AJ32" s="26" t="n">
        <v>3000</v>
      </c>
      <c r="AK32" s="26" t="n">
        <v>3000</v>
      </c>
      <c r="AL32" s="81" t="n">
        <f aca="false">AK32-AJ32</f>
        <v>0</v>
      </c>
      <c r="AM32" s="26" t="n">
        <v>10375</v>
      </c>
      <c r="AN32" s="26" t="n">
        <v>10375</v>
      </c>
      <c r="AO32" s="81" t="n">
        <f aca="false">AN32-AM32</f>
        <v>0</v>
      </c>
      <c r="AP32" s="26" t="n">
        <v>5000</v>
      </c>
      <c r="AQ32" s="26" t="n">
        <v>5000</v>
      </c>
      <c r="AR32" s="81" t="n">
        <f aca="false">AQ32-AP32</f>
        <v>0</v>
      </c>
      <c r="AS32" s="26"/>
      <c r="AT32" s="26"/>
      <c r="AU32" s="81" t="n">
        <f aca="false">AT32-AS32</f>
        <v>0</v>
      </c>
      <c r="AV32" s="26"/>
      <c r="AW32" s="26"/>
      <c r="AX32" s="81" t="n">
        <f aca="false">AW32-AV32</f>
        <v>0</v>
      </c>
      <c r="AY32" s="26"/>
      <c r="AZ32" s="26"/>
      <c r="BA32" s="81" t="n">
        <f aca="false">AZ32-AY32</f>
        <v>0</v>
      </c>
      <c r="BB32" s="26"/>
      <c r="BC32" s="26"/>
      <c r="BD32" s="81" t="n">
        <f aca="false">BC32-BB32</f>
        <v>0</v>
      </c>
      <c r="BE32" s="26"/>
      <c r="BF32" s="26"/>
      <c r="BG32" s="81" t="n">
        <f aca="false">BF32-BE32</f>
        <v>0</v>
      </c>
      <c r="BH32" s="26"/>
      <c r="BI32" s="26"/>
      <c r="BJ32" s="81" t="n">
        <f aca="false">BI32-BH32</f>
        <v>0</v>
      </c>
      <c r="BK32" s="26"/>
      <c r="BL32" s="26"/>
      <c r="BM32" s="81" t="n">
        <f aca="false">BL32-BK32</f>
        <v>0</v>
      </c>
      <c r="BN32" s="26"/>
      <c r="BO32" s="26"/>
      <c r="BP32" s="81" t="n">
        <f aca="false">BO32-BN32</f>
        <v>0</v>
      </c>
      <c r="BQ32" s="26"/>
      <c r="BR32" s="26"/>
      <c r="BS32" s="81" t="n">
        <f aca="false">BR32-BQ32</f>
        <v>0</v>
      </c>
      <c r="BT32" s="26"/>
      <c r="BU32" s="26"/>
      <c r="BV32" s="81" t="n">
        <f aca="false">BU32-BT32</f>
        <v>0</v>
      </c>
      <c r="BW32" s="26"/>
      <c r="BX32" s="26"/>
      <c r="BY32" s="81" t="n">
        <f aca="false">BX32-BW32</f>
        <v>0</v>
      </c>
      <c r="BZ32" s="26"/>
      <c r="CA32" s="26"/>
      <c r="CB32" s="81" t="n">
        <f aca="false">CA32-BZ32</f>
        <v>0</v>
      </c>
      <c r="CC32" s="26"/>
      <c r="CD32" s="26"/>
      <c r="CE32" s="81" t="n">
        <f aca="false">CD32-CC32</f>
        <v>0</v>
      </c>
      <c r="CF32" s="26"/>
      <c r="CG32" s="26"/>
      <c r="CH32" s="81" t="n">
        <f aca="false">CG32-CF32</f>
        <v>0</v>
      </c>
      <c r="CI32" s="26"/>
      <c r="CJ32" s="26"/>
      <c r="CK32" s="81" t="n">
        <f aca="false">CJ32-CI32</f>
        <v>0</v>
      </c>
      <c r="CL32" s="26"/>
      <c r="CM32" s="26"/>
      <c r="CN32" s="81" t="n">
        <f aca="false">CM32-CL32</f>
        <v>0</v>
      </c>
      <c r="CO32" s="26"/>
      <c r="CP32" s="26"/>
      <c r="CQ32" s="81" t="n">
        <f aca="false">CP32-CO32</f>
        <v>0</v>
      </c>
      <c r="CR32" s="26"/>
      <c r="CS32" s="26"/>
      <c r="CT32" s="81" t="n">
        <f aca="false">CS32-CR32</f>
        <v>0</v>
      </c>
      <c r="CU32" s="26"/>
      <c r="CV32" s="26"/>
      <c r="CW32" s="81" t="n">
        <f aca="false">CV32-CU32</f>
        <v>0</v>
      </c>
      <c r="CX32" s="26"/>
      <c r="CY32" s="26"/>
      <c r="CZ32" s="81" t="n">
        <f aca="false">CY32-CX32</f>
        <v>0</v>
      </c>
      <c r="DA32" s="26"/>
      <c r="DB32" s="26"/>
      <c r="DC32" s="81" t="n">
        <f aca="false">DB32-DA32</f>
        <v>0</v>
      </c>
      <c r="DD32" s="26"/>
      <c r="DE32" s="26"/>
      <c r="DF32" s="81" t="n">
        <f aca="false">DE32-DD32</f>
        <v>0</v>
      </c>
      <c r="DG32" s="26"/>
      <c r="DH32" s="26"/>
      <c r="DI32" s="81" t="n">
        <f aca="false">DH32-DG32</f>
        <v>0</v>
      </c>
      <c r="DJ32" s="26"/>
      <c r="DK32" s="26"/>
      <c r="DL32" s="81" t="n">
        <f aca="false">DK32-DJ32</f>
        <v>0</v>
      </c>
      <c r="DM32" s="26"/>
      <c r="DN32" s="26"/>
      <c r="DO32" s="81" t="n">
        <f aca="false">DN32-DM32</f>
        <v>0</v>
      </c>
      <c r="DP32" s="26"/>
      <c r="DQ32" s="26"/>
      <c r="DR32" s="81" t="n">
        <f aca="false">DQ32-DP32</f>
        <v>0</v>
      </c>
      <c r="DS32" s="81" t="n">
        <f aca="false">+C32+F32+I32+L32+O32+R32+U32+X32+AA32+AD32+AG32+AJ32+AM32+AP32+AS32+AV32+AY32+BB32+BE32+BH32+BK32+BN32+BQ32+BT32+BW32+BZ32+CC32+CF32+CI32+CL32+CO32+CR32+CU32+CX32+DA32+DD32+DG32+DJ32+DM32+DP32</f>
        <v>105294</v>
      </c>
      <c r="DT32" s="81" t="n">
        <f aca="false">+D32+G32+J32+M32+P32+S32+V32+Y32+AB32+AE32+AH32+AK32+AN32+AQ32+AT32+AW32+AZ32+BC32+BF32+BI32+BL32+BO32+BR32+BU32+BX32+CA32+CD32+CG32+CJ32+CM32+CP32+CS32+CV32+CY32+DB32+DE32+DH32+DK32+DN32+DQ32</f>
        <v>104834</v>
      </c>
      <c r="DU32" s="81" t="n">
        <f aca="false">DT32-DS32</f>
        <v>-460</v>
      </c>
      <c r="DV32" s="111"/>
      <c r="DW32" s="87"/>
      <c r="DX32" s="87"/>
      <c r="DY32" s="111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</row>
    <row r="33" customFormat="false" ht="12.75" hidden="false" customHeight="false" outlineLevel="0" collapsed="false">
      <c r="A33" s="80" t="n">
        <f aca="false">A32+1</f>
        <v>36735</v>
      </c>
      <c r="B33" s="80" t="s">
        <v>95</v>
      </c>
      <c r="C33" s="26" t="n">
        <v>4178</v>
      </c>
      <c r="D33" s="26" t="n">
        <v>4178</v>
      </c>
      <c r="E33" s="81" t="n">
        <f aca="false">D33-C33</f>
        <v>0</v>
      </c>
      <c r="F33" s="26" t="n">
        <v>20000</v>
      </c>
      <c r="G33" s="26" t="n">
        <v>20000</v>
      </c>
      <c r="H33" s="81" t="n">
        <f aca="false">G33-F33</f>
        <v>0</v>
      </c>
      <c r="I33" s="26" t="n">
        <v>5000</v>
      </c>
      <c r="J33" s="26" t="n">
        <v>5000</v>
      </c>
      <c r="K33" s="81" t="n">
        <f aca="false">J33-I33</f>
        <v>0</v>
      </c>
      <c r="L33" s="26" t="n">
        <v>10000</v>
      </c>
      <c r="M33" s="26" t="n">
        <v>10000</v>
      </c>
      <c r="N33" s="81" t="n">
        <f aca="false">M33-L33</f>
        <v>0</v>
      </c>
      <c r="O33" s="26" t="n">
        <f aca="false">5000+5000</f>
        <v>10000</v>
      </c>
      <c r="P33" s="26" t="n">
        <v>10000</v>
      </c>
      <c r="Q33" s="81" t="n">
        <f aca="false">P33-O33</f>
        <v>0</v>
      </c>
      <c r="R33" s="26" t="n">
        <v>5000</v>
      </c>
      <c r="S33" s="26" t="n">
        <v>5000</v>
      </c>
      <c r="T33" s="81" t="n">
        <f aca="false">S33-R33</f>
        <v>0</v>
      </c>
      <c r="U33" s="26" t="n">
        <f aca="false">1000+4000</f>
        <v>5000</v>
      </c>
      <c r="V33" s="26" t="n">
        <f aca="false">1000+4000</f>
        <v>5000</v>
      </c>
      <c r="W33" s="81" t="n">
        <f aca="false">V33-U33</f>
        <v>0</v>
      </c>
      <c r="X33" s="26" t="n">
        <v>10000</v>
      </c>
      <c r="Y33" s="26" t="n">
        <v>10000</v>
      </c>
      <c r="Z33" s="81" t="n">
        <f aca="false">Y33-X33</f>
        <v>0</v>
      </c>
      <c r="AA33" s="26" t="n">
        <v>5000</v>
      </c>
      <c r="AB33" s="26" t="n">
        <v>5000</v>
      </c>
      <c r="AC33" s="81" t="n">
        <f aca="false">AB33-AA33</f>
        <v>0</v>
      </c>
      <c r="AD33" s="26" t="n">
        <v>5000</v>
      </c>
      <c r="AE33" s="26" t="n">
        <v>5000</v>
      </c>
      <c r="AF33" s="81" t="n">
        <f aca="false">AE33-AD33</f>
        <v>0</v>
      </c>
      <c r="AG33" s="26" t="n">
        <v>7741</v>
      </c>
      <c r="AH33" s="26" t="n">
        <v>7741</v>
      </c>
      <c r="AI33" s="81" t="n">
        <f aca="false">AH33-AG33</f>
        <v>0</v>
      </c>
      <c r="AJ33" s="26" t="n">
        <v>3000</v>
      </c>
      <c r="AK33" s="26" t="n">
        <v>3000</v>
      </c>
      <c r="AL33" s="81" t="n">
        <f aca="false">AK33-AJ33</f>
        <v>0</v>
      </c>
      <c r="AM33" s="26" t="n">
        <v>10375</v>
      </c>
      <c r="AN33" s="26" t="n">
        <v>10375</v>
      </c>
      <c r="AO33" s="81" t="n">
        <f aca="false">AN33-AM33</f>
        <v>0</v>
      </c>
      <c r="AP33" s="26" t="n">
        <v>5000</v>
      </c>
      <c r="AQ33" s="26" t="n">
        <v>5000</v>
      </c>
      <c r="AR33" s="81" t="n">
        <f aca="false">AQ33-AP33</f>
        <v>0</v>
      </c>
      <c r="AS33" s="26"/>
      <c r="AT33" s="26"/>
      <c r="AU33" s="81" t="n">
        <f aca="false">AT33-AS33</f>
        <v>0</v>
      </c>
      <c r="AV33" s="26"/>
      <c r="AW33" s="26"/>
      <c r="AX33" s="81" t="n">
        <f aca="false">AW33-AV33</f>
        <v>0</v>
      </c>
      <c r="AY33" s="26"/>
      <c r="AZ33" s="26"/>
      <c r="BA33" s="81" t="n">
        <f aca="false">AZ33-AY33</f>
        <v>0</v>
      </c>
      <c r="BB33" s="26"/>
      <c r="BC33" s="26"/>
      <c r="BD33" s="81" t="n">
        <f aca="false">BC33-BB33</f>
        <v>0</v>
      </c>
      <c r="BE33" s="26"/>
      <c r="BF33" s="26"/>
      <c r="BG33" s="81" t="n">
        <f aca="false">BF33-BE33</f>
        <v>0</v>
      </c>
      <c r="BH33" s="26"/>
      <c r="BI33" s="26"/>
      <c r="BJ33" s="81" t="n">
        <f aca="false">BI33-BH33</f>
        <v>0</v>
      </c>
      <c r="BK33" s="26"/>
      <c r="BL33" s="26"/>
      <c r="BM33" s="81" t="n">
        <f aca="false">BL33-BK33</f>
        <v>0</v>
      </c>
      <c r="BN33" s="26"/>
      <c r="BO33" s="26"/>
      <c r="BP33" s="81" t="n">
        <f aca="false">BO33-BN33</f>
        <v>0</v>
      </c>
      <c r="BQ33" s="26"/>
      <c r="BR33" s="26"/>
      <c r="BS33" s="81" t="n">
        <f aca="false">BR33-BQ33</f>
        <v>0</v>
      </c>
      <c r="BT33" s="26"/>
      <c r="BU33" s="26"/>
      <c r="BV33" s="81" t="n">
        <f aca="false">BU33-BT33</f>
        <v>0</v>
      </c>
      <c r="BW33" s="26"/>
      <c r="BX33" s="26"/>
      <c r="BY33" s="81" t="n">
        <f aca="false">BX33-BW33</f>
        <v>0</v>
      </c>
      <c r="BZ33" s="26"/>
      <c r="CA33" s="26"/>
      <c r="CB33" s="81" t="n">
        <f aca="false">CA33-BZ33</f>
        <v>0</v>
      </c>
      <c r="CC33" s="26"/>
      <c r="CD33" s="26"/>
      <c r="CE33" s="81" t="n">
        <f aca="false">CD33-CC33</f>
        <v>0</v>
      </c>
      <c r="CF33" s="26"/>
      <c r="CG33" s="26"/>
      <c r="CH33" s="81" t="n">
        <f aca="false">CG33-CF33</f>
        <v>0</v>
      </c>
      <c r="CI33" s="26"/>
      <c r="CJ33" s="26"/>
      <c r="CK33" s="81" t="n">
        <f aca="false">CJ33-CI33</f>
        <v>0</v>
      </c>
      <c r="CL33" s="26"/>
      <c r="CM33" s="26"/>
      <c r="CN33" s="81" t="n">
        <f aca="false">CM33-CL33</f>
        <v>0</v>
      </c>
      <c r="CO33" s="26"/>
      <c r="CP33" s="26"/>
      <c r="CQ33" s="81" t="n">
        <f aca="false">CP33-CO33</f>
        <v>0</v>
      </c>
      <c r="CR33" s="26"/>
      <c r="CS33" s="26"/>
      <c r="CT33" s="81" t="n">
        <f aca="false">CS33-CR33</f>
        <v>0</v>
      </c>
      <c r="CU33" s="26"/>
      <c r="CV33" s="26"/>
      <c r="CW33" s="81" t="n">
        <f aca="false">CV33-CU33</f>
        <v>0</v>
      </c>
      <c r="CX33" s="26"/>
      <c r="CY33" s="26"/>
      <c r="CZ33" s="81" t="n">
        <f aca="false">CY33-CX33</f>
        <v>0</v>
      </c>
      <c r="DA33" s="26"/>
      <c r="DB33" s="26"/>
      <c r="DC33" s="81" t="n">
        <f aca="false">DB33-DA33</f>
        <v>0</v>
      </c>
      <c r="DD33" s="26"/>
      <c r="DE33" s="26"/>
      <c r="DF33" s="81" t="n">
        <f aca="false">DE33-DD33</f>
        <v>0</v>
      </c>
      <c r="DG33" s="26"/>
      <c r="DH33" s="26"/>
      <c r="DI33" s="81" t="n">
        <f aca="false">DH33-DG33</f>
        <v>0</v>
      </c>
      <c r="DJ33" s="26"/>
      <c r="DK33" s="26"/>
      <c r="DL33" s="81" t="n">
        <f aca="false">DK33-DJ33</f>
        <v>0</v>
      </c>
      <c r="DM33" s="26"/>
      <c r="DN33" s="26"/>
      <c r="DO33" s="81" t="n">
        <f aca="false">DN33-DM33</f>
        <v>0</v>
      </c>
      <c r="DP33" s="26"/>
      <c r="DQ33" s="26"/>
      <c r="DR33" s="81" t="n">
        <f aca="false">DQ33-DP33</f>
        <v>0</v>
      </c>
      <c r="DS33" s="81" t="n">
        <f aca="false">+C33+F33+I33+L33+O33+R33+U33+X33+AA33+AD33+AG33+AJ33+AM33+AP33+AS33+AV33+AY33+BB33+BE33+BH33+BK33+BN33+BQ33+BT33+BW33+BZ33+CC33+CF33+CI33+CL33+CO33+CR33+CU33+CX33+DA33+DD33+DG33+DJ33+DM33+DP33</f>
        <v>105294</v>
      </c>
      <c r="DT33" s="81" t="n">
        <f aca="false">+D33+G33+J33+M33+P33+S33+V33+Y33+AB33+AE33+AH33+AK33+AN33+AQ33+AT33+AW33+AZ33+BC33+BF33+BI33+BL33+BO33+BR33+BU33+BX33+CA33+CD33+CG33+CJ33+CM33+CP33+CS33+CV33+CY33+DB33+DE33+DH33+DK33+DN33+DQ33</f>
        <v>105294</v>
      </c>
      <c r="DU33" s="81" t="n">
        <f aca="false">DT33-DS33</f>
        <v>0</v>
      </c>
      <c r="DV33" s="111"/>
      <c r="DW33" s="87"/>
      <c r="DX33" s="87"/>
      <c r="DY33" s="111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</row>
    <row r="34" customFormat="false" ht="12.75" hidden="false" customHeight="false" outlineLevel="0" collapsed="false">
      <c r="A34" s="80" t="n">
        <f aca="false">A33+1</f>
        <v>36736</v>
      </c>
      <c r="B34" s="80" t="s">
        <v>89</v>
      </c>
      <c r="C34" s="26" t="n">
        <v>4178</v>
      </c>
      <c r="D34" s="26" t="n">
        <v>4178</v>
      </c>
      <c r="E34" s="81" t="n">
        <f aca="false">D34-C34</f>
        <v>0</v>
      </c>
      <c r="F34" s="26" t="n">
        <v>20000</v>
      </c>
      <c r="G34" s="26" t="n">
        <v>20000</v>
      </c>
      <c r="H34" s="81" t="n">
        <f aca="false">G34-F34</f>
        <v>0</v>
      </c>
      <c r="I34" s="26" t="n">
        <v>5000</v>
      </c>
      <c r="J34" s="26" t="n">
        <v>5000</v>
      </c>
      <c r="K34" s="81" t="n">
        <f aca="false">J34-I34</f>
        <v>0</v>
      </c>
      <c r="L34" s="26" t="n">
        <v>10000</v>
      </c>
      <c r="M34" s="26" t="n">
        <v>10000</v>
      </c>
      <c r="N34" s="81" t="n">
        <f aca="false">M34-L34</f>
        <v>0</v>
      </c>
      <c r="O34" s="26" t="n">
        <f aca="false">5000+5000</f>
        <v>10000</v>
      </c>
      <c r="P34" s="26" t="n">
        <v>10000</v>
      </c>
      <c r="Q34" s="81" t="n">
        <f aca="false">P34-O34</f>
        <v>0</v>
      </c>
      <c r="R34" s="26" t="n">
        <v>5000</v>
      </c>
      <c r="S34" s="26" t="n">
        <v>5000</v>
      </c>
      <c r="T34" s="81" t="n">
        <f aca="false">S34-R34</f>
        <v>0</v>
      </c>
      <c r="U34" s="26" t="n">
        <f aca="false">1000+4000</f>
        <v>5000</v>
      </c>
      <c r="V34" s="26" t="n">
        <f aca="false">1000+4000</f>
        <v>5000</v>
      </c>
      <c r="W34" s="81" t="n">
        <f aca="false">V34-U34</f>
        <v>0</v>
      </c>
      <c r="X34" s="26" t="n">
        <v>10000</v>
      </c>
      <c r="Y34" s="26" t="n">
        <v>10000</v>
      </c>
      <c r="Z34" s="81" t="n">
        <f aca="false">Y34-X34</f>
        <v>0</v>
      </c>
      <c r="AA34" s="26" t="n">
        <v>5000</v>
      </c>
      <c r="AB34" s="26" t="n">
        <v>5000</v>
      </c>
      <c r="AC34" s="81" t="n">
        <f aca="false">AB34-AA34</f>
        <v>0</v>
      </c>
      <c r="AD34" s="26" t="n">
        <v>5000</v>
      </c>
      <c r="AE34" s="26" t="n">
        <v>5000</v>
      </c>
      <c r="AF34" s="81" t="n">
        <f aca="false">AE34-AD34</f>
        <v>0</v>
      </c>
      <c r="AG34" s="26" t="n">
        <v>7741</v>
      </c>
      <c r="AH34" s="26" t="n">
        <v>7741</v>
      </c>
      <c r="AI34" s="81" t="n">
        <f aca="false">AH34-AG34</f>
        <v>0</v>
      </c>
      <c r="AJ34" s="26" t="n">
        <v>3000</v>
      </c>
      <c r="AK34" s="26" t="n">
        <v>3000</v>
      </c>
      <c r="AL34" s="81" t="n">
        <f aca="false">AK34-AJ34</f>
        <v>0</v>
      </c>
      <c r="AM34" s="26" t="n">
        <v>10375</v>
      </c>
      <c r="AN34" s="26" t="n">
        <v>10375</v>
      </c>
      <c r="AO34" s="81" t="n">
        <f aca="false">AN34-AM34</f>
        <v>0</v>
      </c>
      <c r="AP34" s="26" t="n">
        <v>5000</v>
      </c>
      <c r="AQ34" s="26" t="n">
        <v>5000</v>
      </c>
      <c r="AR34" s="81" t="n">
        <f aca="false">AQ34-AP34</f>
        <v>0</v>
      </c>
      <c r="AS34" s="26"/>
      <c r="AT34" s="26"/>
      <c r="AU34" s="81" t="n">
        <f aca="false">AT34-AS34</f>
        <v>0</v>
      </c>
      <c r="AV34" s="26"/>
      <c r="AW34" s="26"/>
      <c r="AX34" s="81" t="n">
        <f aca="false">AW34-AV34</f>
        <v>0</v>
      </c>
      <c r="AY34" s="26"/>
      <c r="AZ34" s="26"/>
      <c r="BA34" s="81" t="n">
        <f aca="false">AZ34-AY34</f>
        <v>0</v>
      </c>
      <c r="BB34" s="26"/>
      <c r="BC34" s="26"/>
      <c r="BD34" s="81" t="n">
        <f aca="false">BC34-BB34</f>
        <v>0</v>
      </c>
      <c r="BE34" s="26"/>
      <c r="BF34" s="26"/>
      <c r="BG34" s="81" t="n">
        <f aca="false">BF34-BE34</f>
        <v>0</v>
      </c>
      <c r="BH34" s="26"/>
      <c r="BI34" s="26"/>
      <c r="BJ34" s="81" t="n">
        <f aca="false">BI34-BH34</f>
        <v>0</v>
      </c>
      <c r="BK34" s="26"/>
      <c r="BL34" s="26"/>
      <c r="BM34" s="81" t="n">
        <f aca="false">BL34-BK34</f>
        <v>0</v>
      </c>
      <c r="BN34" s="26"/>
      <c r="BO34" s="26"/>
      <c r="BP34" s="81" t="n">
        <f aca="false">BO34-BN34</f>
        <v>0</v>
      </c>
      <c r="BQ34" s="26"/>
      <c r="BR34" s="26"/>
      <c r="BS34" s="81" t="n">
        <f aca="false">BR34-BQ34</f>
        <v>0</v>
      </c>
      <c r="BT34" s="26"/>
      <c r="BU34" s="26"/>
      <c r="BV34" s="81" t="n">
        <f aca="false">BU34-BT34</f>
        <v>0</v>
      </c>
      <c r="BW34" s="26"/>
      <c r="BX34" s="26"/>
      <c r="BY34" s="81" t="n">
        <f aca="false">BX34-BW34</f>
        <v>0</v>
      </c>
      <c r="BZ34" s="26"/>
      <c r="CA34" s="26"/>
      <c r="CB34" s="81" t="n">
        <f aca="false">CA34-BZ34</f>
        <v>0</v>
      </c>
      <c r="CC34" s="26"/>
      <c r="CD34" s="26"/>
      <c r="CE34" s="81" t="n">
        <f aca="false">CD34-CC34</f>
        <v>0</v>
      </c>
      <c r="CF34" s="26"/>
      <c r="CG34" s="26"/>
      <c r="CH34" s="81" t="n">
        <f aca="false">CG34-CF34</f>
        <v>0</v>
      </c>
      <c r="CI34" s="26"/>
      <c r="CJ34" s="26"/>
      <c r="CK34" s="81" t="n">
        <f aca="false">CJ34-CI34</f>
        <v>0</v>
      </c>
      <c r="CL34" s="26"/>
      <c r="CM34" s="26"/>
      <c r="CN34" s="81" t="n">
        <f aca="false">CM34-CL34</f>
        <v>0</v>
      </c>
      <c r="CO34" s="26"/>
      <c r="CP34" s="26"/>
      <c r="CQ34" s="81" t="n">
        <f aca="false">CP34-CO34</f>
        <v>0</v>
      </c>
      <c r="CR34" s="26"/>
      <c r="CS34" s="26"/>
      <c r="CT34" s="81" t="n">
        <f aca="false">CS34-CR34</f>
        <v>0</v>
      </c>
      <c r="CU34" s="26"/>
      <c r="CV34" s="26"/>
      <c r="CW34" s="81" t="n">
        <f aca="false">CV34-CU34</f>
        <v>0</v>
      </c>
      <c r="CX34" s="26"/>
      <c r="CY34" s="26"/>
      <c r="CZ34" s="81" t="n">
        <f aca="false">CY34-CX34</f>
        <v>0</v>
      </c>
      <c r="DA34" s="26"/>
      <c r="DB34" s="26"/>
      <c r="DC34" s="81" t="n">
        <f aca="false">DB34-DA34</f>
        <v>0</v>
      </c>
      <c r="DD34" s="26"/>
      <c r="DE34" s="26"/>
      <c r="DF34" s="81" t="n">
        <f aca="false">DE34-DD34</f>
        <v>0</v>
      </c>
      <c r="DG34" s="26"/>
      <c r="DH34" s="26"/>
      <c r="DI34" s="81" t="n">
        <f aca="false">DH34-DG34</f>
        <v>0</v>
      </c>
      <c r="DJ34" s="26"/>
      <c r="DK34" s="26"/>
      <c r="DL34" s="81" t="n">
        <f aca="false">DK34-DJ34</f>
        <v>0</v>
      </c>
      <c r="DM34" s="26"/>
      <c r="DN34" s="26"/>
      <c r="DO34" s="81" t="n">
        <f aca="false">DN34-DM34</f>
        <v>0</v>
      </c>
      <c r="DP34" s="26"/>
      <c r="DQ34" s="26"/>
      <c r="DR34" s="81" t="n">
        <f aca="false">DQ34-DP34</f>
        <v>0</v>
      </c>
      <c r="DS34" s="81" t="n">
        <f aca="false">+C34+F34+I34+L34+O34+R34+U34+X34+AA34+AD34+AG34+AJ34+AM34+AP34+AS34+AV34+AY34+BB34+BE34+BH34+BK34+BN34+BQ34+BT34+BW34+BZ34+CC34+CF34+CI34+CL34+CO34+CR34+CU34+CX34+DA34+DD34+DG34+DJ34+DM34+DP34</f>
        <v>105294</v>
      </c>
      <c r="DT34" s="81" t="n">
        <f aca="false">+D34+G34+J34+M34+P34+S34+V34+Y34+AB34+AE34+AH34+AK34+AN34+AQ34+AT34+AW34+AZ34+BC34+BF34+BI34+BL34+BO34+BR34+BU34+BX34+CA34+CD34+CG34+CJ34+CM34+CP34+CS34+CV34+CY34+DB34+DE34+DH34+DK34+DN34+DQ34</f>
        <v>105294</v>
      </c>
      <c r="DU34" s="81" t="n">
        <f aca="false">DT34-DS34</f>
        <v>0</v>
      </c>
      <c r="DV34" s="111"/>
      <c r="DW34" s="87"/>
      <c r="DX34" s="87"/>
      <c r="DY34" s="111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</row>
    <row r="35" customFormat="false" ht="12.75" hidden="false" customHeight="false" outlineLevel="0" collapsed="false">
      <c r="A35" s="80" t="n">
        <f aca="false">A34+1</f>
        <v>36737</v>
      </c>
      <c r="B35" s="80" t="s">
        <v>90</v>
      </c>
      <c r="C35" s="26" t="n">
        <v>4178</v>
      </c>
      <c r="D35" s="26" t="n">
        <v>4178</v>
      </c>
      <c r="E35" s="81" t="n">
        <f aca="false">D35-C35</f>
        <v>0</v>
      </c>
      <c r="F35" s="26" t="n">
        <v>20000</v>
      </c>
      <c r="G35" s="26" t="n">
        <v>20000</v>
      </c>
      <c r="H35" s="81" t="n">
        <f aca="false">G35-F35</f>
        <v>0</v>
      </c>
      <c r="I35" s="26" t="n">
        <v>5000</v>
      </c>
      <c r="J35" s="26" t="n">
        <v>5000</v>
      </c>
      <c r="K35" s="81" t="n">
        <f aca="false">J35-I35</f>
        <v>0</v>
      </c>
      <c r="L35" s="26" t="n">
        <v>10000</v>
      </c>
      <c r="M35" s="26" t="n">
        <v>10000</v>
      </c>
      <c r="N35" s="81" t="n">
        <f aca="false">M35-L35</f>
        <v>0</v>
      </c>
      <c r="O35" s="26" t="n">
        <f aca="false">5000+5000</f>
        <v>10000</v>
      </c>
      <c r="P35" s="26" t="n">
        <v>10000</v>
      </c>
      <c r="Q35" s="81" t="n">
        <f aca="false">P35-O35</f>
        <v>0</v>
      </c>
      <c r="R35" s="26" t="n">
        <v>5000</v>
      </c>
      <c r="S35" s="26" t="n">
        <v>5000</v>
      </c>
      <c r="T35" s="81" t="n">
        <f aca="false">S35-R35</f>
        <v>0</v>
      </c>
      <c r="U35" s="26" t="n">
        <f aca="false">1000+4000</f>
        <v>5000</v>
      </c>
      <c r="V35" s="26" t="n">
        <f aca="false">1000+4000</f>
        <v>5000</v>
      </c>
      <c r="W35" s="81" t="n">
        <f aca="false">V35-U35</f>
        <v>0</v>
      </c>
      <c r="X35" s="26" t="n">
        <v>10000</v>
      </c>
      <c r="Y35" s="26" t="n">
        <v>10000</v>
      </c>
      <c r="Z35" s="81" t="n">
        <f aca="false">Y35-X35</f>
        <v>0</v>
      </c>
      <c r="AA35" s="26" t="n">
        <v>5000</v>
      </c>
      <c r="AB35" s="26" t="n">
        <v>5000</v>
      </c>
      <c r="AC35" s="81" t="n">
        <f aca="false">AB35-AA35</f>
        <v>0</v>
      </c>
      <c r="AD35" s="26" t="n">
        <v>5000</v>
      </c>
      <c r="AE35" s="26" t="n">
        <v>5000</v>
      </c>
      <c r="AF35" s="81" t="n">
        <f aca="false">AE35-AD35</f>
        <v>0</v>
      </c>
      <c r="AG35" s="26" t="n">
        <v>7741</v>
      </c>
      <c r="AH35" s="26" t="n">
        <v>7741</v>
      </c>
      <c r="AI35" s="81" t="n">
        <f aca="false">AH35-AG35</f>
        <v>0</v>
      </c>
      <c r="AJ35" s="26" t="n">
        <v>3000</v>
      </c>
      <c r="AK35" s="26" t="n">
        <v>3000</v>
      </c>
      <c r="AL35" s="81" t="n">
        <f aca="false">AK35-AJ35</f>
        <v>0</v>
      </c>
      <c r="AM35" s="26" t="n">
        <v>10375</v>
      </c>
      <c r="AN35" s="26" t="n">
        <v>10375</v>
      </c>
      <c r="AO35" s="81" t="n">
        <f aca="false">AN35-AM35</f>
        <v>0</v>
      </c>
      <c r="AP35" s="26" t="n">
        <v>5000</v>
      </c>
      <c r="AQ35" s="26" t="n">
        <v>5000</v>
      </c>
      <c r="AR35" s="81" t="n">
        <f aca="false">AQ35-AP35</f>
        <v>0</v>
      </c>
      <c r="AS35" s="26"/>
      <c r="AT35" s="26"/>
      <c r="AU35" s="81" t="n">
        <f aca="false">AT35-AS35</f>
        <v>0</v>
      </c>
      <c r="AV35" s="26"/>
      <c r="AW35" s="26"/>
      <c r="AX35" s="81" t="n">
        <f aca="false">AW35-AV35</f>
        <v>0</v>
      </c>
      <c r="AY35" s="26"/>
      <c r="AZ35" s="26"/>
      <c r="BA35" s="81" t="n">
        <f aca="false">AZ35-AY35</f>
        <v>0</v>
      </c>
      <c r="BB35" s="26"/>
      <c r="BC35" s="26"/>
      <c r="BD35" s="81" t="n">
        <f aca="false">BC35-BB35</f>
        <v>0</v>
      </c>
      <c r="BE35" s="26"/>
      <c r="BF35" s="26"/>
      <c r="BG35" s="81" t="n">
        <f aca="false">BF35-BE35</f>
        <v>0</v>
      </c>
      <c r="BH35" s="26"/>
      <c r="BI35" s="26"/>
      <c r="BJ35" s="81" t="n">
        <f aca="false">BI35-BH35</f>
        <v>0</v>
      </c>
      <c r="BK35" s="26"/>
      <c r="BL35" s="26"/>
      <c r="BM35" s="81" t="n">
        <f aca="false">BL35-BK35</f>
        <v>0</v>
      </c>
      <c r="BN35" s="26"/>
      <c r="BO35" s="26"/>
      <c r="BP35" s="81" t="n">
        <f aca="false">BO35-BN35</f>
        <v>0</v>
      </c>
      <c r="BQ35" s="26"/>
      <c r="BR35" s="26"/>
      <c r="BS35" s="81" t="n">
        <f aca="false">BR35-BQ35</f>
        <v>0</v>
      </c>
      <c r="BT35" s="26"/>
      <c r="BU35" s="26"/>
      <c r="BV35" s="81" t="n">
        <f aca="false">BU35-BT35</f>
        <v>0</v>
      </c>
      <c r="BW35" s="26"/>
      <c r="BX35" s="26"/>
      <c r="BY35" s="81" t="n">
        <f aca="false">BX35-BW35</f>
        <v>0</v>
      </c>
      <c r="BZ35" s="26"/>
      <c r="CA35" s="26"/>
      <c r="CB35" s="81" t="n">
        <f aca="false">CA35-BZ35</f>
        <v>0</v>
      </c>
      <c r="CC35" s="26"/>
      <c r="CD35" s="26"/>
      <c r="CE35" s="81" t="n">
        <f aca="false">CD35-CC35</f>
        <v>0</v>
      </c>
      <c r="CF35" s="26"/>
      <c r="CG35" s="26"/>
      <c r="CH35" s="81" t="n">
        <f aca="false">CG35-CF35</f>
        <v>0</v>
      </c>
      <c r="CI35" s="26"/>
      <c r="CJ35" s="26"/>
      <c r="CK35" s="81" t="n">
        <f aca="false">CJ35-CI35</f>
        <v>0</v>
      </c>
      <c r="CL35" s="26"/>
      <c r="CM35" s="26"/>
      <c r="CN35" s="81" t="n">
        <f aca="false">CM35-CL35</f>
        <v>0</v>
      </c>
      <c r="CO35" s="26"/>
      <c r="CP35" s="26"/>
      <c r="CQ35" s="81" t="n">
        <f aca="false">CP35-CO35</f>
        <v>0</v>
      </c>
      <c r="CR35" s="26"/>
      <c r="CS35" s="26"/>
      <c r="CT35" s="81" t="n">
        <f aca="false">CS35-CR35</f>
        <v>0</v>
      </c>
      <c r="CU35" s="26"/>
      <c r="CV35" s="26"/>
      <c r="CW35" s="81" t="n">
        <f aca="false">CV35-CU35</f>
        <v>0</v>
      </c>
      <c r="CX35" s="26"/>
      <c r="CY35" s="26"/>
      <c r="CZ35" s="81" t="n">
        <f aca="false">CY35-CX35</f>
        <v>0</v>
      </c>
      <c r="DA35" s="26"/>
      <c r="DB35" s="26"/>
      <c r="DC35" s="81" t="n">
        <f aca="false">DB35-DA35</f>
        <v>0</v>
      </c>
      <c r="DD35" s="26"/>
      <c r="DE35" s="26"/>
      <c r="DF35" s="81" t="n">
        <f aca="false">DE35-DD35</f>
        <v>0</v>
      </c>
      <c r="DG35" s="26"/>
      <c r="DH35" s="26"/>
      <c r="DI35" s="81" t="n">
        <f aca="false">DH35-DG35</f>
        <v>0</v>
      </c>
      <c r="DJ35" s="26"/>
      <c r="DK35" s="26"/>
      <c r="DL35" s="81" t="n">
        <f aca="false">DK35-DJ35</f>
        <v>0</v>
      </c>
      <c r="DM35" s="26"/>
      <c r="DN35" s="26"/>
      <c r="DO35" s="81" t="n">
        <f aca="false">DN35-DM35</f>
        <v>0</v>
      </c>
      <c r="DP35" s="26"/>
      <c r="DQ35" s="26"/>
      <c r="DR35" s="81" t="n">
        <f aca="false">DQ35-DP35</f>
        <v>0</v>
      </c>
      <c r="DS35" s="81" t="n">
        <f aca="false">+C35+F35+I35+L35+O35+R35+U35+X35+AA35+AD35+AG35+AJ35+AM35+AP35+AS35+AV35+AY35+BB35+BE35+BH35+BK35+BN35+BQ35+BT35+BW35+BZ35+CC35+CF35+CI35+CL35+CO35+CR35+CU35+CX35+DA35+DD35+DG35+DJ35+DM35+DP35</f>
        <v>105294</v>
      </c>
      <c r="DT35" s="81" t="n">
        <f aca="false">+D35+G35+J35+M35+P35+S35+V35+Y35+AB35+AE35+AH35+AK35+AN35+AQ35+AT35+AW35+AZ35+BC35+BF35+BI35+BL35+BO35+BR35+BU35+BX35+CA35+CD35+CG35+CJ35+CM35+CP35+CS35+CV35+CY35+DB35+DE35+DH35+DK35+DN35+DQ35</f>
        <v>105294</v>
      </c>
      <c r="DU35" s="81" t="n">
        <f aca="false">DT35-DS35</f>
        <v>0</v>
      </c>
      <c r="DV35" s="111"/>
      <c r="DW35" s="87"/>
      <c r="DX35" s="87"/>
      <c r="DY35" s="111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</row>
    <row r="36" customFormat="false" ht="12.75" hidden="false" customHeight="false" outlineLevel="0" collapsed="false">
      <c r="A36" s="80" t="n">
        <f aca="false">A35+1</f>
        <v>36738</v>
      </c>
      <c r="B36" s="80" t="s">
        <v>91</v>
      </c>
      <c r="C36" s="26" t="n">
        <v>4178</v>
      </c>
      <c r="D36" s="26" t="n">
        <v>4178</v>
      </c>
      <c r="E36" s="81" t="n">
        <f aca="false">D36-C36</f>
        <v>0</v>
      </c>
      <c r="F36" s="26" t="n">
        <v>20000</v>
      </c>
      <c r="G36" s="26" t="n">
        <v>20000</v>
      </c>
      <c r="H36" s="81" t="n">
        <f aca="false">G36-F36</f>
        <v>0</v>
      </c>
      <c r="I36" s="26" t="n">
        <v>5000</v>
      </c>
      <c r="J36" s="26" t="n">
        <v>5000</v>
      </c>
      <c r="K36" s="81" t="n">
        <f aca="false">J36-I36</f>
        <v>0</v>
      </c>
      <c r="L36" s="26" t="n">
        <v>10000</v>
      </c>
      <c r="M36" s="26" t="n">
        <v>10000</v>
      </c>
      <c r="N36" s="81" t="n">
        <f aca="false">M36-L36</f>
        <v>0</v>
      </c>
      <c r="O36" s="26" t="n">
        <f aca="false">5000+5000</f>
        <v>10000</v>
      </c>
      <c r="P36" s="26" t="n">
        <v>10000</v>
      </c>
      <c r="Q36" s="81" t="n">
        <f aca="false">P36-O36</f>
        <v>0</v>
      </c>
      <c r="R36" s="26" t="n">
        <v>5000</v>
      </c>
      <c r="S36" s="26" t="n">
        <v>5000</v>
      </c>
      <c r="T36" s="81" t="n">
        <f aca="false">S36-R36</f>
        <v>0</v>
      </c>
      <c r="U36" s="26" t="n">
        <f aca="false">1000+4000</f>
        <v>5000</v>
      </c>
      <c r="V36" s="26" t="n">
        <f aca="false">1000+4000</f>
        <v>5000</v>
      </c>
      <c r="W36" s="81" t="n">
        <f aca="false">V36-U36</f>
        <v>0</v>
      </c>
      <c r="X36" s="26" t="n">
        <v>10000</v>
      </c>
      <c r="Y36" s="26" t="n">
        <v>10000</v>
      </c>
      <c r="Z36" s="81" t="n">
        <f aca="false">Y36-X36</f>
        <v>0</v>
      </c>
      <c r="AA36" s="26" t="n">
        <v>5000</v>
      </c>
      <c r="AB36" s="26" t="n">
        <v>5000</v>
      </c>
      <c r="AC36" s="81" t="n">
        <f aca="false">AB36-AA36</f>
        <v>0</v>
      </c>
      <c r="AD36" s="26" t="n">
        <v>5000</v>
      </c>
      <c r="AE36" s="26" t="n">
        <v>5000</v>
      </c>
      <c r="AF36" s="81" t="n">
        <f aca="false">AE36-AD36</f>
        <v>0</v>
      </c>
      <c r="AG36" s="26" t="n">
        <v>7741</v>
      </c>
      <c r="AH36" s="26" t="n">
        <v>7741</v>
      </c>
      <c r="AI36" s="81" t="n">
        <f aca="false">AH36-AG36</f>
        <v>0</v>
      </c>
      <c r="AJ36" s="26" t="n">
        <v>3000</v>
      </c>
      <c r="AK36" s="26" t="n">
        <v>3000</v>
      </c>
      <c r="AL36" s="81" t="n">
        <f aca="false">AK36-AJ36</f>
        <v>0</v>
      </c>
      <c r="AM36" s="26" t="n">
        <v>10375</v>
      </c>
      <c r="AN36" s="26" t="n">
        <v>10375</v>
      </c>
      <c r="AO36" s="81" t="n">
        <f aca="false">AN36-AM36</f>
        <v>0</v>
      </c>
      <c r="AP36" s="26" t="n">
        <v>5000</v>
      </c>
      <c r="AQ36" s="26" t="n">
        <v>5000</v>
      </c>
      <c r="AR36" s="81" t="n">
        <f aca="false">AQ36-AP36</f>
        <v>0</v>
      </c>
      <c r="AS36" s="26"/>
      <c r="AT36" s="26"/>
      <c r="AU36" s="81" t="n">
        <f aca="false">AT36-AS36</f>
        <v>0</v>
      </c>
      <c r="AV36" s="26"/>
      <c r="AW36" s="26"/>
      <c r="AX36" s="81" t="n">
        <f aca="false">AW36-AV36</f>
        <v>0</v>
      </c>
      <c r="AY36" s="26"/>
      <c r="AZ36" s="26"/>
      <c r="BA36" s="81" t="n">
        <f aca="false">AZ36-AY36</f>
        <v>0</v>
      </c>
      <c r="BB36" s="26"/>
      <c r="BC36" s="26"/>
      <c r="BD36" s="81" t="n">
        <f aca="false">BC36-BB36</f>
        <v>0</v>
      </c>
      <c r="BE36" s="26"/>
      <c r="BF36" s="26"/>
      <c r="BG36" s="81" t="n">
        <f aca="false">BF36-BE36</f>
        <v>0</v>
      </c>
      <c r="BH36" s="26"/>
      <c r="BI36" s="26"/>
      <c r="BJ36" s="81" t="n">
        <f aca="false">BI36-BH36</f>
        <v>0</v>
      </c>
      <c r="BK36" s="26"/>
      <c r="BL36" s="26"/>
      <c r="BM36" s="81" t="n">
        <f aca="false">BL36-BK36</f>
        <v>0</v>
      </c>
      <c r="BN36" s="26"/>
      <c r="BO36" s="26"/>
      <c r="BP36" s="81" t="n">
        <f aca="false">BO36-BN36</f>
        <v>0</v>
      </c>
      <c r="BQ36" s="26"/>
      <c r="BR36" s="26"/>
      <c r="BS36" s="81" t="n">
        <f aca="false">BR36-BQ36</f>
        <v>0</v>
      </c>
      <c r="BT36" s="26"/>
      <c r="BU36" s="26"/>
      <c r="BV36" s="81" t="n">
        <f aca="false">BU36-BT36</f>
        <v>0</v>
      </c>
      <c r="BW36" s="26"/>
      <c r="BX36" s="26"/>
      <c r="BY36" s="81" t="n">
        <f aca="false">BX36-BW36</f>
        <v>0</v>
      </c>
      <c r="BZ36" s="26"/>
      <c r="CA36" s="26"/>
      <c r="CB36" s="81" t="n">
        <f aca="false">CA36-BZ36</f>
        <v>0</v>
      </c>
      <c r="CC36" s="26"/>
      <c r="CD36" s="26"/>
      <c r="CE36" s="81" t="n">
        <f aca="false">CD36-CC36</f>
        <v>0</v>
      </c>
      <c r="CF36" s="26"/>
      <c r="CG36" s="26"/>
      <c r="CH36" s="81" t="n">
        <f aca="false">CG36-CF36</f>
        <v>0</v>
      </c>
      <c r="CI36" s="26"/>
      <c r="CJ36" s="26"/>
      <c r="CK36" s="81" t="n">
        <f aca="false">CJ36-CI36</f>
        <v>0</v>
      </c>
      <c r="CL36" s="26"/>
      <c r="CM36" s="26"/>
      <c r="CN36" s="81" t="n">
        <f aca="false">CM36-CL36</f>
        <v>0</v>
      </c>
      <c r="CO36" s="26"/>
      <c r="CP36" s="26"/>
      <c r="CQ36" s="81" t="n">
        <f aca="false">CP36-CO36</f>
        <v>0</v>
      </c>
      <c r="CR36" s="26"/>
      <c r="CS36" s="26"/>
      <c r="CT36" s="81" t="n">
        <f aca="false">CS36-CR36</f>
        <v>0</v>
      </c>
      <c r="CU36" s="26"/>
      <c r="CV36" s="26"/>
      <c r="CW36" s="81" t="n">
        <f aca="false">CV36-CU36</f>
        <v>0</v>
      </c>
      <c r="CX36" s="26"/>
      <c r="CY36" s="26"/>
      <c r="CZ36" s="81" t="n">
        <f aca="false">CY36-CX36</f>
        <v>0</v>
      </c>
      <c r="DA36" s="26"/>
      <c r="DB36" s="26"/>
      <c r="DC36" s="81" t="n">
        <f aca="false">DB36-DA36</f>
        <v>0</v>
      </c>
      <c r="DD36" s="26"/>
      <c r="DE36" s="26"/>
      <c r="DF36" s="81" t="n">
        <f aca="false">DE36-DD36</f>
        <v>0</v>
      </c>
      <c r="DG36" s="26"/>
      <c r="DH36" s="26"/>
      <c r="DI36" s="81" t="n">
        <f aca="false">DH36-DG36</f>
        <v>0</v>
      </c>
      <c r="DJ36" s="26"/>
      <c r="DK36" s="26"/>
      <c r="DL36" s="81" t="n">
        <f aca="false">DK36-DJ36</f>
        <v>0</v>
      </c>
      <c r="DM36" s="26"/>
      <c r="DN36" s="26"/>
      <c r="DO36" s="81" t="n">
        <f aca="false">DN36-DM36</f>
        <v>0</v>
      </c>
      <c r="DP36" s="26"/>
      <c r="DQ36" s="26"/>
      <c r="DR36" s="81" t="n">
        <f aca="false">DQ36-DP36</f>
        <v>0</v>
      </c>
      <c r="DS36" s="81" t="n">
        <f aca="false">+C36+F36+I36+L36+O36+R36+U36+X36+AA36+AD36+AG36+AJ36+AM36+AP36+AS36+AV36+AY36+BB36+BE36+BH36+BK36+BN36+BQ36+BT36+BW36+BZ36+CC36+CF36+CI36+CL36+CO36+CR36+CU36+CX36+DA36+DD36+DG36+DJ36+DM36+DP36</f>
        <v>105294</v>
      </c>
      <c r="DT36" s="81" t="n">
        <f aca="false">+D36+G36+J36+M36+P36+S36+V36+Y36+AB36+AE36+AH36+AK36+AN36+AQ36+AT36+AW36+AZ36+BC36+BF36+BI36+BL36+BO36+BR36+BU36+BX36+CA36+CD36+CG36+CJ36+CM36+CP36+CS36+CV36+CY36+DB36+DE36+DH36+DK36+DN36+DQ36</f>
        <v>105294</v>
      </c>
      <c r="DU36" s="81" t="n">
        <f aca="false">DT36-DS36</f>
        <v>0</v>
      </c>
      <c r="DV36" s="111"/>
      <c r="DW36" s="87"/>
      <c r="DX36" s="87"/>
      <c r="DY36" s="111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</row>
    <row r="37" customFormat="false" ht="12.75" hidden="false" customHeight="false" outlineLevel="0" collapsed="false">
      <c r="A37" s="88" t="s">
        <v>62</v>
      </c>
      <c r="B37" s="80"/>
      <c r="C37" s="32" t="n">
        <f aca="false">SUM(C6:C36)</f>
        <v>129518</v>
      </c>
      <c r="D37" s="32" t="n">
        <f aca="false">SUM(D6:D36)</f>
        <v>129518</v>
      </c>
      <c r="E37" s="32" t="n">
        <f aca="false">SUM(E6:E36)</f>
        <v>0</v>
      </c>
      <c r="F37" s="32" t="n">
        <f aca="false">SUM(F6:F36)</f>
        <v>620000</v>
      </c>
      <c r="G37" s="32" t="n">
        <f aca="false">SUM(G6:G36)</f>
        <v>620000</v>
      </c>
      <c r="H37" s="32" t="n">
        <f aca="false">SUM(H6:H36)</f>
        <v>0</v>
      </c>
      <c r="I37" s="32" t="n">
        <f aca="false">SUM(I6:I36)</f>
        <v>110489</v>
      </c>
      <c r="J37" s="32" t="n">
        <f aca="false">SUM(J6:J36)</f>
        <v>110489</v>
      </c>
      <c r="K37" s="32" t="n">
        <f aca="false">SUM(K6:K36)</f>
        <v>0</v>
      </c>
      <c r="L37" s="32" t="n">
        <f aca="false">SUM(L6:L36)</f>
        <v>310000</v>
      </c>
      <c r="M37" s="32" t="n">
        <f aca="false">SUM(M6:M36)</f>
        <v>310000</v>
      </c>
      <c r="N37" s="32" t="n">
        <f aca="false">SUM(N6:N36)</f>
        <v>0</v>
      </c>
      <c r="O37" s="32" t="n">
        <f aca="false">SUM(O6:O36)</f>
        <v>310000</v>
      </c>
      <c r="P37" s="32" t="n">
        <f aca="false">SUM(P6:P36)</f>
        <v>310000</v>
      </c>
      <c r="Q37" s="32" t="n">
        <f aca="false">SUM(Q6:Q36)</f>
        <v>0</v>
      </c>
      <c r="R37" s="32" t="n">
        <f aca="false">SUM(R6:R36)</f>
        <v>155000</v>
      </c>
      <c r="S37" s="32" t="n">
        <f aca="false">SUM(S6:S36)</f>
        <v>155000</v>
      </c>
      <c r="T37" s="32" t="n">
        <f aca="false">SUM(T6:T36)</f>
        <v>0</v>
      </c>
      <c r="U37" s="32" t="n">
        <f aca="false">SUM(U6:U36)</f>
        <v>155000</v>
      </c>
      <c r="V37" s="32" t="n">
        <f aca="false">SUM(V6:V36)</f>
        <v>155000</v>
      </c>
      <c r="W37" s="32" t="n">
        <f aca="false">SUM(W6:W36)</f>
        <v>0</v>
      </c>
      <c r="X37" s="32" t="n">
        <f aca="false">SUM(X6:X36)</f>
        <v>310000</v>
      </c>
      <c r="Y37" s="32" t="n">
        <f aca="false">SUM(Y6:Y36)</f>
        <v>310000</v>
      </c>
      <c r="Z37" s="32" t="n">
        <f aca="false">SUM(Z6:Z36)</f>
        <v>0</v>
      </c>
      <c r="AA37" s="32" t="n">
        <f aca="false">SUM(AA6:AA36)</f>
        <v>123592</v>
      </c>
      <c r="AB37" s="32" t="n">
        <f aca="false">SUM(AB6:AB36)</f>
        <v>123592</v>
      </c>
      <c r="AC37" s="32" t="n">
        <f aca="false">SUM(AC6:AC36)</f>
        <v>0</v>
      </c>
      <c r="AD37" s="32" t="n">
        <f aca="false">SUM(AD6:AD36)</f>
        <v>123591</v>
      </c>
      <c r="AE37" s="32" t="n">
        <f aca="false">SUM(AE6:AE36)</f>
        <v>123591</v>
      </c>
      <c r="AF37" s="32" t="n">
        <f aca="false">SUM(AF6:AF36)</f>
        <v>0</v>
      </c>
      <c r="AG37" s="32" t="n">
        <f aca="false">SUM(AG6:AG36)</f>
        <v>221828</v>
      </c>
      <c r="AH37" s="32" t="n">
        <f aca="false">SUM(AH6:AH36)</f>
        <v>221368</v>
      </c>
      <c r="AI37" s="32" t="n">
        <f aca="false">SUM(AI6:AI36)</f>
        <v>-460</v>
      </c>
      <c r="AJ37" s="32" t="n">
        <f aca="false">SUM(AJ6:AJ36)</f>
        <v>93000</v>
      </c>
      <c r="AK37" s="32" t="n">
        <f aca="false">SUM(AK6:AK36)</f>
        <v>93000</v>
      </c>
      <c r="AL37" s="32" t="n">
        <f aca="false">SUM(AL6:AL36)</f>
        <v>0</v>
      </c>
      <c r="AM37" s="32" t="n">
        <f aca="false">SUM(AM6:AM36)</f>
        <v>238896</v>
      </c>
      <c r="AN37" s="32" t="n">
        <f aca="false">SUM(AN6:AN36)</f>
        <v>238896</v>
      </c>
      <c r="AO37" s="32" t="n">
        <f aca="false">SUM(AO6:AO36)</f>
        <v>0</v>
      </c>
      <c r="AP37" s="32" t="n">
        <f aca="false">SUM(AP6:AP36)</f>
        <v>155000</v>
      </c>
      <c r="AQ37" s="32" t="n">
        <f aca="false">SUM(AQ6:AQ36)</f>
        <v>155000</v>
      </c>
      <c r="AR37" s="32" t="n">
        <f aca="false">SUM(AR6:AR36)</f>
        <v>0</v>
      </c>
      <c r="AS37" s="32" t="n">
        <f aca="false">SUM(AS6:AS36)</f>
        <v>0</v>
      </c>
      <c r="AT37" s="32" t="n">
        <f aca="false">SUM(AT6:AT36)</f>
        <v>0</v>
      </c>
      <c r="AU37" s="32" t="n">
        <f aca="false">SUM(AU6:AU36)</f>
        <v>0</v>
      </c>
      <c r="AV37" s="32" t="n">
        <f aca="false">SUM(AV6:AV36)</f>
        <v>0</v>
      </c>
      <c r="AW37" s="32" t="n">
        <f aca="false">SUM(AW6:AW36)</f>
        <v>0</v>
      </c>
      <c r="AX37" s="32" t="n">
        <f aca="false">SUM(AX6:AX36)</f>
        <v>0</v>
      </c>
      <c r="AY37" s="32" t="n">
        <f aca="false">SUM(AY6:AY36)</f>
        <v>0</v>
      </c>
      <c r="AZ37" s="32" t="n">
        <f aca="false">SUM(AZ6:AZ36)</f>
        <v>0</v>
      </c>
      <c r="BA37" s="32" t="n">
        <f aca="false">SUM(BA6:BA36)</f>
        <v>0</v>
      </c>
      <c r="BB37" s="32" t="n">
        <f aca="false">SUM(BB6:BB36)</f>
        <v>0</v>
      </c>
      <c r="BC37" s="32" t="n">
        <f aca="false">SUM(BC6:BC36)</f>
        <v>0</v>
      </c>
      <c r="BD37" s="32" t="n">
        <f aca="false">SUM(BD6:BD36)</f>
        <v>0</v>
      </c>
      <c r="BE37" s="32" t="n">
        <f aca="false">SUM(BE6:BE36)</f>
        <v>0</v>
      </c>
      <c r="BF37" s="32" t="n">
        <f aca="false">SUM(BF6:BF36)</f>
        <v>0</v>
      </c>
      <c r="BG37" s="32" t="n">
        <f aca="false">SUM(BG6:BG36)</f>
        <v>0</v>
      </c>
      <c r="BH37" s="32" t="n">
        <f aca="false">SUM(BH6:BH36)</f>
        <v>0</v>
      </c>
      <c r="BI37" s="32" t="n">
        <f aca="false">SUM(BI6:BI36)</f>
        <v>0</v>
      </c>
      <c r="BJ37" s="32" t="n">
        <f aca="false">SUM(BJ6:BJ36)</f>
        <v>0</v>
      </c>
      <c r="BK37" s="32" t="n">
        <f aca="false">SUM(BK6:BK36)</f>
        <v>0</v>
      </c>
      <c r="BL37" s="32" t="n">
        <f aca="false">SUM(BL6:BL36)</f>
        <v>0</v>
      </c>
      <c r="BM37" s="32" t="n">
        <f aca="false">SUM(BM6:BM36)</f>
        <v>0</v>
      </c>
      <c r="BN37" s="32" t="n">
        <f aca="false">SUM(BN6:BN36)</f>
        <v>0</v>
      </c>
      <c r="BO37" s="32" t="n">
        <f aca="false">SUM(BO6:BO36)</f>
        <v>0</v>
      </c>
      <c r="BP37" s="89" t="n">
        <f aca="false">SUM(BP6:BP36)</f>
        <v>0</v>
      </c>
      <c r="BQ37" s="32" t="n">
        <f aca="false">SUM(BQ6:BQ36)</f>
        <v>0</v>
      </c>
      <c r="BR37" s="32" t="n">
        <f aca="false">SUM(BR6:BR36)</f>
        <v>0</v>
      </c>
      <c r="BS37" s="89" t="n">
        <f aca="false">SUM(BS6:BS36)</f>
        <v>0</v>
      </c>
      <c r="BT37" s="32" t="n">
        <f aca="false">SUM(BT6:BT36)</f>
        <v>0</v>
      </c>
      <c r="BU37" s="32" t="n">
        <f aca="false">SUM(BU6:BU36)</f>
        <v>0</v>
      </c>
      <c r="BV37" s="89" t="n">
        <f aca="false">SUM(BV6:BV36)</f>
        <v>0</v>
      </c>
      <c r="BW37" s="32" t="n">
        <f aca="false">SUM(BW6:BW36)</f>
        <v>0</v>
      </c>
      <c r="BX37" s="32" t="n">
        <f aca="false">SUM(BX6:BX36)</f>
        <v>0</v>
      </c>
      <c r="BY37" s="89" t="n">
        <f aca="false">SUM(BY6:BY36)</f>
        <v>0</v>
      </c>
      <c r="BZ37" s="32" t="n">
        <f aca="false">SUM(BZ6:BZ36)</f>
        <v>0</v>
      </c>
      <c r="CA37" s="32" t="n">
        <f aca="false">SUM(CA6:CA36)</f>
        <v>0</v>
      </c>
      <c r="CB37" s="89" t="n">
        <f aca="false">SUM(CB6:CB36)</f>
        <v>0</v>
      </c>
      <c r="CC37" s="32" t="n">
        <f aca="false">SUM(CC6:CC36)</f>
        <v>0</v>
      </c>
      <c r="CD37" s="32" t="n">
        <f aca="false">SUM(CD6:CD36)</f>
        <v>0</v>
      </c>
      <c r="CE37" s="89" t="n">
        <f aca="false">SUM(CE6:CE36)</f>
        <v>0</v>
      </c>
      <c r="CF37" s="32" t="n">
        <f aca="false">SUM(CF6:CF36)</f>
        <v>0</v>
      </c>
      <c r="CG37" s="32" t="n">
        <f aca="false">SUM(CG6:CG36)</f>
        <v>0</v>
      </c>
      <c r="CH37" s="89" t="n">
        <f aca="false">SUM(CH6:CH36)</f>
        <v>0</v>
      </c>
      <c r="CI37" s="32" t="n">
        <f aca="false">SUM(CI6:CI36)</f>
        <v>0</v>
      </c>
      <c r="CJ37" s="32" t="n">
        <f aca="false">SUM(CJ6:CJ36)</f>
        <v>0</v>
      </c>
      <c r="CK37" s="89" t="n">
        <f aca="false">SUM(CK6:CK36)</f>
        <v>0</v>
      </c>
      <c r="CL37" s="32" t="n">
        <f aca="false">SUM(CL6:CL36)</f>
        <v>0</v>
      </c>
      <c r="CM37" s="32" t="n">
        <f aca="false">SUM(CM6:CM36)</f>
        <v>0</v>
      </c>
      <c r="CN37" s="89" t="n">
        <f aca="false">SUM(CN6:CN36)</f>
        <v>0</v>
      </c>
      <c r="CO37" s="32" t="n">
        <f aca="false">SUM(CO6:CO36)</f>
        <v>0</v>
      </c>
      <c r="CP37" s="32" t="n">
        <f aca="false">SUM(CP6:CP36)</f>
        <v>0</v>
      </c>
      <c r="CQ37" s="89" t="n">
        <f aca="false">SUM(CQ6:CQ36)</f>
        <v>0</v>
      </c>
      <c r="CR37" s="32" t="n">
        <f aca="false">SUM(CR6:CR36)</f>
        <v>0</v>
      </c>
      <c r="CS37" s="32" t="n">
        <f aca="false">SUM(CS6:CS36)</f>
        <v>0</v>
      </c>
      <c r="CT37" s="89" t="n">
        <f aca="false">SUM(CT6:CT36)</f>
        <v>0</v>
      </c>
      <c r="CU37" s="32" t="n">
        <f aca="false">SUM(CU6:CU36)</f>
        <v>0</v>
      </c>
      <c r="CV37" s="32" t="n">
        <f aca="false">SUM(CV6:CV36)</f>
        <v>0</v>
      </c>
      <c r="CW37" s="89" t="n">
        <f aca="false">SUM(CW6:CW36)</f>
        <v>0</v>
      </c>
      <c r="CX37" s="32" t="n">
        <f aca="false">SUM(CX6:CX36)</f>
        <v>0</v>
      </c>
      <c r="CY37" s="32" t="n">
        <f aca="false">SUM(CY6:CY36)</f>
        <v>0</v>
      </c>
      <c r="CZ37" s="89" t="n">
        <f aca="false">SUM(CZ6:CZ36)</f>
        <v>0</v>
      </c>
      <c r="DA37" s="32" t="n">
        <f aca="false">SUM(DA6:DA36)</f>
        <v>0</v>
      </c>
      <c r="DB37" s="32" t="n">
        <f aca="false">SUM(DB6:DB36)</f>
        <v>0</v>
      </c>
      <c r="DC37" s="89" t="n">
        <f aca="false">SUM(DC6:DC36)</f>
        <v>0</v>
      </c>
      <c r="DD37" s="32" t="n">
        <f aca="false">SUM(DD6:DD36)</f>
        <v>0</v>
      </c>
      <c r="DE37" s="32" t="n">
        <f aca="false">SUM(DE6:DE36)</f>
        <v>0</v>
      </c>
      <c r="DF37" s="89" t="n">
        <f aca="false">SUM(DF6:DF36)</f>
        <v>0</v>
      </c>
      <c r="DG37" s="32" t="n">
        <f aca="false">SUM(DG6:DG36)</f>
        <v>0</v>
      </c>
      <c r="DH37" s="32" t="n">
        <f aca="false">SUM(DH6:DH36)</f>
        <v>0</v>
      </c>
      <c r="DI37" s="89" t="n">
        <f aca="false">SUM(DI6:DI36)</f>
        <v>0</v>
      </c>
      <c r="DJ37" s="32" t="n">
        <f aca="false">SUM(DJ6:DJ36)</f>
        <v>0</v>
      </c>
      <c r="DK37" s="32" t="n">
        <f aca="false">SUM(DK6:DK36)</f>
        <v>0</v>
      </c>
      <c r="DL37" s="89" t="n">
        <f aca="false">SUM(DL6:DL36)</f>
        <v>0</v>
      </c>
      <c r="DM37" s="32" t="n">
        <f aca="false">SUM(DM6:DM36)</f>
        <v>0</v>
      </c>
      <c r="DN37" s="32" t="n">
        <f aca="false">SUM(DN6:DN36)</f>
        <v>0</v>
      </c>
      <c r="DO37" s="89" t="n">
        <f aca="false">SUM(DO6:DO36)</f>
        <v>0</v>
      </c>
      <c r="DP37" s="32" t="n">
        <f aca="false">SUM(DP6:DP36)</f>
        <v>0</v>
      </c>
      <c r="DQ37" s="32" t="n">
        <f aca="false">SUM(DQ6:DQ36)</f>
        <v>0</v>
      </c>
      <c r="DR37" s="89" t="n">
        <f aca="false">SUM(DR6:DR36)</f>
        <v>0</v>
      </c>
      <c r="DS37" s="91" t="n">
        <f aca="false">SUM(DS6:DS36)</f>
        <v>3055914</v>
      </c>
      <c r="DT37" s="89" t="n">
        <f aca="false">SUM(DT6:DT36)</f>
        <v>3055454</v>
      </c>
      <c r="DU37" s="89" t="n">
        <f aca="false">SUM(DU6:DU36)</f>
        <v>-460</v>
      </c>
      <c r="DV37" s="32"/>
      <c r="DW37" s="32"/>
      <c r="DX37" s="32"/>
      <c r="DY37" s="9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93"/>
      <c r="EM37" s="93"/>
      <c r="EN37" s="93"/>
      <c r="EO37" s="93"/>
      <c r="EP37" s="93"/>
      <c r="EQ37" s="93"/>
      <c r="ER37" s="93"/>
      <c r="ES37" s="93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5"/>
      <c r="FQ37" s="95"/>
      <c r="FR37" s="95"/>
      <c r="FS37" s="95"/>
      <c r="FT37" s="95"/>
      <c r="FU37" s="95"/>
      <c r="FV37" s="95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12.75" hidden="false" customHeight="false" outlineLevel="0" collapsed="false">
      <c r="A38" s="97"/>
      <c r="B38" s="80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44"/>
      <c r="CF38" s="35"/>
      <c r="CG38" s="35"/>
      <c r="CH38" s="44"/>
      <c r="CI38" s="35"/>
      <c r="CJ38" s="35"/>
      <c r="CK38" s="44"/>
      <c r="CL38" s="35"/>
      <c r="CM38" s="35"/>
      <c r="CN38" s="44"/>
      <c r="CO38" s="35"/>
      <c r="CP38" s="35"/>
      <c r="CQ38" s="44"/>
      <c r="CR38" s="35"/>
      <c r="CS38" s="35"/>
      <c r="CT38" s="44"/>
      <c r="CU38" s="35"/>
      <c r="CV38" s="35"/>
      <c r="CW38" s="44"/>
      <c r="CX38" s="35"/>
      <c r="CY38" s="35"/>
      <c r="CZ38" s="44"/>
      <c r="DA38" s="35"/>
      <c r="DB38" s="35"/>
      <c r="DC38" s="44"/>
      <c r="DD38" s="35"/>
      <c r="DE38" s="35"/>
      <c r="DF38" s="44"/>
      <c r="DG38" s="35"/>
      <c r="DH38" s="35"/>
      <c r="DI38" s="35"/>
      <c r="DJ38" s="35"/>
      <c r="DK38" s="35"/>
      <c r="DL38" s="44"/>
      <c r="DM38" s="35"/>
      <c r="DN38" s="35"/>
      <c r="DO38" s="44"/>
      <c r="DP38" s="35"/>
      <c r="DQ38" s="35"/>
      <c r="DR38" s="44"/>
      <c r="DS38" s="44"/>
      <c r="DT38" s="35"/>
      <c r="DU38" s="35"/>
      <c r="DV38" s="35"/>
      <c r="DW38" s="35"/>
      <c r="DX38" s="35"/>
      <c r="DY38" s="99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100"/>
      <c r="EM38" s="100"/>
      <c r="EN38" s="100"/>
      <c r="EO38" s="100"/>
      <c r="EP38" s="100"/>
      <c r="EQ38" s="100"/>
      <c r="ER38" s="100"/>
      <c r="ES38" s="100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2"/>
      <c r="FQ38" s="102"/>
      <c r="FR38" s="102"/>
      <c r="FS38" s="102"/>
      <c r="FT38" s="102"/>
      <c r="FU38" s="102"/>
      <c r="FV38" s="102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</row>
    <row r="39" customFormat="false" ht="12.75" hidden="false" customHeight="false" outlineLevel="0" collapsed="false">
      <c r="A39" s="104" t="n">
        <v>1</v>
      </c>
      <c r="B39" s="42" t="n">
        <f aca="false">+A39+1</f>
        <v>2</v>
      </c>
      <c r="C39" s="42" t="n">
        <f aca="false">+B39+1</f>
        <v>3</v>
      </c>
      <c r="D39" s="42" t="n">
        <f aca="false">+C39+1</f>
        <v>4</v>
      </c>
      <c r="E39" s="42" t="n">
        <f aca="false">+D39+1</f>
        <v>5</v>
      </c>
      <c r="F39" s="42" t="n">
        <f aca="false">+E39+1</f>
        <v>6</v>
      </c>
      <c r="G39" s="42" t="n">
        <f aca="false">+F39+1</f>
        <v>7</v>
      </c>
      <c r="H39" s="42" t="n">
        <f aca="false">+G39+1</f>
        <v>8</v>
      </c>
      <c r="I39" s="42" t="n">
        <f aca="false">+H39+1</f>
        <v>9</v>
      </c>
      <c r="J39" s="42" t="n">
        <f aca="false">+I39+1</f>
        <v>10</v>
      </c>
      <c r="K39" s="42" t="n">
        <f aca="false">+J39+1</f>
        <v>11</v>
      </c>
      <c r="L39" s="42" t="n">
        <f aca="false">+K39+1</f>
        <v>12</v>
      </c>
      <c r="M39" s="42" t="n">
        <f aca="false">+L39+1</f>
        <v>13</v>
      </c>
      <c r="N39" s="42" t="n">
        <f aca="false">+M39+1</f>
        <v>14</v>
      </c>
      <c r="O39" s="42" t="n">
        <f aca="false">+N39+1</f>
        <v>15</v>
      </c>
      <c r="P39" s="42" t="n">
        <f aca="false">+O39+1</f>
        <v>16</v>
      </c>
      <c r="Q39" s="42" t="n">
        <f aca="false">+P39+1</f>
        <v>17</v>
      </c>
      <c r="R39" s="42" t="n">
        <f aca="false">+Q39+1</f>
        <v>18</v>
      </c>
      <c r="S39" s="42" t="n">
        <f aca="false">+R39+1</f>
        <v>19</v>
      </c>
      <c r="T39" s="42" t="n">
        <f aca="false">+S39+1</f>
        <v>20</v>
      </c>
      <c r="U39" s="42" t="n">
        <f aca="false">+T39+1</f>
        <v>21</v>
      </c>
      <c r="V39" s="42" t="n">
        <f aca="false">+U39+1</f>
        <v>22</v>
      </c>
      <c r="W39" s="42" t="n">
        <f aca="false">+V39+1</f>
        <v>23</v>
      </c>
      <c r="X39" s="42" t="n">
        <f aca="false">+W39+1</f>
        <v>24</v>
      </c>
      <c r="Y39" s="42" t="n">
        <f aca="false">+X39+1</f>
        <v>25</v>
      </c>
      <c r="Z39" s="42" t="n">
        <f aca="false">+Y39+1</f>
        <v>26</v>
      </c>
      <c r="AA39" s="42" t="n">
        <f aca="false">+Z39+1</f>
        <v>27</v>
      </c>
      <c r="AB39" s="42" t="n">
        <f aca="false">+AA39+1</f>
        <v>28</v>
      </c>
      <c r="AC39" s="42" t="n">
        <f aca="false">+AB39+1</f>
        <v>29</v>
      </c>
      <c r="AD39" s="42" t="n">
        <f aca="false">+AC39+1</f>
        <v>30</v>
      </c>
      <c r="AE39" s="42" t="n">
        <f aca="false">+AD39+1</f>
        <v>31</v>
      </c>
      <c r="AF39" s="42" t="n">
        <f aca="false">+AE39+1</f>
        <v>32</v>
      </c>
      <c r="AG39" s="42" t="n">
        <f aca="false">+AF39+1</f>
        <v>33</v>
      </c>
      <c r="AH39" s="42" t="n">
        <f aca="false">+AG39+1</f>
        <v>34</v>
      </c>
      <c r="AI39" s="42" t="n">
        <f aca="false">+AH39+1</f>
        <v>35</v>
      </c>
      <c r="AJ39" s="42" t="n">
        <f aca="false">+AI39+1</f>
        <v>36</v>
      </c>
      <c r="AK39" s="42" t="n">
        <f aca="false">+AJ39+1</f>
        <v>37</v>
      </c>
      <c r="AL39" s="42" t="n">
        <f aca="false">+AK39+1</f>
        <v>38</v>
      </c>
      <c r="AM39" s="42" t="n">
        <f aca="false">+AL39+1</f>
        <v>39</v>
      </c>
      <c r="AN39" s="42" t="n">
        <f aca="false">+AM39+1</f>
        <v>40</v>
      </c>
      <c r="AO39" s="42" t="n">
        <f aca="false">+AN39+1</f>
        <v>41</v>
      </c>
      <c r="AP39" s="42" t="n">
        <f aca="false">+AO39+1</f>
        <v>42</v>
      </c>
      <c r="AQ39" s="42" t="n">
        <f aca="false">+AP39+1</f>
        <v>43</v>
      </c>
      <c r="AR39" s="42" t="n">
        <f aca="false">+AQ39+1</f>
        <v>44</v>
      </c>
      <c r="AS39" s="42" t="n">
        <f aca="false">+AR39+1</f>
        <v>45</v>
      </c>
      <c r="AT39" s="42" t="n">
        <f aca="false">+AS39+1</f>
        <v>46</v>
      </c>
      <c r="AU39" s="42" t="n">
        <f aca="false">+AT39+1</f>
        <v>47</v>
      </c>
      <c r="AV39" s="42" t="n">
        <f aca="false">+AU39+1</f>
        <v>48</v>
      </c>
      <c r="AW39" s="42" t="n">
        <f aca="false">+AV39+1</f>
        <v>49</v>
      </c>
      <c r="AX39" s="42" t="n">
        <f aca="false">+AW39+1</f>
        <v>50</v>
      </c>
      <c r="AY39" s="42" t="n">
        <f aca="false">+AX39+1</f>
        <v>51</v>
      </c>
      <c r="AZ39" s="42" t="n">
        <f aca="false">+AY39+1</f>
        <v>52</v>
      </c>
      <c r="BA39" s="42" t="n">
        <f aca="false">+AZ39+1</f>
        <v>53</v>
      </c>
      <c r="BB39" s="42" t="n">
        <f aca="false">+BA39+1</f>
        <v>54</v>
      </c>
      <c r="BC39" s="42" t="n">
        <f aca="false">+BB39+1</f>
        <v>55</v>
      </c>
      <c r="BD39" s="42" t="n">
        <f aca="false">+BC39+1</f>
        <v>56</v>
      </c>
      <c r="BE39" s="42" t="n">
        <f aca="false">+BD39+1</f>
        <v>57</v>
      </c>
      <c r="BF39" s="42" t="n">
        <f aca="false">+BE39+1</f>
        <v>58</v>
      </c>
      <c r="BG39" s="42" t="n">
        <f aca="false">+BF39+1</f>
        <v>59</v>
      </c>
      <c r="BH39" s="42" t="n">
        <f aca="false">+BG39+1</f>
        <v>60</v>
      </c>
      <c r="BI39" s="42" t="n">
        <f aca="false">+BH39+1</f>
        <v>61</v>
      </c>
      <c r="BJ39" s="42" t="n">
        <f aca="false">+BI39+1</f>
        <v>62</v>
      </c>
      <c r="BK39" s="42" t="n">
        <f aca="false">+BJ39+1</f>
        <v>63</v>
      </c>
      <c r="BL39" s="42" t="n">
        <f aca="false">+BK39+1</f>
        <v>64</v>
      </c>
      <c r="BM39" s="42" t="n">
        <f aca="false">+BL39+1</f>
        <v>65</v>
      </c>
      <c r="BN39" s="42" t="n">
        <f aca="false">+BM39+1</f>
        <v>66</v>
      </c>
      <c r="BO39" s="42" t="n">
        <f aca="false">+BN39+1</f>
        <v>67</v>
      </c>
      <c r="BP39" s="42" t="n">
        <f aca="false">+BO39+1</f>
        <v>68</v>
      </c>
      <c r="BQ39" s="42" t="n">
        <f aca="false">+BP39+1</f>
        <v>69</v>
      </c>
      <c r="BR39" s="42" t="n">
        <f aca="false">+BQ39+1</f>
        <v>70</v>
      </c>
      <c r="BS39" s="42" t="n">
        <f aca="false">+BR39+1</f>
        <v>71</v>
      </c>
      <c r="BT39" s="42" t="n">
        <f aca="false">+BS39+1</f>
        <v>72</v>
      </c>
      <c r="BU39" s="42" t="n">
        <f aca="false">+BT39+1</f>
        <v>73</v>
      </c>
      <c r="BV39" s="42" t="n">
        <f aca="false">+BU39+1</f>
        <v>74</v>
      </c>
      <c r="BW39" s="42" t="n">
        <f aca="false">+BV39+1</f>
        <v>75</v>
      </c>
      <c r="BX39" s="42" t="n">
        <f aca="false">+BW39+1</f>
        <v>76</v>
      </c>
      <c r="BY39" s="42" t="n">
        <f aca="false">+BX39+1</f>
        <v>77</v>
      </c>
      <c r="BZ39" s="42" t="n">
        <f aca="false">+BY39+1</f>
        <v>78</v>
      </c>
      <c r="CA39" s="42" t="n">
        <f aca="false">+BZ39+1</f>
        <v>79</v>
      </c>
      <c r="CB39" s="42" t="n">
        <f aca="false">+CA39+1</f>
        <v>80</v>
      </c>
      <c r="CC39" s="42" t="n">
        <f aca="false">+CB39+1</f>
        <v>81</v>
      </c>
      <c r="CD39" s="42" t="n">
        <f aca="false">+CC39+1</f>
        <v>82</v>
      </c>
      <c r="CE39" s="42" t="n">
        <f aca="false">+CD39+1</f>
        <v>83</v>
      </c>
      <c r="CF39" s="42" t="n">
        <f aca="false">+CE39+1</f>
        <v>84</v>
      </c>
      <c r="CG39" s="42" t="n">
        <f aca="false">+CF39+1</f>
        <v>85</v>
      </c>
      <c r="CH39" s="42" t="n">
        <f aca="false">+CG39+1</f>
        <v>86</v>
      </c>
      <c r="CI39" s="42" t="n">
        <f aca="false">+CH39+1</f>
        <v>87</v>
      </c>
      <c r="CJ39" s="42" t="n">
        <f aca="false">+CI39+1</f>
        <v>88</v>
      </c>
      <c r="CK39" s="42" t="n">
        <f aca="false">+CJ39+1</f>
        <v>89</v>
      </c>
      <c r="CL39" s="42" t="n">
        <f aca="false">+CK39+1</f>
        <v>90</v>
      </c>
      <c r="CM39" s="42" t="n">
        <f aca="false">+CL39+1</f>
        <v>91</v>
      </c>
      <c r="CN39" s="42" t="n">
        <f aca="false">+CM39+1</f>
        <v>92</v>
      </c>
      <c r="CO39" s="42" t="n">
        <f aca="false">+CN39+1</f>
        <v>93</v>
      </c>
      <c r="CP39" s="42" t="n">
        <f aca="false">+CO39+1</f>
        <v>94</v>
      </c>
      <c r="CQ39" s="42" t="n">
        <f aca="false">+CP39+1</f>
        <v>95</v>
      </c>
      <c r="CR39" s="42" t="n">
        <f aca="false">+CQ39+1</f>
        <v>96</v>
      </c>
      <c r="CS39" s="42" t="n">
        <f aca="false">+CR39+1</f>
        <v>97</v>
      </c>
      <c r="CT39" s="42" t="n">
        <f aca="false">+CS39+1</f>
        <v>98</v>
      </c>
      <c r="CU39" s="42" t="n">
        <f aca="false">+CT39+1</f>
        <v>99</v>
      </c>
      <c r="CV39" s="42" t="n">
        <f aca="false">+CU39+1</f>
        <v>100</v>
      </c>
      <c r="CW39" s="42" t="n">
        <f aca="false">+CV39+1</f>
        <v>101</v>
      </c>
      <c r="CX39" s="42" t="n">
        <f aca="false">+CW39+1</f>
        <v>102</v>
      </c>
      <c r="CY39" s="42" t="n">
        <f aca="false">+CX39+1</f>
        <v>103</v>
      </c>
      <c r="CZ39" s="42" t="n">
        <f aca="false">+CY39+1</f>
        <v>104</v>
      </c>
      <c r="DA39" s="42" t="n">
        <f aca="false">+CZ39+1</f>
        <v>105</v>
      </c>
      <c r="DB39" s="42" t="n">
        <f aca="false">+DA39+1</f>
        <v>106</v>
      </c>
      <c r="DC39" s="42" t="n">
        <f aca="false">+DB39+1</f>
        <v>107</v>
      </c>
      <c r="DD39" s="42" t="n">
        <f aca="false">+DC39+1</f>
        <v>108</v>
      </c>
      <c r="DE39" s="42" t="n">
        <f aca="false">+DD39+1</f>
        <v>109</v>
      </c>
      <c r="DF39" s="42" t="n">
        <f aca="false">+DE39+1</f>
        <v>110</v>
      </c>
      <c r="DS39" s="44"/>
    </row>
    <row r="40" customFormat="false" ht="12.75" hidden="false" customHeight="false" outlineLevel="0" collapsed="false">
      <c r="A40" s="46"/>
      <c r="B40" s="80"/>
      <c r="C40" s="41"/>
      <c r="F40" s="41"/>
      <c r="I40" s="41"/>
      <c r="L40" s="41"/>
      <c r="O40" s="41"/>
      <c r="R40" s="41"/>
      <c r="U40" s="41"/>
      <c r="X40" s="41"/>
      <c r="AA40" s="41"/>
      <c r="AD40" s="41"/>
      <c r="AG40" s="41"/>
      <c r="AJ40" s="41"/>
      <c r="AM40" s="41"/>
      <c r="AP40" s="41"/>
      <c r="AS40" s="41"/>
      <c r="AV40" s="41"/>
      <c r="AY40" s="41"/>
      <c r="BB40" s="41"/>
      <c r="BE40" s="41"/>
      <c r="BH40" s="41"/>
      <c r="BK40" s="41"/>
      <c r="BN40" s="41"/>
      <c r="DS40" s="44"/>
    </row>
    <row r="41" customFormat="false" ht="12.75" hidden="false" customHeight="false" outlineLevel="0" collapsed="false">
      <c r="A41" s="46"/>
      <c r="B41" s="80"/>
      <c r="C41" s="41"/>
      <c r="F41" s="41"/>
      <c r="I41" s="41"/>
      <c r="L41" s="41"/>
      <c r="O41" s="41"/>
      <c r="R41" s="41"/>
      <c r="U41" s="41"/>
      <c r="X41" s="41"/>
      <c r="AA41" s="41"/>
      <c r="AD41" s="41"/>
      <c r="AG41" s="41"/>
      <c r="AJ41" s="41"/>
      <c r="AM41" s="41"/>
      <c r="AP41" s="41"/>
      <c r="AS41" s="41"/>
      <c r="AV41" s="41"/>
      <c r="AY41" s="41"/>
      <c r="BB41" s="41"/>
      <c r="BE41" s="41"/>
      <c r="BH41" s="41"/>
      <c r="BK41" s="41"/>
      <c r="BN41" s="41"/>
    </row>
    <row r="42" customFormat="false" ht="12.75" hidden="false" customHeight="false" outlineLevel="0" collapsed="false">
      <c r="A42" s="46"/>
      <c r="B42" s="80"/>
      <c r="C42" s="41"/>
      <c r="F42" s="41"/>
      <c r="I42" s="41"/>
      <c r="L42" s="41"/>
      <c r="O42" s="41"/>
      <c r="R42" s="41"/>
      <c r="U42" s="41"/>
      <c r="X42" s="41"/>
      <c r="AA42" s="41"/>
      <c r="AD42" s="41"/>
      <c r="AG42" s="41"/>
      <c r="AJ42" s="41"/>
      <c r="AM42" s="41"/>
      <c r="AP42" s="41"/>
      <c r="AS42" s="41"/>
      <c r="AV42" s="41"/>
      <c r="AY42" s="41"/>
      <c r="BB42" s="41"/>
      <c r="BE42" s="41"/>
      <c r="BH42" s="41"/>
      <c r="BK42" s="41"/>
      <c r="BN42" s="41"/>
    </row>
    <row r="43" customFormat="false" ht="12.75" hidden="false" customHeight="false" outlineLevel="0" collapsed="false">
      <c r="A43" s="46"/>
      <c r="C43" s="41"/>
      <c r="F43" s="41"/>
      <c r="I43" s="41"/>
      <c r="L43" s="41"/>
      <c r="O43" s="41"/>
      <c r="R43" s="41"/>
      <c r="U43" s="41"/>
      <c r="X43" s="41"/>
      <c r="AA43" s="41"/>
      <c r="AD43" s="41"/>
      <c r="AG43" s="41"/>
      <c r="AJ43" s="41"/>
      <c r="AM43" s="41"/>
      <c r="AP43" s="41"/>
      <c r="AS43" s="41"/>
      <c r="AV43" s="41"/>
      <c r="AY43" s="41"/>
      <c r="BB43" s="41"/>
      <c r="BE43" s="41"/>
      <c r="BH43" s="41"/>
      <c r="BK43" s="41"/>
      <c r="BN43" s="41"/>
    </row>
    <row r="44" customFormat="false" ht="12.75" hidden="false" customHeight="false" outlineLevel="0" collapsed="false">
      <c r="A44" s="46"/>
    </row>
    <row r="45" customFormat="false" ht="12.75" hidden="false" customHeight="false" outlineLevel="0" collapsed="false">
      <c r="A45" s="46"/>
    </row>
    <row r="46" customFormat="false" ht="12.75" hidden="false" customHeight="false" outlineLevel="0" collapsed="false">
      <c r="A46" s="46"/>
    </row>
    <row r="47" customFormat="false" ht="12.75" hidden="false" customHeight="false" outlineLevel="0" collapsed="false">
      <c r="A47" s="46"/>
    </row>
    <row r="48" customFormat="false" ht="12.75" hidden="false" customHeight="false" outlineLevel="0" collapsed="false">
      <c r="A48" s="46"/>
    </row>
    <row r="49" customFormat="false" ht="12.75" hidden="false" customHeight="false" outlineLevel="0" collapsed="false">
      <c r="A49" s="46"/>
    </row>
    <row r="50" customFormat="false" ht="12.75" hidden="false" customHeight="false" outlineLevel="0" collapsed="false">
      <c r="A50" s="46"/>
    </row>
    <row r="51" customFormat="false" ht="12.75" hidden="false" customHeight="false" outlineLevel="0" collapsed="false">
      <c r="A51" s="46"/>
    </row>
    <row r="52" customFormat="false" ht="12.75" hidden="false" customHeight="false" outlineLevel="0" collapsed="false">
      <c r="A52" s="46"/>
    </row>
    <row r="53" customFormat="false" ht="12.75" hidden="false" customHeight="false" outlineLevel="0" collapsed="false">
      <c r="A53" s="46"/>
    </row>
    <row r="54" customFormat="false" ht="12.75" hidden="false" customHeight="false" outlineLevel="0" collapsed="false">
      <c r="A54" s="46"/>
    </row>
    <row r="55" customFormat="false" ht="12.75" hidden="false" customHeight="false" outlineLevel="0" collapsed="false">
      <c r="A55" s="46"/>
    </row>
    <row r="56" customFormat="false" ht="12.75" hidden="false" customHeight="false" outlineLevel="0" collapsed="false">
      <c r="A56" s="46"/>
    </row>
    <row r="57" customFormat="false" ht="12.75" hidden="false" customHeight="false" outlineLevel="0" collapsed="false">
      <c r="A57" s="46"/>
    </row>
    <row r="58" customFormat="false" ht="12.75" hidden="false" customHeight="false" outlineLevel="0" collapsed="false">
      <c r="A58" s="46"/>
    </row>
    <row r="59" customFormat="false" ht="12.75" hidden="false" customHeight="false" outlineLevel="0" collapsed="false">
      <c r="A59" s="46"/>
    </row>
    <row r="60" customFormat="false" ht="12.75" hidden="false" customHeight="false" outlineLevel="0" collapsed="false">
      <c r="A60" s="46"/>
    </row>
    <row r="61" customFormat="false" ht="12.75" hidden="false" customHeight="false" outlineLevel="0" collapsed="false">
      <c r="A61" s="46"/>
    </row>
    <row r="62" customFormat="false" ht="12.75" hidden="false" customHeight="false" outlineLevel="0" collapsed="false">
      <c r="A62" s="46"/>
    </row>
    <row r="63" customFormat="false" ht="12.75" hidden="false" customHeight="false" outlineLevel="0" collapsed="false">
      <c r="A63" s="46"/>
    </row>
    <row r="64" customFormat="false" ht="12.75" hidden="false" customHeight="false" outlineLevel="0" collapsed="false">
      <c r="A64" s="46"/>
    </row>
    <row r="65" customFormat="false" ht="12.75" hidden="false" customHeight="false" outlineLevel="0" collapsed="false">
      <c r="A65" s="46"/>
    </row>
    <row r="66" customFormat="false" ht="12.75" hidden="false" customHeight="false" outlineLevel="0" collapsed="false">
      <c r="A66" s="46"/>
    </row>
    <row r="67" customFormat="false" ht="12.75" hidden="false" customHeight="false" outlineLevel="0" collapsed="false">
      <c r="A67" s="46"/>
    </row>
    <row r="68" customFormat="false" ht="12.75" hidden="false" customHeight="false" outlineLevel="0" collapsed="false">
      <c r="A68" s="46"/>
    </row>
    <row r="69" customFormat="false" ht="12.75" hidden="false" customHeight="false" outlineLevel="0" collapsed="false">
      <c r="A69" s="46"/>
    </row>
    <row r="70" customFormat="false" ht="12.75" hidden="false" customHeight="false" outlineLevel="0" collapsed="false">
      <c r="A70" s="46"/>
    </row>
    <row r="71" customFormat="false" ht="12.75" hidden="false" customHeight="false" outlineLevel="0" collapsed="false">
      <c r="A71" s="46"/>
    </row>
    <row r="72" customFormat="false" ht="12.75" hidden="false" customHeight="false" outlineLevel="0" collapsed="false">
      <c r="A72" s="46"/>
    </row>
    <row r="73" customFormat="false" ht="12.75" hidden="false" customHeight="false" outlineLevel="0" collapsed="false">
      <c r="A73" s="46"/>
    </row>
    <row r="74" customFormat="false" ht="12.75" hidden="false" customHeight="false" outlineLevel="0" collapsed="false">
      <c r="A74" s="46"/>
    </row>
    <row r="75" customFormat="false" ht="12.75" hidden="false" customHeight="false" outlineLevel="0" collapsed="false">
      <c r="A75" s="46"/>
    </row>
    <row r="76" customFormat="false" ht="12.75" hidden="false" customHeight="false" outlineLevel="0" collapsed="false">
      <c r="A76" s="46"/>
    </row>
    <row r="77" customFormat="false" ht="12.75" hidden="false" customHeight="false" outlineLevel="0" collapsed="false">
      <c r="A77" s="46"/>
    </row>
    <row r="78" customFormat="false" ht="12.75" hidden="false" customHeight="false" outlineLevel="0" collapsed="false">
      <c r="A78" s="46"/>
    </row>
    <row r="79" customFormat="false" ht="12.75" hidden="false" customHeight="false" outlineLevel="0" collapsed="false">
      <c r="A79" s="46"/>
    </row>
    <row r="80" customFormat="false" ht="12.75" hidden="false" customHeight="false" outlineLevel="0" collapsed="false">
      <c r="A80" s="46"/>
    </row>
    <row r="81" customFormat="false" ht="12.75" hidden="false" customHeight="false" outlineLevel="0" collapsed="false">
      <c r="A81" s="46"/>
    </row>
    <row r="82" customFormat="false" ht="12.75" hidden="false" customHeight="false" outlineLevel="0" collapsed="false">
      <c r="A82" s="46"/>
    </row>
    <row r="83" customFormat="false" ht="12.75" hidden="false" customHeight="false" outlineLevel="0" collapsed="false">
      <c r="A83" s="46"/>
    </row>
    <row r="84" customFormat="false" ht="12.75" hidden="false" customHeight="false" outlineLevel="0" collapsed="false">
      <c r="A84" s="46"/>
    </row>
    <row r="85" customFormat="false" ht="12.75" hidden="false" customHeight="false" outlineLevel="0" collapsed="false">
      <c r="A85" s="46"/>
    </row>
    <row r="86" customFormat="false" ht="12.75" hidden="false" customHeight="false" outlineLevel="0" collapsed="false">
      <c r="A86" s="46"/>
    </row>
    <row r="87" customFormat="false" ht="12.75" hidden="false" customHeight="false" outlineLevel="0" collapsed="false">
      <c r="A87" s="46"/>
    </row>
    <row r="88" customFormat="false" ht="12.75" hidden="false" customHeight="false" outlineLevel="0" collapsed="false">
      <c r="A88" s="46"/>
    </row>
    <row r="89" customFormat="false" ht="12.75" hidden="false" customHeight="false" outlineLevel="0" collapsed="false">
      <c r="A89" s="46"/>
    </row>
    <row r="90" customFormat="false" ht="12.75" hidden="false" customHeight="false" outlineLevel="0" collapsed="false">
      <c r="A90" s="46"/>
    </row>
    <row r="91" customFormat="false" ht="12.75" hidden="false" customHeight="false" outlineLevel="0" collapsed="false">
      <c r="A91" s="46"/>
    </row>
    <row r="92" customFormat="false" ht="12.75" hidden="false" customHeight="false" outlineLevel="0" collapsed="false">
      <c r="A92" s="46"/>
    </row>
    <row r="93" customFormat="false" ht="12.75" hidden="false" customHeight="false" outlineLevel="0" collapsed="false">
      <c r="A93" s="46"/>
    </row>
    <row r="94" customFormat="false" ht="12.75" hidden="false" customHeight="false" outlineLevel="0" collapsed="false">
      <c r="A94" s="46"/>
    </row>
    <row r="95" customFormat="false" ht="12.75" hidden="false" customHeight="false" outlineLevel="0" collapsed="false">
      <c r="A95" s="46"/>
    </row>
    <row r="96" customFormat="false" ht="12.75" hidden="false" customHeight="false" outlineLevel="0" collapsed="false">
      <c r="A96" s="46"/>
    </row>
    <row r="97" customFormat="false" ht="12.75" hidden="false" customHeight="false" outlineLevel="0" collapsed="false">
      <c r="A97" s="46"/>
    </row>
    <row r="98" customFormat="false" ht="12.75" hidden="false" customHeight="false" outlineLevel="0" collapsed="false">
      <c r="A98" s="46"/>
    </row>
    <row r="99" customFormat="false" ht="12.75" hidden="false" customHeight="false" outlineLevel="0" collapsed="false">
      <c r="A99" s="46"/>
    </row>
    <row r="100" customFormat="false" ht="12.75" hidden="false" customHeight="false" outlineLevel="0" collapsed="false">
      <c r="A100" s="46"/>
    </row>
    <row r="101" customFormat="false" ht="12.75" hidden="false" customHeight="false" outlineLevel="0" collapsed="false">
      <c r="A101" s="46"/>
    </row>
    <row r="102" customFormat="false" ht="12.75" hidden="false" customHeight="false" outlineLevel="0" collapsed="false">
      <c r="A102" s="46"/>
    </row>
    <row r="103" customFormat="false" ht="12.75" hidden="false" customHeight="false" outlineLevel="0" collapsed="false">
      <c r="A103" s="46"/>
    </row>
    <row r="104" customFormat="false" ht="12.75" hidden="false" customHeight="false" outlineLevel="0" collapsed="false">
      <c r="A104" s="46"/>
    </row>
    <row r="105" customFormat="false" ht="12.75" hidden="false" customHeight="false" outlineLevel="0" collapsed="false">
      <c r="A105" s="46"/>
    </row>
    <row r="106" customFormat="false" ht="12.75" hidden="false" customHeight="false" outlineLevel="0" collapsed="false">
      <c r="A106" s="46"/>
    </row>
    <row r="107" customFormat="false" ht="12.75" hidden="false" customHeight="false" outlineLevel="0" collapsed="false">
      <c r="A107" s="46"/>
    </row>
    <row r="108" customFormat="false" ht="12.75" hidden="false" customHeight="false" outlineLevel="0" collapsed="false">
      <c r="A108" s="46"/>
    </row>
    <row r="109" customFormat="false" ht="12.75" hidden="false" customHeight="false" outlineLevel="0" collapsed="false">
      <c r="A109" s="46"/>
    </row>
    <row r="110" customFormat="false" ht="12.75" hidden="false" customHeight="false" outlineLevel="0" collapsed="false">
      <c r="A110" s="46"/>
    </row>
    <row r="111" customFormat="false" ht="12.75" hidden="false" customHeight="false" outlineLevel="0" collapsed="false">
      <c r="A111" s="46"/>
    </row>
    <row r="112" customFormat="false" ht="12.75" hidden="false" customHeight="false" outlineLevel="0" collapsed="false">
      <c r="A112" s="46"/>
    </row>
    <row r="113" customFormat="false" ht="12.75" hidden="false" customHeight="false" outlineLevel="0" collapsed="false">
      <c r="A113" s="46"/>
    </row>
    <row r="114" customFormat="false" ht="12.75" hidden="false" customHeight="false" outlineLevel="0" collapsed="false">
      <c r="A114" s="46"/>
    </row>
    <row r="115" customFormat="false" ht="12.75" hidden="false" customHeight="false" outlineLevel="0" collapsed="false">
      <c r="A115" s="46"/>
    </row>
    <row r="116" customFormat="false" ht="12.75" hidden="false" customHeight="false" outlineLevel="0" collapsed="false">
      <c r="A116" s="46"/>
    </row>
    <row r="117" customFormat="false" ht="12.75" hidden="false" customHeight="false" outlineLevel="0" collapsed="false">
      <c r="A117" s="46"/>
    </row>
    <row r="118" customFormat="false" ht="12.75" hidden="false" customHeight="false" outlineLevel="0" collapsed="false">
      <c r="A118" s="46"/>
    </row>
    <row r="119" customFormat="false" ht="12.75" hidden="false" customHeight="false" outlineLevel="0" collapsed="false">
      <c r="A119" s="46"/>
    </row>
    <row r="120" customFormat="false" ht="12.75" hidden="false" customHeight="false" outlineLevel="0" collapsed="false">
      <c r="A120" s="46"/>
    </row>
    <row r="121" customFormat="false" ht="12.75" hidden="false" customHeight="false" outlineLevel="0" collapsed="false">
      <c r="A121" s="46"/>
    </row>
    <row r="122" customFormat="false" ht="12.75" hidden="false" customHeight="false" outlineLevel="0" collapsed="false">
      <c r="A122" s="46"/>
    </row>
    <row r="123" customFormat="false" ht="12.75" hidden="false" customHeight="false" outlineLevel="0" collapsed="false">
      <c r="A123" s="46"/>
    </row>
    <row r="124" customFormat="false" ht="12.75" hidden="false" customHeight="false" outlineLevel="0" collapsed="false">
      <c r="A124" s="46"/>
    </row>
    <row r="125" customFormat="false" ht="12.75" hidden="false" customHeight="false" outlineLevel="0" collapsed="false">
      <c r="A125" s="46"/>
    </row>
    <row r="126" customFormat="false" ht="12.75" hidden="false" customHeight="false" outlineLevel="0" collapsed="false">
      <c r="A126" s="46"/>
    </row>
    <row r="127" customFormat="false" ht="12.75" hidden="false" customHeight="false" outlineLevel="0" collapsed="false">
      <c r="A127" s="46"/>
    </row>
    <row r="128" customFormat="false" ht="12.75" hidden="false" customHeight="false" outlineLevel="0" collapsed="false">
      <c r="A128" s="46"/>
    </row>
    <row r="129" customFormat="false" ht="12.75" hidden="false" customHeight="false" outlineLevel="0" collapsed="false">
      <c r="A129" s="46"/>
    </row>
    <row r="130" customFormat="false" ht="12.75" hidden="false" customHeight="false" outlineLevel="0" collapsed="false">
      <c r="A130" s="46"/>
    </row>
    <row r="131" customFormat="false" ht="12.75" hidden="false" customHeight="false" outlineLevel="0" collapsed="false">
      <c r="A131" s="46"/>
    </row>
    <row r="132" customFormat="false" ht="12.75" hidden="false" customHeight="false" outlineLevel="0" collapsed="false">
      <c r="A132" s="46"/>
    </row>
    <row r="133" customFormat="false" ht="12.75" hidden="false" customHeight="false" outlineLevel="0" collapsed="false">
      <c r="A133" s="46"/>
    </row>
    <row r="134" customFormat="false" ht="12.75" hidden="false" customHeight="false" outlineLevel="0" collapsed="false">
      <c r="A134" s="46"/>
    </row>
    <row r="135" customFormat="false" ht="12.75" hidden="false" customHeight="false" outlineLevel="0" collapsed="false">
      <c r="A135" s="46"/>
    </row>
    <row r="136" customFormat="false" ht="12.75" hidden="false" customHeight="false" outlineLevel="0" collapsed="false">
      <c r="A136" s="46"/>
    </row>
    <row r="137" customFormat="false" ht="12.75" hidden="false" customHeight="false" outlineLevel="0" collapsed="false">
      <c r="A137" s="46"/>
    </row>
    <row r="138" customFormat="false" ht="12.75" hidden="false" customHeight="false" outlineLevel="0" collapsed="false">
      <c r="A138" s="46"/>
    </row>
    <row r="139" customFormat="false" ht="12.75" hidden="false" customHeight="false" outlineLevel="0" collapsed="false">
      <c r="A139" s="46"/>
    </row>
    <row r="140" customFormat="false" ht="12.75" hidden="false" customHeight="false" outlineLevel="0" collapsed="false">
      <c r="A140" s="46"/>
    </row>
    <row r="141" customFormat="false" ht="12.75" hidden="false" customHeight="false" outlineLevel="0" collapsed="false">
      <c r="A141" s="46"/>
    </row>
    <row r="142" customFormat="false" ht="12.75" hidden="false" customHeight="false" outlineLevel="0" collapsed="false">
      <c r="A142" s="46"/>
    </row>
    <row r="143" customFormat="false" ht="12.75" hidden="false" customHeight="false" outlineLevel="0" collapsed="false">
      <c r="A143" s="46"/>
    </row>
    <row r="144" customFormat="false" ht="12.75" hidden="false" customHeight="false" outlineLevel="0" collapsed="false">
      <c r="A144" s="46"/>
    </row>
    <row r="145" customFormat="false" ht="12.75" hidden="false" customHeight="false" outlineLevel="0" collapsed="false">
      <c r="A145" s="46"/>
    </row>
    <row r="146" customFormat="false" ht="12.75" hidden="false" customHeight="false" outlineLevel="0" collapsed="false">
      <c r="A146" s="46"/>
    </row>
    <row r="147" customFormat="false" ht="12.75" hidden="false" customHeight="false" outlineLevel="0" collapsed="false">
      <c r="A147" s="46"/>
    </row>
    <row r="148" customFormat="false" ht="12.75" hidden="false" customHeight="false" outlineLevel="0" collapsed="false">
      <c r="A148" s="46"/>
    </row>
    <row r="149" customFormat="false" ht="12.75" hidden="false" customHeight="false" outlineLevel="0" collapsed="false">
      <c r="A149" s="46"/>
    </row>
    <row r="150" customFormat="false" ht="12.75" hidden="false" customHeight="false" outlineLevel="0" collapsed="false">
      <c r="A150" s="46"/>
    </row>
    <row r="151" customFormat="false" ht="12.75" hidden="false" customHeight="false" outlineLevel="0" collapsed="false">
      <c r="A151" s="46"/>
    </row>
    <row r="152" customFormat="false" ht="12.75" hidden="false" customHeight="false" outlineLevel="0" collapsed="false">
      <c r="A152" s="46"/>
    </row>
    <row r="153" customFormat="false" ht="12.75" hidden="false" customHeight="false" outlineLevel="0" collapsed="false">
      <c r="A153" s="46"/>
    </row>
    <row r="154" customFormat="false" ht="12.75" hidden="false" customHeight="false" outlineLevel="0" collapsed="false">
      <c r="A154" s="46"/>
    </row>
    <row r="155" customFormat="false" ht="12.75" hidden="false" customHeight="false" outlineLevel="0" collapsed="false">
      <c r="A155" s="46"/>
    </row>
    <row r="156" customFormat="false" ht="12.75" hidden="false" customHeight="false" outlineLevel="0" collapsed="false">
      <c r="A156" s="46"/>
    </row>
    <row r="157" customFormat="false" ht="12.75" hidden="false" customHeight="false" outlineLevel="0" collapsed="false">
      <c r="A157" s="46"/>
    </row>
    <row r="158" customFormat="false" ht="12.75" hidden="false" customHeight="false" outlineLevel="0" collapsed="false">
      <c r="A158" s="46"/>
    </row>
    <row r="159" customFormat="false" ht="12.75" hidden="false" customHeight="false" outlineLevel="0" collapsed="false">
      <c r="A159" s="46"/>
    </row>
    <row r="160" customFormat="false" ht="12.75" hidden="false" customHeight="false" outlineLevel="0" collapsed="false">
      <c r="A160" s="46"/>
    </row>
    <row r="161" customFormat="false" ht="12.75" hidden="false" customHeight="false" outlineLevel="0" collapsed="false">
      <c r="A161" s="46"/>
    </row>
    <row r="162" customFormat="false" ht="12.75" hidden="false" customHeight="false" outlineLevel="0" collapsed="false">
      <c r="A162" s="46"/>
    </row>
    <row r="163" customFormat="false" ht="12.75" hidden="false" customHeight="false" outlineLevel="0" collapsed="false">
      <c r="A163" s="46"/>
    </row>
    <row r="164" customFormat="false" ht="12.75" hidden="false" customHeight="false" outlineLevel="0" collapsed="false">
      <c r="A164" s="46"/>
    </row>
    <row r="165" customFormat="false" ht="12.75" hidden="false" customHeight="false" outlineLevel="0" collapsed="false">
      <c r="A165" s="46"/>
    </row>
    <row r="166" customFormat="false" ht="12.75" hidden="false" customHeight="false" outlineLevel="0" collapsed="false">
      <c r="A166" s="46"/>
    </row>
    <row r="167" customFormat="false" ht="12.75" hidden="false" customHeight="false" outlineLevel="0" collapsed="false">
      <c r="A167" s="46"/>
    </row>
    <row r="168" customFormat="false" ht="12.75" hidden="false" customHeight="false" outlineLevel="0" collapsed="false">
      <c r="A168" s="46"/>
    </row>
    <row r="169" customFormat="false" ht="12.75" hidden="false" customHeight="false" outlineLevel="0" collapsed="false">
      <c r="A169" s="46"/>
    </row>
    <row r="170" customFormat="false" ht="12.75" hidden="false" customHeight="false" outlineLevel="0" collapsed="false">
      <c r="A170" s="46"/>
    </row>
    <row r="171" customFormat="false" ht="12.75" hidden="false" customHeight="false" outlineLevel="0" collapsed="false">
      <c r="A171" s="46"/>
    </row>
    <row r="172" customFormat="false" ht="12.75" hidden="false" customHeight="false" outlineLevel="0" collapsed="false">
      <c r="A172" s="46"/>
    </row>
    <row r="173" customFormat="false" ht="12.75" hidden="false" customHeight="false" outlineLevel="0" collapsed="false">
      <c r="A173" s="46"/>
    </row>
    <row r="174" customFormat="false" ht="12.75" hidden="false" customHeight="false" outlineLevel="0" collapsed="false">
      <c r="A174" s="46"/>
    </row>
    <row r="175" customFormat="false" ht="12.75" hidden="false" customHeight="false" outlineLevel="0" collapsed="false">
      <c r="A175" s="46"/>
    </row>
    <row r="176" customFormat="false" ht="12.75" hidden="false" customHeight="false" outlineLevel="0" collapsed="false">
      <c r="A176" s="46"/>
    </row>
    <row r="177" customFormat="false" ht="12.75" hidden="false" customHeight="false" outlineLevel="0" collapsed="false">
      <c r="A177" s="46"/>
    </row>
    <row r="178" customFormat="false" ht="12.75" hidden="false" customHeight="false" outlineLevel="0" collapsed="false">
      <c r="A178" s="46"/>
    </row>
    <row r="179" customFormat="false" ht="12.75" hidden="false" customHeight="false" outlineLevel="0" collapsed="false">
      <c r="A179" s="46"/>
    </row>
    <row r="180" customFormat="false" ht="12.75" hidden="false" customHeight="false" outlineLevel="0" collapsed="false">
      <c r="A180" s="46"/>
    </row>
    <row r="181" customFormat="false" ht="12.75" hidden="false" customHeight="false" outlineLevel="0" collapsed="false">
      <c r="A181" s="46"/>
    </row>
    <row r="182" customFormat="false" ht="12.75" hidden="false" customHeight="false" outlineLevel="0" collapsed="false">
      <c r="A182" s="46"/>
    </row>
    <row r="183" customFormat="false" ht="12.75" hidden="false" customHeight="false" outlineLevel="0" collapsed="false">
      <c r="A183" s="46"/>
    </row>
    <row r="184" customFormat="false" ht="12.75" hidden="false" customHeight="false" outlineLevel="0" collapsed="false">
      <c r="A184" s="46"/>
    </row>
    <row r="185" customFormat="false" ht="12.75" hidden="false" customHeight="false" outlineLevel="0" collapsed="false">
      <c r="A185" s="46"/>
    </row>
    <row r="186" customFormat="false" ht="12.75" hidden="false" customHeight="false" outlineLevel="0" collapsed="false">
      <c r="A186" s="46"/>
    </row>
    <row r="187" customFormat="false" ht="12.75" hidden="false" customHeight="false" outlineLevel="0" collapsed="false">
      <c r="A187" s="46"/>
    </row>
    <row r="188" customFormat="false" ht="12.75" hidden="false" customHeight="false" outlineLevel="0" collapsed="false">
      <c r="A188" s="46"/>
    </row>
    <row r="189" customFormat="false" ht="12.75" hidden="false" customHeight="false" outlineLevel="0" collapsed="false">
      <c r="A189" s="46"/>
    </row>
    <row r="190" customFormat="false" ht="12.75" hidden="false" customHeight="false" outlineLevel="0" collapsed="false">
      <c r="A190" s="46"/>
    </row>
    <row r="191" customFormat="false" ht="12.75" hidden="false" customHeight="false" outlineLevel="0" collapsed="false">
      <c r="A191" s="46"/>
    </row>
    <row r="192" customFormat="false" ht="12.75" hidden="false" customHeight="false" outlineLevel="0" collapsed="false">
      <c r="A192" s="46"/>
    </row>
    <row r="193" customFormat="false" ht="12.75" hidden="false" customHeight="false" outlineLevel="0" collapsed="false">
      <c r="A193" s="46"/>
    </row>
    <row r="194" customFormat="false" ht="12.75" hidden="false" customHeight="false" outlineLevel="0" collapsed="false">
      <c r="A194" s="46"/>
    </row>
    <row r="195" customFormat="false" ht="12.75" hidden="false" customHeight="false" outlineLevel="0" collapsed="false">
      <c r="A195" s="46"/>
    </row>
    <row r="196" customFormat="false" ht="12.75" hidden="false" customHeight="false" outlineLevel="0" collapsed="false">
      <c r="A196" s="46"/>
    </row>
    <row r="197" customFormat="false" ht="12.75" hidden="false" customHeight="false" outlineLevel="0" collapsed="false">
      <c r="A197" s="46"/>
    </row>
    <row r="198" customFormat="false" ht="12.75" hidden="false" customHeight="false" outlineLevel="0" collapsed="false">
      <c r="A198" s="46"/>
    </row>
    <row r="199" customFormat="false" ht="12.75" hidden="false" customHeight="false" outlineLevel="0" collapsed="false">
      <c r="A199" s="46"/>
    </row>
    <row r="200" customFormat="false" ht="12.75" hidden="false" customHeight="false" outlineLevel="0" collapsed="false">
      <c r="A200" s="46"/>
    </row>
    <row r="201" customFormat="false" ht="12.75" hidden="false" customHeight="false" outlineLevel="0" collapsed="false">
      <c r="A201" s="46"/>
    </row>
    <row r="202" customFormat="false" ht="12.75" hidden="false" customHeight="false" outlineLevel="0" collapsed="false">
      <c r="A202" s="46"/>
    </row>
    <row r="203" customFormat="false" ht="12.75" hidden="false" customHeight="false" outlineLevel="0" collapsed="false">
      <c r="A203" s="46"/>
    </row>
    <row r="204" customFormat="false" ht="12.75" hidden="false" customHeight="false" outlineLevel="0" collapsed="false">
      <c r="A204" s="46"/>
    </row>
    <row r="205" customFormat="false" ht="12.75" hidden="false" customHeight="false" outlineLevel="0" collapsed="false">
      <c r="A205" s="46"/>
    </row>
    <row r="206" customFormat="false" ht="12.75" hidden="false" customHeight="false" outlineLevel="0" collapsed="false">
      <c r="A206" s="46"/>
    </row>
    <row r="207" customFormat="false" ht="12.75" hidden="false" customHeight="false" outlineLevel="0" collapsed="false">
      <c r="A207" s="46"/>
    </row>
    <row r="208" customFormat="false" ht="12.75" hidden="false" customHeight="false" outlineLevel="0" collapsed="false">
      <c r="A208" s="46"/>
    </row>
    <row r="209" customFormat="false" ht="12.75" hidden="false" customHeight="false" outlineLevel="0" collapsed="false">
      <c r="A209" s="46"/>
    </row>
    <row r="210" customFormat="false" ht="12.75" hidden="false" customHeight="false" outlineLevel="0" collapsed="false">
      <c r="A210" s="46"/>
    </row>
    <row r="211" customFormat="false" ht="12.75" hidden="false" customHeight="false" outlineLevel="0" collapsed="false">
      <c r="A211" s="46"/>
    </row>
    <row r="212" customFormat="false" ht="12.75" hidden="false" customHeight="false" outlineLevel="0" collapsed="false">
      <c r="A212" s="46"/>
    </row>
    <row r="213" customFormat="false" ht="12.75" hidden="false" customHeight="false" outlineLevel="0" collapsed="false">
      <c r="A213" s="46"/>
    </row>
    <row r="214" customFormat="false" ht="12.75" hidden="false" customHeight="false" outlineLevel="0" collapsed="false">
      <c r="A214" s="46"/>
    </row>
    <row r="215" customFormat="false" ht="12.75" hidden="false" customHeight="false" outlineLevel="0" collapsed="false">
      <c r="A215" s="46"/>
    </row>
    <row r="216" customFormat="false" ht="12.75" hidden="false" customHeight="false" outlineLevel="0" collapsed="false">
      <c r="A216" s="46"/>
    </row>
    <row r="217" customFormat="false" ht="12.75" hidden="false" customHeight="false" outlineLevel="0" collapsed="false">
      <c r="A217" s="46"/>
    </row>
    <row r="218" customFormat="false" ht="12.75" hidden="false" customHeight="false" outlineLevel="0" collapsed="false">
      <c r="A218" s="46"/>
    </row>
    <row r="219" customFormat="false" ht="12.75" hidden="false" customHeight="false" outlineLevel="0" collapsed="false">
      <c r="A219" s="46"/>
    </row>
    <row r="220" customFormat="false" ht="12.75" hidden="false" customHeight="false" outlineLevel="0" collapsed="false">
      <c r="A220" s="46"/>
    </row>
    <row r="221" customFormat="false" ht="12.75" hidden="false" customHeight="false" outlineLevel="0" collapsed="false">
      <c r="A221" s="46"/>
    </row>
    <row r="222" customFormat="false" ht="12.75" hidden="false" customHeight="false" outlineLevel="0" collapsed="false">
      <c r="A222" s="46"/>
    </row>
    <row r="223" customFormat="false" ht="12.75" hidden="false" customHeight="false" outlineLevel="0" collapsed="false">
      <c r="A223" s="46"/>
    </row>
    <row r="224" customFormat="false" ht="12.75" hidden="false" customHeight="false" outlineLevel="0" collapsed="false">
      <c r="A224" s="46"/>
    </row>
    <row r="225" customFormat="false" ht="12.75" hidden="false" customHeight="false" outlineLevel="0" collapsed="false">
      <c r="A225" s="46"/>
    </row>
    <row r="226" customFormat="false" ht="12.75" hidden="false" customHeight="false" outlineLevel="0" collapsed="false">
      <c r="A226" s="46"/>
    </row>
    <row r="227" customFormat="false" ht="12.75" hidden="false" customHeight="false" outlineLevel="0" collapsed="false">
      <c r="A227" s="46"/>
    </row>
    <row r="228" customFormat="false" ht="12.75" hidden="false" customHeight="false" outlineLevel="0" collapsed="false">
      <c r="A228" s="46"/>
    </row>
    <row r="229" customFormat="false" ht="12.75" hidden="false" customHeight="false" outlineLevel="0" collapsed="false">
      <c r="A229" s="46"/>
    </row>
    <row r="230" customFormat="false" ht="12.75" hidden="false" customHeight="false" outlineLevel="0" collapsed="false">
      <c r="A230" s="46"/>
    </row>
    <row r="231" customFormat="false" ht="12.75" hidden="false" customHeight="false" outlineLevel="0" collapsed="false">
      <c r="A231" s="46"/>
    </row>
    <row r="232" customFormat="false" ht="12.75" hidden="false" customHeight="false" outlineLevel="0" collapsed="false">
      <c r="A232" s="46"/>
    </row>
    <row r="233" customFormat="false" ht="12.75" hidden="false" customHeight="false" outlineLevel="0" collapsed="false">
      <c r="A233" s="46"/>
    </row>
    <row r="234" customFormat="false" ht="12.75" hidden="false" customHeight="false" outlineLevel="0" collapsed="false">
      <c r="A234" s="46"/>
    </row>
    <row r="235" customFormat="false" ht="12.75" hidden="false" customHeight="false" outlineLevel="0" collapsed="false">
      <c r="A235" s="46"/>
    </row>
    <row r="236" customFormat="false" ht="12.75" hidden="false" customHeight="false" outlineLevel="0" collapsed="false">
      <c r="A236" s="46"/>
    </row>
    <row r="237" customFormat="false" ht="12.75" hidden="false" customHeight="false" outlineLevel="0" collapsed="false">
      <c r="A237" s="46"/>
    </row>
    <row r="238" customFormat="false" ht="12.75" hidden="false" customHeight="false" outlineLevel="0" collapsed="false">
      <c r="A238" s="46"/>
    </row>
    <row r="239" customFormat="false" ht="12.75" hidden="false" customHeight="false" outlineLevel="0" collapsed="false">
      <c r="A239" s="46"/>
    </row>
    <row r="240" customFormat="false" ht="12.75" hidden="false" customHeight="false" outlineLevel="0" collapsed="false">
      <c r="A240" s="46"/>
    </row>
    <row r="241" customFormat="false" ht="12.75" hidden="false" customHeight="false" outlineLevel="0" collapsed="false">
      <c r="A241" s="46"/>
    </row>
    <row r="242" customFormat="false" ht="12.75" hidden="false" customHeight="false" outlineLevel="0" collapsed="false">
      <c r="A242" s="46"/>
    </row>
    <row r="243" customFormat="false" ht="12.75" hidden="false" customHeight="false" outlineLevel="0" collapsed="false">
      <c r="A243" s="46"/>
    </row>
    <row r="244" customFormat="false" ht="12.75" hidden="false" customHeight="false" outlineLevel="0" collapsed="false">
      <c r="A244" s="46"/>
    </row>
    <row r="245" customFormat="false" ht="12.75" hidden="false" customHeight="false" outlineLevel="0" collapsed="false">
      <c r="A245" s="46"/>
    </row>
    <row r="246" customFormat="false" ht="12.75" hidden="false" customHeight="false" outlineLevel="0" collapsed="false">
      <c r="A246" s="46"/>
    </row>
    <row r="247" customFormat="false" ht="12.75" hidden="false" customHeight="false" outlineLevel="0" collapsed="false">
      <c r="A247" s="46"/>
    </row>
    <row r="248" customFormat="false" ht="12.75" hidden="false" customHeight="false" outlineLevel="0" collapsed="false">
      <c r="A248" s="46"/>
    </row>
    <row r="249" customFormat="false" ht="12.75" hidden="false" customHeight="false" outlineLevel="0" collapsed="false">
      <c r="A249" s="46"/>
    </row>
    <row r="250" customFormat="false" ht="12.75" hidden="false" customHeight="false" outlineLevel="0" collapsed="false">
      <c r="A250" s="46"/>
    </row>
    <row r="251" customFormat="false" ht="12.75" hidden="false" customHeight="false" outlineLevel="0" collapsed="false">
      <c r="A251" s="46"/>
    </row>
    <row r="252" customFormat="false" ht="12.75" hidden="false" customHeight="false" outlineLevel="0" collapsed="false">
      <c r="A252" s="46"/>
    </row>
    <row r="253" customFormat="false" ht="12.75" hidden="false" customHeight="false" outlineLevel="0" collapsed="false">
      <c r="A253" s="46"/>
    </row>
    <row r="254" customFormat="false" ht="12.75" hidden="false" customHeight="false" outlineLevel="0" collapsed="false">
      <c r="A254" s="46"/>
    </row>
    <row r="255" customFormat="false" ht="12.75" hidden="false" customHeight="false" outlineLevel="0" collapsed="false">
      <c r="A255" s="46"/>
    </row>
    <row r="256" customFormat="false" ht="12.75" hidden="false" customHeight="false" outlineLevel="0" collapsed="false">
      <c r="A256" s="46"/>
    </row>
    <row r="257" customFormat="false" ht="12.75" hidden="false" customHeight="false" outlineLevel="0" collapsed="false">
      <c r="A257" s="46"/>
    </row>
    <row r="258" customFormat="false" ht="12.75" hidden="false" customHeight="false" outlineLevel="0" collapsed="false">
      <c r="A258" s="46"/>
    </row>
    <row r="259" customFormat="false" ht="12.75" hidden="false" customHeight="false" outlineLevel="0" collapsed="false">
      <c r="A259" s="46"/>
    </row>
    <row r="260" customFormat="false" ht="12.75" hidden="false" customHeight="false" outlineLevel="0" collapsed="false">
      <c r="A260" s="46"/>
    </row>
    <row r="261" customFormat="false" ht="12.75" hidden="false" customHeight="false" outlineLevel="0" collapsed="false">
      <c r="A261" s="46"/>
    </row>
    <row r="262" customFormat="false" ht="12.75" hidden="false" customHeight="false" outlineLevel="0" collapsed="false">
      <c r="A262" s="46"/>
    </row>
    <row r="263" customFormat="false" ht="12.75" hidden="false" customHeight="false" outlineLevel="0" collapsed="false">
      <c r="A263" s="46"/>
    </row>
    <row r="264" customFormat="false" ht="12.75" hidden="false" customHeight="false" outlineLevel="0" collapsed="false">
      <c r="A264" s="46"/>
    </row>
    <row r="265" customFormat="false" ht="12.75" hidden="false" customHeight="false" outlineLevel="0" collapsed="false">
      <c r="A265" s="46"/>
    </row>
    <row r="266" customFormat="false" ht="12.75" hidden="false" customHeight="false" outlineLevel="0" collapsed="false">
      <c r="A266" s="46"/>
    </row>
    <row r="267" customFormat="false" ht="12.75" hidden="false" customHeight="false" outlineLevel="0" collapsed="false">
      <c r="A267" s="46"/>
    </row>
    <row r="268" customFormat="false" ht="12.75" hidden="false" customHeight="false" outlineLevel="0" collapsed="false">
      <c r="A268" s="46"/>
    </row>
    <row r="269" customFormat="false" ht="12.75" hidden="false" customHeight="false" outlineLevel="0" collapsed="false">
      <c r="A269" s="46"/>
    </row>
    <row r="270" customFormat="false" ht="12.75" hidden="false" customHeight="false" outlineLevel="0" collapsed="false">
      <c r="A270" s="46"/>
    </row>
    <row r="271" customFormat="false" ht="12.75" hidden="false" customHeight="false" outlineLevel="0" collapsed="false">
      <c r="A271" s="46"/>
    </row>
    <row r="272" customFormat="false" ht="12.75" hidden="false" customHeight="false" outlineLevel="0" collapsed="false">
      <c r="A272" s="46"/>
    </row>
    <row r="273" customFormat="false" ht="12.75" hidden="false" customHeight="false" outlineLevel="0" collapsed="false">
      <c r="A273" s="46"/>
    </row>
    <row r="274" customFormat="false" ht="12.75" hidden="false" customHeight="false" outlineLevel="0" collapsed="false">
      <c r="A274" s="46"/>
    </row>
    <row r="275" customFormat="false" ht="12.75" hidden="false" customHeight="false" outlineLevel="0" collapsed="false">
      <c r="A275" s="46"/>
    </row>
    <row r="276" customFormat="false" ht="12.75" hidden="false" customHeight="false" outlineLevel="0" collapsed="false">
      <c r="A276" s="46"/>
    </row>
    <row r="277" customFormat="false" ht="12.75" hidden="false" customHeight="false" outlineLevel="0" collapsed="false">
      <c r="A277" s="46"/>
    </row>
    <row r="278" customFormat="false" ht="12.75" hidden="false" customHeight="false" outlineLevel="0" collapsed="false">
      <c r="A278" s="46"/>
    </row>
    <row r="279" customFormat="false" ht="12.75" hidden="false" customHeight="false" outlineLevel="0" collapsed="false">
      <c r="A279" s="46"/>
    </row>
    <row r="280" customFormat="false" ht="12.75" hidden="false" customHeight="false" outlineLevel="0" collapsed="false">
      <c r="A280" s="46"/>
    </row>
    <row r="281" customFormat="false" ht="12.75" hidden="false" customHeight="false" outlineLevel="0" collapsed="false">
      <c r="A281" s="46"/>
    </row>
    <row r="282" customFormat="false" ht="12.75" hidden="false" customHeight="false" outlineLevel="0" collapsed="false">
      <c r="A282" s="46"/>
    </row>
    <row r="283" customFormat="false" ht="12.75" hidden="false" customHeight="false" outlineLevel="0" collapsed="false">
      <c r="A283" s="46"/>
    </row>
    <row r="284" customFormat="false" ht="12.75" hidden="false" customHeight="false" outlineLevel="0" collapsed="false">
      <c r="A284" s="46"/>
    </row>
    <row r="285" customFormat="false" ht="12.75" hidden="false" customHeight="false" outlineLevel="0" collapsed="false">
      <c r="A285" s="46"/>
    </row>
    <row r="286" customFormat="false" ht="12.75" hidden="false" customHeight="false" outlineLevel="0" collapsed="false">
      <c r="A286" s="46"/>
    </row>
    <row r="287" customFormat="false" ht="12.75" hidden="false" customHeight="false" outlineLevel="0" collapsed="false">
      <c r="A287" s="46"/>
    </row>
    <row r="288" customFormat="false" ht="12.75" hidden="false" customHeight="false" outlineLevel="0" collapsed="false">
      <c r="A288" s="46"/>
    </row>
    <row r="289" customFormat="false" ht="12.75" hidden="false" customHeight="false" outlineLevel="0" collapsed="false">
      <c r="A289" s="46"/>
    </row>
    <row r="290" customFormat="false" ht="12.75" hidden="false" customHeight="false" outlineLevel="0" collapsed="false">
      <c r="A290" s="46"/>
    </row>
    <row r="291" customFormat="false" ht="12.75" hidden="false" customHeight="false" outlineLevel="0" collapsed="false">
      <c r="A291" s="46"/>
    </row>
    <row r="292" customFormat="false" ht="12.75" hidden="false" customHeight="false" outlineLevel="0" collapsed="false">
      <c r="A292" s="46"/>
    </row>
    <row r="293" customFormat="false" ht="12.75" hidden="false" customHeight="false" outlineLevel="0" collapsed="false">
      <c r="A293" s="46"/>
    </row>
    <row r="294" customFormat="false" ht="12.75" hidden="false" customHeight="false" outlineLevel="0" collapsed="false">
      <c r="A294" s="46"/>
    </row>
    <row r="295" customFormat="false" ht="12.75" hidden="false" customHeight="false" outlineLevel="0" collapsed="false">
      <c r="A295" s="46"/>
    </row>
    <row r="296" customFormat="false" ht="12.75" hidden="false" customHeight="false" outlineLevel="0" collapsed="false">
      <c r="A296" s="46"/>
    </row>
    <row r="297" customFormat="false" ht="12.75" hidden="false" customHeight="false" outlineLevel="0" collapsed="false">
      <c r="A297" s="46"/>
    </row>
    <row r="298" customFormat="false" ht="12.75" hidden="false" customHeight="false" outlineLevel="0" collapsed="false">
      <c r="A298" s="46"/>
    </row>
    <row r="299" customFormat="false" ht="12.75" hidden="false" customHeight="false" outlineLevel="0" collapsed="false">
      <c r="A299" s="46"/>
    </row>
    <row r="300" customFormat="false" ht="12.75" hidden="false" customHeight="false" outlineLevel="0" collapsed="false">
      <c r="A300" s="46"/>
    </row>
    <row r="301" customFormat="false" ht="12.75" hidden="false" customHeight="false" outlineLevel="0" collapsed="false">
      <c r="A301" s="46"/>
    </row>
    <row r="302" customFormat="false" ht="12.75" hidden="false" customHeight="false" outlineLevel="0" collapsed="false">
      <c r="A302" s="46"/>
    </row>
    <row r="303" customFormat="false" ht="12.75" hidden="false" customHeight="false" outlineLevel="0" collapsed="false">
      <c r="A303" s="46"/>
    </row>
    <row r="304" customFormat="false" ht="12.75" hidden="false" customHeight="false" outlineLevel="0" collapsed="false">
      <c r="A304" s="46"/>
    </row>
    <row r="305" customFormat="false" ht="12.75" hidden="false" customHeight="false" outlineLevel="0" collapsed="false">
      <c r="A305" s="46"/>
    </row>
    <row r="306" customFormat="false" ht="12.75" hidden="false" customHeight="false" outlineLevel="0" collapsed="false">
      <c r="A306" s="46"/>
    </row>
    <row r="307" customFormat="false" ht="12.75" hidden="false" customHeight="false" outlineLevel="0" collapsed="false">
      <c r="A307" s="46"/>
    </row>
    <row r="308" customFormat="false" ht="12.75" hidden="false" customHeight="false" outlineLevel="0" collapsed="false">
      <c r="A308" s="46"/>
    </row>
    <row r="309" customFormat="false" ht="12.75" hidden="false" customHeight="false" outlineLevel="0" collapsed="false">
      <c r="A309" s="46"/>
    </row>
    <row r="310" customFormat="false" ht="12.75" hidden="false" customHeight="false" outlineLevel="0" collapsed="false">
      <c r="A310" s="46"/>
    </row>
    <row r="311" customFormat="false" ht="12.75" hidden="false" customHeight="false" outlineLevel="0" collapsed="false">
      <c r="A311" s="46"/>
    </row>
    <row r="312" customFormat="false" ht="12.75" hidden="false" customHeight="false" outlineLevel="0" collapsed="false">
      <c r="A312" s="46"/>
    </row>
    <row r="313" customFormat="false" ht="12.75" hidden="false" customHeight="false" outlineLevel="0" collapsed="false">
      <c r="A313" s="46"/>
    </row>
    <row r="314" customFormat="false" ht="12.75" hidden="false" customHeight="false" outlineLevel="0" collapsed="false">
      <c r="A314" s="46"/>
    </row>
    <row r="315" customFormat="false" ht="12.75" hidden="false" customHeight="false" outlineLevel="0" collapsed="false">
      <c r="A315" s="46"/>
    </row>
    <row r="316" customFormat="false" ht="12.75" hidden="false" customHeight="false" outlineLevel="0" collapsed="false">
      <c r="A316" s="46"/>
    </row>
    <row r="317" customFormat="false" ht="12.75" hidden="false" customHeight="false" outlineLevel="0" collapsed="false">
      <c r="A317" s="46"/>
    </row>
    <row r="318" customFormat="false" ht="12.75" hidden="false" customHeight="false" outlineLevel="0" collapsed="false">
      <c r="A318" s="46"/>
    </row>
    <row r="319" customFormat="false" ht="12.75" hidden="false" customHeight="false" outlineLevel="0" collapsed="false">
      <c r="A319" s="46"/>
    </row>
    <row r="320" customFormat="false" ht="12.75" hidden="false" customHeight="false" outlineLevel="0" collapsed="false">
      <c r="A320" s="46"/>
    </row>
    <row r="321" customFormat="false" ht="12.75" hidden="false" customHeight="false" outlineLevel="0" collapsed="false">
      <c r="A321" s="46"/>
    </row>
    <row r="322" customFormat="false" ht="12.75" hidden="false" customHeight="false" outlineLevel="0" collapsed="false">
      <c r="A322" s="46"/>
    </row>
    <row r="323" customFormat="false" ht="12.75" hidden="false" customHeight="false" outlineLevel="0" collapsed="false">
      <c r="A323" s="46"/>
    </row>
    <row r="324" customFormat="false" ht="12.75" hidden="false" customHeight="false" outlineLevel="0" collapsed="false">
      <c r="A324" s="46"/>
    </row>
    <row r="325" customFormat="false" ht="12.75" hidden="false" customHeight="false" outlineLevel="0" collapsed="false">
      <c r="A325" s="46"/>
    </row>
    <row r="326" customFormat="false" ht="12.75" hidden="false" customHeight="false" outlineLevel="0" collapsed="false">
      <c r="A326" s="46"/>
    </row>
    <row r="327" customFormat="false" ht="12.75" hidden="false" customHeight="false" outlineLevel="0" collapsed="false">
      <c r="A327" s="46"/>
    </row>
    <row r="328" customFormat="false" ht="12.75" hidden="false" customHeight="false" outlineLevel="0" collapsed="false">
      <c r="A328" s="46"/>
    </row>
    <row r="329" customFormat="false" ht="12.75" hidden="false" customHeight="false" outlineLevel="0" collapsed="false">
      <c r="A329" s="46"/>
    </row>
    <row r="330" customFormat="false" ht="12.75" hidden="false" customHeight="false" outlineLevel="0" collapsed="false">
      <c r="A330" s="46"/>
    </row>
    <row r="331" customFormat="false" ht="12.75" hidden="false" customHeight="false" outlineLevel="0" collapsed="false">
      <c r="A331" s="46"/>
    </row>
    <row r="332" customFormat="false" ht="12.75" hidden="false" customHeight="false" outlineLevel="0" collapsed="false">
      <c r="A332" s="46"/>
    </row>
    <row r="333" customFormat="false" ht="12.75" hidden="false" customHeight="false" outlineLevel="0" collapsed="false">
      <c r="A333" s="46"/>
    </row>
    <row r="334" customFormat="false" ht="12.75" hidden="false" customHeight="false" outlineLevel="0" collapsed="false">
      <c r="A334" s="46"/>
    </row>
    <row r="335" customFormat="false" ht="12.75" hidden="false" customHeight="false" outlineLevel="0" collapsed="false">
      <c r="A335" s="46"/>
    </row>
    <row r="336" customFormat="false" ht="12.75" hidden="false" customHeight="false" outlineLevel="0" collapsed="false">
      <c r="A336" s="46"/>
    </row>
    <row r="337" customFormat="false" ht="12.75" hidden="false" customHeight="false" outlineLevel="0" collapsed="false">
      <c r="A337" s="46"/>
    </row>
    <row r="338" customFormat="false" ht="12.75" hidden="false" customHeight="false" outlineLevel="0" collapsed="false">
      <c r="A338" s="46"/>
    </row>
    <row r="339" customFormat="false" ht="12.75" hidden="false" customHeight="false" outlineLevel="0" collapsed="false">
      <c r="A339" s="46"/>
    </row>
    <row r="340" customFormat="false" ht="12.75" hidden="false" customHeight="false" outlineLevel="0" collapsed="false">
      <c r="A340" s="46"/>
    </row>
    <row r="341" customFormat="false" ht="12.75" hidden="false" customHeight="false" outlineLevel="0" collapsed="false">
      <c r="A341" s="46"/>
    </row>
    <row r="342" customFormat="false" ht="12.75" hidden="false" customHeight="false" outlineLevel="0" collapsed="false">
      <c r="A342" s="46"/>
    </row>
    <row r="343" customFormat="false" ht="12.75" hidden="false" customHeight="false" outlineLevel="0" collapsed="false">
      <c r="A343" s="46"/>
    </row>
    <row r="344" customFormat="false" ht="12.75" hidden="false" customHeight="false" outlineLevel="0" collapsed="false">
      <c r="A344" s="46"/>
    </row>
    <row r="345" customFormat="false" ht="12.75" hidden="false" customHeight="false" outlineLevel="0" collapsed="false">
      <c r="A345" s="46"/>
    </row>
    <row r="346" customFormat="false" ht="12.75" hidden="false" customHeight="false" outlineLevel="0" collapsed="false">
      <c r="A346" s="46"/>
    </row>
    <row r="347" customFormat="false" ht="12.75" hidden="false" customHeight="false" outlineLevel="0" collapsed="false">
      <c r="A347" s="46"/>
    </row>
    <row r="348" customFormat="false" ht="12.75" hidden="false" customHeight="false" outlineLevel="0" collapsed="false">
      <c r="A348" s="46"/>
    </row>
    <row r="349" customFormat="false" ht="12.75" hidden="false" customHeight="false" outlineLevel="0" collapsed="false">
      <c r="A349" s="46"/>
    </row>
    <row r="350" customFormat="false" ht="12.75" hidden="false" customHeight="false" outlineLevel="0" collapsed="false">
      <c r="A350" s="46"/>
    </row>
    <row r="351" customFormat="false" ht="12.75" hidden="false" customHeight="false" outlineLevel="0" collapsed="false">
      <c r="A351" s="46"/>
    </row>
    <row r="352" customFormat="false" ht="12.75" hidden="false" customHeight="false" outlineLevel="0" collapsed="false">
      <c r="A352" s="46"/>
    </row>
    <row r="353" customFormat="false" ht="12.75" hidden="false" customHeight="false" outlineLevel="0" collapsed="false">
      <c r="A353" s="46"/>
    </row>
    <row r="354" customFormat="false" ht="12.75" hidden="false" customHeight="false" outlineLevel="0" collapsed="false">
      <c r="A354" s="46"/>
    </row>
    <row r="355" customFormat="false" ht="12.75" hidden="false" customHeight="false" outlineLevel="0" collapsed="false">
      <c r="A355" s="46"/>
    </row>
    <row r="356" customFormat="false" ht="12.75" hidden="false" customHeight="false" outlineLevel="0" collapsed="false">
      <c r="A356" s="46"/>
    </row>
    <row r="357" customFormat="false" ht="12.75" hidden="false" customHeight="false" outlineLevel="0" collapsed="false">
      <c r="A357" s="46"/>
    </row>
    <row r="358" customFormat="false" ht="12.75" hidden="false" customHeight="false" outlineLevel="0" collapsed="false">
      <c r="A358" s="46"/>
    </row>
    <row r="359" customFormat="false" ht="12.75" hidden="false" customHeight="false" outlineLevel="0" collapsed="false">
      <c r="A359" s="46"/>
    </row>
    <row r="360" customFormat="false" ht="12.75" hidden="false" customHeight="false" outlineLevel="0" collapsed="false">
      <c r="A360" s="46"/>
    </row>
    <row r="361" customFormat="false" ht="12.75" hidden="false" customHeight="false" outlineLevel="0" collapsed="false">
      <c r="A361" s="46"/>
    </row>
    <row r="362" customFormat="false" ht="12.75" hidden="false" customHeight="false" outlineLevel="0" collapsed="false">
      <c r="A362" s="46"/>
    </row>
    <row r="363" customFormat="false" ht="12.75" hidden="false" customHeight="false" outlineLevel="0" collapsed="false">
      <c r="A363" s="46"/>
    </row>
    <row r="364" customFormat="false" ht="12.75" hidden="false" customHeight="false" outlineLevel="0" collapsed="false">
      <c r="A364" s="46"/>
    </row>
    <row r="365" customFormat="false" ht="12.75" hidden="false" customHeight="false" outlineLevel="0" collapsed="false">
      <c r="A365" s="46"/>
    </row>
    <row r="366" customFormat="false" ht="12.75" hidden="false" customHeight="false" outlineLevel="0" collapsed="false">
      <c r="A366" s="46"/>
    </row>
    <row r="367" customFormat="false" ht="12.75" hidden="false" customHeight="false" outlineLevel="0" collapsed="false">
      <c r="A367" s="46"/>
    </row>
    <row r="368" customFormat="false" ht="12.75" hidden="false" customHeight="false" outlineLevel="0" collapsed="false">
      <c r="A368" s="46"/>
    </row>
    <row r="369" customFormat="false" ht="12.75" hidden="false" customHeight="false" outlineLevel="0" collapsed="false">
      <c r="A369" s="46"/>
    </row>
    <row r="370" customFormat="false" ht="12.75" hidden="false" customHeight="false" outlineLevel="0" collapsed="false">
      <c r="A370" s="46"/>
    </row>
    <row r="371" customFormat="false" ht="12.75" hidden="false" customHeight="false" outlineLevel="0" collapsed="false">
      <c r="A371" s="46"/>
    </row>
    <row r="372" customFormat="false" ht="12.75" hidden="false" customHeight="false" outlineLevel="0" collapsed="false">
      <c r="A372" s="46"/>
    </row>
    <row r="373" customFormat="false" ht="12.75" hidden="false" customHeight="false" outlineLevel="0" collapsed="false">
      <c r="A373" s="46"/>
    </row>
    <row r="374" customFormat="false" ht="12.75" hidden="false" customHeight="false" outlineLevel="0" collapsed="false">
      <c r="A374" s="46"/>
    </row>
    <row r="375" customFormat="false" ht="12.75" hidden="false" customHeight="false" outlineLevel="0" collapsed="false">
      <c r="A375" s="46"/>
    </row>
    <row r="376" customFormat="false" ht="12.75" hidden="false" customHeight="false" outlineLevel="0" collapsed="false">
      <c r="A376" s="46"/>
    </row>
    <row r="377" customFormat="false" ht="12.75" hidden="false" customHeight="false" outlineLevel="0" collapsed="false">
      <c r="A377" s="46"/>
    </row>
    <row r="378" customFormat="false" ht="12.75" hidden="false" customHeight="false" outlineLevel="0" collapsed="false">
      <c r="A378" s="46"/>
    </row>
    <row r="379" customFormat="false" ht="12.75" hidden="false" customHeight="false" outlineLevel="0" collapsed="false">
      <c r="A379" s="46"/>
    </row>
    <row r="380" customFormat="false" ht="12.75" hidden="false" customHeight="false" outlineLevel="0" collapsed="false">
      <c r="A380" s="46"/>
    </row>
    <row r="381" customFormat="false" ht="12.75" hidden="false" customHeight="false" outlineLevel="0" collapsed="false">
      <c r="A381" s="46"/>
    </row>
    <row r="382" customFormat="false" ht="12.75" hidden="false" customHeight="false" outlineLevel="0" collapsed="false">
      <c r="A382" s="46"/>
    </row>
    <row r="383" customFormat="false" ht="12.75" hidden="false" customHeight="false" outlineLevel="0" collapsed="false">
      <c r="A383" s="46"/>
    </row>
    <row r="384" customFormat="false" ht="12.75" hidden="false" customHeight="false" outlineLevel="0" collapsed="false">
      <c r="A384" s="46"/>
    </row>
    <row r="385" customFormat="false" ht="12.75" hidden="false" customHeight="false" outlineLevel="0" collapsed="false">
      <c r="A385" s="46"/>
    </row>
    <row r="386" customFormat="false" ht="12.75" hidden="false" customHeight="false" outlineLevel="0" collapsed="false">
      <c r="A386" s="46"/>
    </row>
    <row r="387" customFormat="false" ht="12.75" hidden="false" customHeight="false" outlineLevel="0" collapsed="false">
      <c r="A387" s="46"/>
    </row>
    <row r="388" customFormat="false" ht="12.75" hidden="false" customHeight="false" outlineLevel="0" collapsed="false">
      <c r="A388" s="46"/>
    </row>
    <row r="389" customFormat="false" ht="12.75" hidden="false" customHeight="false" outlineLevel="0" collapsed="false">
      <c r="A389" s="46"/>
    </row>
    <row r="390" customFormat="false" ht="12.75" hidden="false" customHeight="false" outlineLevel="0" collapsed="false">
      <c r="A390" s="46"/>
    </row>
    <row r="391" customFormat="false" ht="12.75" hidden="false" customHeight="false" outlineLevel="0" collapsed="false">
      <c r="A391" s="46"/>
    </row>
    <row r="392" customFormat="false" ht="12.75" hidden="false" customHeight="false" outlineLevel="0" collapsed="false">
      <c r="A392" s="46"/>
    </row>
    <row r="393" customFormat="false" ht="12.75" hidden="false" customHeight="false" outlineLevel="0" collapsed="false">
      <c r="A393" s="46"/>
    </row>
    <row r="394" customFormat="false" ht="12.75" hidden="false" customHeight="false" outlineLevel="0" collapsed="false">
      <c r="A394" s="46"/>
    </row>
    <row r="395" customFormat="false" ht="12.75" hidden="false" customHeight="false" outlineLevel="0" collapsed="false">
      <c r="A395" s="46"/>
    </row>
    <row r="396" customFormat="false" ht="12.75" hidden="false" customHeight="false" outlineLevel="0" collapsed="false">
      <c r="A396" s="46"/>
    </row>
    <row r="397" customFormat="false" ht="12.75" hidden="false" customHeight="false" outlineLevel="0" collapsed="false">
      <c r="A397" s="46"/>
    </row>
    <row r="398" customFormat="false" ht="12.75" hidden="false" customHeight="false" outlineLevel="0" collapsed="false">
      <c r="A398" s="46"/>
    </row>
    <row r="399" customFormat="false" ht="12.75" hidden="false" customHeight="false" outlineLevel="0" collapsed="false">
      <c r="A399" s="46"/>
    </row>
    <row r="400" customFormat="false" ht="12.75" hidden="false" customHeight="false" outlineLevel="0" collapsed="false">
      <c r="A400" s="46"/>
    </row>
    <row r="401" customFormat="false" ht="12.75" hidden="false" customHeight="false" outlineLevel="0" collapsed="false">
      <c r="A401" s="46"/>
    </row>
    <row r="402" customFormat="false" ht="12.75" hidden="false" customHeight="false" outlineLevel="0" collapsed="false">
      <c r="A402" s="46"/>
    </row>
    <row r="403" customFormat="false" ht="12.75" hidden="false" customHeight="false" outlineLevel="0" collapsed="false">
      <c r="A403" s="46"/>
    </row>
    <row r="404" customFormat="false" ht="12.75" hidden="false" customHeight="false" outlineLevel="0" collapsed="false">
      <c r="A404" s="46"/>
    </row>
    <row r="405" customFormat="false" ht="12.75" hidden="false" customHeight="false" outlineLevel="0" collapsed="false">
      <c r="A405" s="46"/>
    </row>
    <row r="406" customFormat="false" ht="12.75" hidden="false" customHeight="false" outlineLevel="0" collapsed="false">
      <c r="A406" s="46"/>
    </row>
    <row r="407" customFormat="false" ht="12.75" hidden="false" customHeight="false" outlineLevel="0" collapsed="false">
      <c r="A407" s="46"/>
    </row>
    <row r="408" customFormat="false" ht="12.75" hidden="false" customHeight="false" outlineLevel="0" collapsed="false">
      <c r="A408" s="46"/>
    </row>
    <row r="409" customFormat="false" ht="12.75" hidden="false" customHeight="false" outlineLevel="0" collapsed="false">
      <c r="A409" s="46"/>
    </row>
    <row r="410" customFormat="false" ht="12.75" hidden="false" customHeight="false" outlineLevel="0" collapsed="false">
      <c r="A410" s="46"/>
    </row>
    <row r="411" customFormat="false" ht="12.75" hidden="false" customHeight="false" outlineLevel="0" collapsed="false">
      <c r="A411" s="46"/>
    </row>
    <row r="412" customFormat="false" ht="12.75" hidden="false" customHeight="false" outlineLevel="0" collapsed="false">
      <c r="A412" s="46"/>
    </row>
    <row r="413" customFormat="false" ht="12.75" hidden="false" customHeight="false" outlineLevel="0" collapsed="false">
      <c r="A413" s="46"/>
    </row>
    <row r="414" customFormat="false" ht="12.75" hidden="false" customHeight="false" outlineLevel="0" collapsed="false">
      <c r="A414" s="46"/>
    </row>
    <row r="415" customFormat="false" ht="12.75" hidden="false" customHeight="false" outlineLevel="0" collapsed="false">
      <c r="A415" s="46"/>
    </row>
    <row r="416" customFormat="false" ht="12.75" hidden="false" customHeight="false" outlineLevel="0" collapsed="false">
      <c r="A416" s="46"/>
    </row>
    <row r="417" customFormat="false" ht="12.75" hidden="false" customHeight="false" outlineLevel="0" collapsed="false">
      <c r="A417" s="46"/>
    </row>
    <row r="418" customFormat="false" ht="12.75" hidden="false" customHeight="false" outlineLevel="0" collapsed="false">
      <c r="A418" s="46"/>
    </row>
    <row r="419" customFormat="false" ht="12.75" hidden="false" customHeight="false" outlineLevel="0" collapsed="false">
      <c r="A419" s="46"/>
    </row>
    <row r="420" customFormat="false" ht="12.75" hidden="false" customHeight="false" outlineLevel="0" collapsed="false">
      <c r="A420" s="46"/>
    </row>
    <row r="421" customFormat="false" ht="12.75" hidden="false" customHeight="false" outlineLevel="0" collapsed="false">
      <c r="A421" s="46"/>
    </row>
    <row r="422" customFormat="false" ht="12.75" hidden="false" customHeight="false" outlineLevel="0" collapsed="false">
      <c r="A422" s="46"/>
    </row>
    <row r="423" customFormat="false" ht="12.75" hidden="false" customHeight="false" outlineLevel="0" collapsed="false">
      <c r="A423" s="46"/>
    </row>
    <row r="424" customFormat="false" ht="12.75" hidden="false" customHeight="false" outlineLevel="0" collapsed="false">
      <c r="A424" s="46"/>
    </row>
    <row r="425" customFormat="false" ht="12.75" hidden="false" customHeight="false" outlineLevel="0" collapsed="false">
      <c r="A425" s="46"/>
    </row>
    <row r="426" customFormat="false" ht="12.75" hidden="false" customHeight="false" outlineLevel="0" collapsed="false">
      <c r="A426" s="46"/>
    </row>
    <row r="427" customFormat="false" ht="12.75" hidden="false" customHeight="false" outlineLevel="0" collapsed="false">
      <c r="A427" s="46"/>
    </row>
    <row r="428" customFormat="false" ht="12.75" hidden="false" customHeight="false" outlineLevel="0" collapsed="false">
      <c r="A428" s="46"/>
    </row>
    <row r="429" customFormat="false" ht="12.75" hidden="false" customHeight="false" outlineLevel="0" collapsed="false">
      <c r="A429" s="46"/>
    </row>
    <row r="430" customFormat="false" ht="12.75" hidden="false" customHeight="false" outlineLevel="0" collapsed="false">
      <c r="A430" s="46"/>
    </row>
    <row r="431" customFormat="false" ht="12.75" hidden="false" customHeight="false" outlineLevel="0" collapsed="false">
      <c r="A431" s="46"/>
    </row>
    <row r="432" customFormat="false" ht="12.75" hidden="false" customHeight="false" outlineLevel="0" collapsed="false">
      <c r="A432" s="46"/>
    </row>
    <row r="433" customFormat="false" ht="12.75" hidden="false" customHeight="false" outlineLevel="0" collapsed="false">
      <c r="A433" s="46"/>
    </row>
    <row r="434" customFormat="false" ht="12.75" hidden="false" customHeight="false" outlineLevel="0" collapsed="false">
      <c r="A434" s="46"/>
    </row>
    <row r="435" customFormat="false" ht="12.75" hidden="false" customHeight="false" outlineLevel="0" collapsed="false">
      <c r="A435" s="46"/>
    </row>
    <row r="436" customFormat="false" ht="12.75" hidden="false" customHeight="false" outlineLevel="0" collapsed="false">
      <c r="A436" s="46"/>
    </row>
    <row r="437" customFormat="false" ht="12.75" hidden="false" customHeight="false" outlineLevel="0" collapsed="false">
      <c r="A437" s="46"/>
    </row>
    <row r="438" customFormat="false" ht="12.75" hidden="false" customHeight="false" outlineLevel="0" collapsed="false">
      <c r="A438" s="46"/>
    </row>
    <row r="439" customFormat="false" ht="12.75" hidden="false" customHeight="false" outlineLevel="0" collapsed="false">
      <c r="A439" s="46"/>
    </row>
    <row r="440" customFormat="false" ht="12.75" hidden="false" customHeight="false" outlineLevel="0" collapsed="false">
      <c r="A440" s="46"/>
    </row>
    <row r="441" customFormat="false" ht="12.75" hidden="false" customHeight="false" outlineLevel="0" collapsed="false">
      <c r="A441" s="46"/>
    </row>
    <row r="442" customFormat="false" ht="12.75" hidden="false" customHeight="false" outlineLevel="0" collapsed="false">
      <c r="A442" s="46"/>
    </row>
    <row r="443" customFormat="false" ht="12.75" hidden="false" customHeight="false" outlineLevel="0" collapsed="false">
      <c r="A443" s="46"/>
    </row>
    <row r="444" customFormat="false" ht="12.75" hidden="false" customHeight="false" outlineLevel="0" collapsed="false">
      <c r="A444" s="46"/>
    </row>
    <row r="445" customFormat="false" ht="12.75" hidden="false" customHeight="false" outlineLevel="0" collapsed="false">
      <c r="A445" s="46"/>
    </row>
    <row r="446" customFormat="false" ht="12.75" hidden="false" customHeight="false" outlineLevel="0" collapsed="false">
      <c r="A446" s="46"/>
    </row>
    <row r="447" customFormat="false" ht="12.75" hidden="false" customHeight="false" outlineLevel="0" collapsed="false">
      <c r="A447" s="46"/>
    </row>
    <row r="448" customFormat="false" ht="12.75" hidden="false" customHeight="false" outlineLevel="0" collapsed="false">
      <c r="A448" s="46"/>
    </row>
    <row r="449" customFormat="false" ht="12.75" hidden="false" customHeight="false" outlineLevel="0" collapsed="false">
      <c r="A449" s="46"/>
    </row>
    <row r="450" customFormat="false" ht="12.75" hidden="false" customHeight="false" outlineLevel="0" collapsed="false">
      <c r="A450" s="46"/>
    </row>
    <row r="451" customFormat="false" ht="12.75" hidden="false" customHeight="false" outlineLevel="0" collapsed="false">
      <c r="A451" s="46"/>
    </row>
    <row r="452" customFormat="false" ht="12.75" hidden="false" customHeight="false" outlineLevel="0" collapsed="false">
      <c r="A452" s="46"/>
    </row>
    <row r="453" customFormat="false" ht="12.75" hidden="false" customHeight="false" outlineLevel="0" collapsed="false">
      <c r="A453" s="46"/>
    </row>
    <row r="454" customFormat="false" ht="12.75" hidden="false" customHeight="false" outlineLevel="0" collapsed="false">
      <c r="A454" s="46"/>
    </row>
    <row r="455" customFormat="false" ht="12.75" hidden="false" customHeight="false" outlineLevel="0" collapsed="false">
      <c r="A455" s="46"/>
    </row>
    <row r="456" customFormat="false" ht="12.75" hidden="false" customHeight="false" outlineLevel="0" collapsed="false">
      <c r="A456" s="46"/>
    </row>
    <row r="457" customFormat="false" ht="12.75" hidden="false" customHeight="false" outlineLevel="0" collapsed="false">
      <c r="A457" s="46"/>
    </row>
    <row r="458" customFormat="false" ht="12.75" hidden="false" customHeight="false" outlineLevel="0" collapsed="false">
      <c r="A458" s="46"/>
    </row>
    <row r="459" customFormat="false" ht="12.75" hidden="false" customHeight="false" outlineLevel="0" collapsed="false">
      <c r="A459" s="46"/>
    </row>
    <row r="460" customFormat="false" ht="12.75" hidden="false" customHeight="false" outlineLevel="0" collapsed="false">
      <c r="A460" s="46"/>
    </row>
    <row r="461" customFormat="false" ht="12.75" hidden="false" customHeight="false" outlineLevel="0" collapsed="false">
      <c r="A461" s="46"/>
    </row>
    <row r="462" customFormat="false" ht="12.75" hidden="false" customHeight="false" outlineLevel="0" collapsed="false">
      <c r="A462" s="46"/>
    </row>
    <row r="463" customFormat="false" ht="12.75" hidden="false" customHeight="false" outlineLevel="0" collapsed="false">
      <c r="A463" s="46"/>
    </row>
    <row r="464" customFormat="false" ht="12.75" hidden="false" customHeight="false" outlineLevel="0" collapsed="false">
      <c r="A464" s="46"/>
    </row>
    <row r="465" customFormat="false" ht="12.75" hidden="false" customHeight="false" outlineLevel="0" collapsed="false">
      <c r="A465" s="46"/>
    </row>
    <row r="466" customFormat="false" ht="12.75" hidden="false" customHeight="false" outlineLevel="0" collapsed="false">
      <c r="A466" s="46"/>
    </row>
    <row r="467" customFormat="false" ht="12.75" hidden="false" customHeight="false" outlineLevel="0" collapsed="false">
      <c r="A467" s="46"/>
    </row>
    <row r="468" customFormat="false" ht="12.75" hidden="false" customHeight="false" outlineLevel="0" collapsed="false">
      <c r="A468" s="46"/>
    </row>
    <row r="469" customFormat="false" ht="12.75" hidden="false" customHeight="false" outlineLevel="0" collapsed="false">
      <c r="A469" s="46"/>
    </row>
    <row r="470" customFormat="false" ht="12.75" hidden="false" customHeight="false" outlineLevel="0" collapsed="false">
      <c r="A470" s="46"/>
    </row>
    <row r="471" customFormat="false" ht="12.75" hidden="false" customHeight="false" outlineLevel="0" collapsed="false">
      <c r="A471" s="46"/>
    </row>
    <row r="472" customFormat="false" ht="12.75" hidden="false" customHeight="false" outlineLevel="0" collapsed="false">
      <c r="A472" s="46"/>
    </row>
    <row r="473" customFormat="false" ht="12.75" hidden="false" customHeight="false" outlineLevel="0" collapsed="false">
      <c r="A473" s="46"/>
    </row>
    <row r="474" customFormat="false" ht="12.75" hidden="false" customHeight="false" outlineLevel="0" collapsed="false">
      <c r="A474" s="46"/>
    </row>
    <row r="475" customFormat="false" ht="12.75" hidden="false" customHeight="false" outlineLevel="0" collapsed="false">
      <c r="A475" s="46"/>
    </row>
    <row r="476" customFormat="false" ht="12.75" hidden="false" customHeight="false" outlineLevel="0" collapsed="false">
      <c r="A476" s="46"/>
    </row>
    <row r="477" customFormat="false" ht="12.75" hidden="false" customHeight="false" outlineLevel="0" collapsed="false">
      <c r="A477" s="46"/>
    </row>
    <row r="478" customFormat="false" ht="12.75" hidden="false" customHeight="false" outlineLevel="0" collapsed="false">
      <c r="A478" s="46"/>
    </row>
    <row r="479" customFormat="false" ht="12.75" hidden="false" customHeight="false" outlineLevel="0" collapsed="false">
      <c r="A479" s="46"/>
    </row>
    <row r="480" customFormat="false" ht="12.75" hidden="false" customHeight="false" outlineLevel="0" collapsed="false">
      <c r="A480" s="46"/>
    </row>
    <row r="481" customFormat="false" ht="12.75" hidden="false" customHeight="false" outlineLevel="0" collapsed="false">
      <c r="A481" s="46"/>
    </row>
    <row r="482" customFormat="false" ht="12.75" hidden="false" customHeight="false" outlineLevel="0" collapsed="false">
      <c r="A482" s="46"/>
    </row>
    <row r="483" customFormat="false" ht="12.75" hidden="false" customHeight="false" outlineLevel="0" collapsed="false">
      <c r="A483" s="46"/>
    </row>
    <row r="484" customFormat="false" ht="12.75" hidden="false" customHeight="false" outlineLevel="0" collapsed="false">
      <c r="A484" s="46"/>
    </row>
    <row r="485" customFormat="false" ht="12.75" hidden="false" customHeight="false" outlineLevel="0" collapsed="false">
      <c r="A485" s="46"/>
    </row>
    <row r="486" customFormat="false" ht="12.75" hidden="false" customHeight="false" outlineLevel="0" collapsed="false">
      <c r="A486" s="46"/>
    </row>
    <row r="487" customFormat="false" ht="12.75" hidden="false" customHeight="false" outlineLevel="0" collapsed="false">
      <c r="A487" s="46"/>
    </row>
    <row r="488" customFormat="false" ht="12.75" hidden="false" customHeight="false" outlineLevel="0" collapsed="false">
      <c r="A488" s="46"/>
    </row>
    <row r="489" customFormat="false" ht="12.75" hidden="false" customHeight="false" outlineLevel="0" collapsed="false">
      <c r="A489" s="46"/>
    </row>
    <row r="490" customFormat="false" ht="12.75" hidden="false" customHeight="false" outlineLevel="0" collapsed="false">
      <c r="A490" s="46"/>
    </row>
    <row r="491" customFormat="false" ht="12.75" hidden="false" customHeight="false" outlineLevel="0" collapsed="false">
      <c r="A491" s="46"/>
    </row>
    <row r="492" customFormat="false" ht="12.75" hidden="false" customHeight="false" outlineLevel="0" collapsed="false">
      <c r="A492" s="46"/>
    </row>
    <row r="493" customFormat="false" ht="12.75" hidden="false" customHeight="false" outlineLevel="0" collapsed="false">
      <c r="A493" s="46"/>
    </row>
    <row r="494" customFormat="false" ht="12.75" hidden="false" customHeight="false" outlineLevel="0" collapsed="false">
      <c r="A494" s="46"/>
    </row>
    <row r="495" customFormat="false" ht="12.75" hidden="false" customHeight="false" outlineLevel="0" collapsed="false">
      <c r="A495" s="46"/>
    </row>
    <row r="496" customFormat="false" ht="12.75" hidden="false" customHeight="false" outlineLevel="0" collapsed="false">
      <c r="A496" s="46"/>
    </row>
    <row r="497" customFormat="false" ht="12.75" hidden="false" customHeight="false" outlineLevel="0" collapsed="false">
      <c r="A497" s="46"/>
    </row>
    <row r="498" customFormat="false" ht="12.75" hidden="false" customHeight="false" outlineLevel="0" collapsed="false">
      <c r="A498" s="46"/>
    </row>
    <row r="499" customFormat="false" ht="12.75" hidden="false" customHeight="false" outlineLevel="0" collapsed="false">
      <c r="A499" s="46"/>
    </row>
    <row r="500" customFormat="false" ht="12.75" hidden="false" customHeight="false" outlineLevel="0" collapsed="false">
      <c r="A500" s="46"/>
    </row>
    <row r="501" customFormat="false" ht="12.75" hidden="false" customHeight="false" outlineLevel="0" collapsed="false">
      <c r="A501" s="46"/>
    </row>
    <row r="502" customFormat="false" ht="12.75" hidden="false" customHeight="false" outlineLevel="0" collapsed="false">
      <c r="A502" s="46"/>
    </row>
    <row r="503" customFormat="false" ht="12.75" hidden="false" customHeight="false" outlineLevel="0" collapsed="false">
      <c r="A503" s="46"/>
    </row>
    <row r="504" customFormat="false" ht="12.75" hidden="false" customHeight="false" outlineLevel="0" collapsed="false">
      <c r="A504" s="46"/>
    </row>
    <row r="505" customFormat="false" ht="12.75" hidden="false" customHeight="false" outlineLevel="0" collapsed="false">
      <c r="A505" s="46"/>
    </row>
    <row r="506" customFormat="false" ht="12.75" hidden="false" customHeight="false" outlineLevel="0" collapsed="false">
      <c r="A506" s="46"/>
    </row>
    <row r="507" customFormat="false" ht="12.75" hidden="false" customHeight="false" outlineLevel="0" collapsed="false">
      <c r="A507" s="46"/>
    </row>
    <row r="508" customFormat="false" ht="12.75" hidden="false" customHeight="false" outlineLevel="0" collapsed="false">
      <c r="A508" s="46"/>
    </row>
    <row r="509" customFormat="false" ht="12.75" hidden="false" customHeight="false" outlineLevel="0" collapsed="false">
      <c r="A509" s="46"/>
    </row>
    <row r="510" customFormat="false" ht="12.75" hidden="false" customHeight="false" outlineLevel="0" collapsed="false">
      <c r="A510" s="46"/>
    </row>
    <row r="511" customFormat="false" ht="12.75" hidden="false" customHeight="false" outlineLevel="0" collapsed="false">
      <c r="A511" s="46"/>
    </row>
    <row r="512" customFormat="false" ht="12.75" hidden="false" customHeight="false" outlineLevel="0" collapsed="false">
      <c r="A512" s="46"/>
    </row>
    <row r="513" customFormat="false" ht="12.75" hidden="false" customHeight="false" outlineLevel="0" collapsed="false">
      <c r="A513" s="46"/>
    </row>
    <row r="514" customFormat="false" ht="12.75" hidden="false" customHeight="false" outlineLevel="0" collapsed="false">
      <c r="A514" s="46"/>
    </row>
    <row r="515" customFormat="false" ht="12.75" hidden="false" customHeight="false" outlineLevel="0" collapsed="false">
      <c r="A515" s="46"/>
    </row>
  </sheetData>
  <printOptions headings="false" gridLines="true" gridLinesSet="true" horizontalCentered="true" verticalCentered="true"/>
  <pageMargins left="0" right="0" top="0" bottom="0" header="0" footer="0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5" topLeftCell="AI7" activePane="bottomRight" state="frozen"/>
      <selection pane="topLeft" activeCell="A1" activeCellId="0" sqref="A1"/>
      <selection pane="topRight" activeCell="AI1" activeCellId="0" sqref="AI1"/>
      <selection pane="bottomLeft" activeCell="A7" activeCellId="0" sqref="A7"/>
      <selection pane="bottomRight" activeCell="AI33" activeCellId="0" sqref="AI33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5" width="15.15"/>
    <col collapsed="false" customWidth="false" hidden="false" outlineLevel="0" max="2" min="2" style="46" width="15.15"/>
    <col collapsed="false" customWidth="false" hidden="false" outlineLevel="0" max="14" min="3" style="3" width="15.15"/>
    <col collapsed="false" customWidth="true" hidden="false" outlineLevel="0" max="15" min="15" style="3" width="17.32"/>
    <col collapsed="false" customWidth="false" hidden="false" outlineLevel="0" max="122" min="16" style="3" width="15.15"/>
    <col collapsed="false" customWidth="false" hidden="false" outlineLevel="0" max="123" min="123" style="49" width="15.15"/>
    <col collapsed="false" customWidth="false" hidden="false" outlineLevel="0" max="126" min="124" style="44" width="15.15"/>
    <col collapsed="false" customWidth="false" hidden="false" outlineLevel="0" max="128" min="127" style="3" width="15.15"/>
    <col collapsed="false" customWidth="false" hidden="false" outlineLevel="0" max="129" min="129" style="49" width="15.15"/>
    <col collapsed="false" customWidth="false" hidden="false" outlineLevel="0" max="141" min="130" style="3" width="15.15"/>
    <col collapsed="false" customWidth="false" hidden="false" outlineLevel="0" max="149" min="142" style="50" width="15.15"/>
    <col collapsed="false" customWidth="false" hidden="false" outlineLevel="0" max="171" min="150" style="51" width="15.15"/>
    <col collapsed="false" customWidth="false" hidden="false" outlineLevel="0" max="178" min="172" style="52" width="15.15"/>
    <col collapsed="false" customWidth="false" hidden="false" outlineLevel="0" max="257" min="179" style="1" width="15.15"/>
  </cols>
  <sheetData>
    <row r="1" customFormat="false" ht="12.75" hidden="false" customHeight="false" outlineLevel="0" collapsed="false">
      <c r="A1" s="53" t="s">
        <v>64</v>
      </c>
      <c r="B1" s="54" t="n">
        <f aca="false">+BaseloadMarkets!B1</f>
        <v>36708</v>
      </c>
      <c r="C1" s="8" t="n">
        <v>4.6</v>
      </c>
      <c r="D1" s="55"/>
      <c r="E1" s="55"/>
      <c r="F1" s="8" t="n">
        <v>4.68</v>
      </c>
      <c r="G1" s="55"/>
      <c r="H1" s="55"/>
      <c r="I1" s="8" t="n">
        <v>4.66</v>
      </c>
      <c r="J1" s="55"/>
      <c r="K1" s="55"/>
      <c r="L1" s="8" t="n">
        <v>4.66</v>
      </c>
      <c r="M1" s="55"/>
      <c r="N1" s="55"/>
      <c r="O1" s="112" t="s">
        <v>96</v>
      </c>
      <c r="P1" s="55"/>
      <c r="Q1" s="55"/>
      <c r="R1" s="8" t="n">
        <v>3.82</v>
      </c>
      <c r="S1" s="55"/>
      <c r="T1" s="55"/>
      <c r="U1" s="8"/>
      <c r="V1" s="55"/>
      <c r="W1" s="55"/>
      <c r="X1" s="8"/>
      <c r="Y1" s="55"/>
      <c r="Z1" s="55"/>
      <c r="AA1" s="8"/>
      <c r="AB1" s="55"/>
      <c r="AC1" s="55"/>
      <c r="AD1" s="8"/>
      <c r="AE1" s="55"/>
      <c r="AF1" s="55"/>
      <c r="AG1" s="8" t="n">
        <v>4.7</v>
      </c>
      <c r="AH1" s="55"/>
      <c r="AI1" s="55"/>
      <c r="AJ1" s="8"/>
      <c r="AK1" s="55"/>
      <c r="AL1" s="55"/>
      <c r="AM1" s="8" t="n">
        <v>4.59</v>
      </c>
      <c r="AN1" s="55"/>
      <c r="AO1" s="55"/>
      <c r="AP1" s="8"/>
      <c r="AQ1" s="55"/>
      <c r="AR1" s="55"/>
      <c r="AS1" s="8"/>
      <c r="AT1" s="55"/>
      <c r="AU1" s="55"/>
      <c r="AV1" s="8"/>
      <c r="AW1" s="55"/>
      <c r="AX1" s="55"/>
      <c r="AY1" s="8"/>
      <c r="AZ1" s="55"/>
      <c r="BA1" s="55"/>
      <c r="BB1" s="8"/>
      <c r="BC1" s="55"/>
      <c r="BD1" s="55"/>
      <c r="BE1" s="8"/>
      <c r="BF1" s="55"/>
      <c r="BG1" s="55"/>
      <c r="BH1" s="8"/>
      <c r="BI1" s="55"/>
      <c r="BJ1" s="55"/>
      <c r="BK1" s="8"/>
      <c r="BL1" s="55"/>
      <c r="BM1" s="55"/>
      <c r="BN1" s="8"/>
      <c r="BO1" s="55"/>
      <c r="BP1" s="55"/>
      <c r="BQ1" s="8"/>
      <c r="BR1" s="55"/>
      <c r="BS1" s="55"/>
      <c r="BT1" s="8"/>
      <c r="BU1" s="55"/>
      <c r="BV1" s="55"/>
      <c r="BW1" s="8"/>
      <c r="BX1" s="55"/>
      <c r="BY1" s="55"/>
      <c r="BZ1" s="8"/>
      <c r="CA1" s="55"/>
      <c r="CB1" s="55"/>
      <c r="CC1" s="8"/>
      <c r="CD1" s="55"/>
      <c r="CE1" s="55"/>
      <c r="CF1" s="8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8"/>
      <c r="DT1" s="58"/>
      <c r="DU1" s="58"/>
      <c r="DV1" s="58"/>
      <c r="DW1" s="55"/>
      <c r="DX1" s="55"/>
      <c r="DY1" s="59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12.75" hidden="false" customHeight="true" outlineLevel="0" collapsed="false">
      <c r="A2" s="10" t="s">
        <v>40</v>
      </c>
      <c r="B2" s="10"/>
      <c r="C2" s="13" t="n">
        <v>318431</v>
      </c>
      <c r="D2" s="13"/>
      <c r="E2" s="13"/>
      <c r="F2" s="13" t="n">
        <v>319348</v>
      </c>
      <c r="G2" s="13"/>
      <c r="H2" s="13"/>
      <c r="I2" s="13" t="n">
        <v>319254</v>
      </c>
      <c r="J2" s="13"/>
      <c r="K2" s="13"/>
      <c r="L2" s="13" t="n">
        <v>319313</v>
      </c>
      <c r="M2" s="13"/>
      <c r="N2" s="13"/>
      <c r="O2" s="13" t="s">
        <v>97</v>
      </c>
      <c r="P2" s="13"/>
      <c r="Q2" s="13"/>
      <c r="R2" s="13" t="n">
        <v>324087</v>
      </c>
      <c r="S2" s="13"/>
      <c r="T2" s="4"/>
      <c r="U2" s="13" t="n">
        <v>326246</v>
      </c>
      <c r="V2" s="13"/>
      <c r="W2" s="13"/>
      <c r="X2" s="13" t="n">
        <v>327053</v>
      </c>
      <c r="Y2" s="13"/>
      <c r="Z2" s="13"/>
      <c r="AA2" s="13" t="n">
        <v>319348</v>
      </c>
      <c r="AB2" s="13"/>
      <c r="AC2" s="13"/>
      <c r="AD2" s="13" t="n">
        <v>339651</v>
      </c>
      <c r="AE2" s="13"/>
      <c r="AF2" s="13"/>
      <c r="AG2" s="13" t="n">
        <v>341270</v>
      </c>
      <c r="AH2" s="13"/>
      <c r="AI2" s="13"/>
      <c r="AJ2" s="13" t="n">
        <v>319348</v>
      </c>
      <c r="AK2" s="13"/>
      <c r="AL2" s="13"/>
      <c r="AM2" s="13" t="n">
        <v>345447</v>
      </c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63"/>
      <c r="DT2" s="4"/>
      <c r="DU2" s="4"/>
      <c r="DV2" s="64"/>
      <c r="DW2" s="13"/>
      <c r="DX2" s="13"/>
      <c r="DY2" s="108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65"/>
      <c r="EM2" s="65"/>
      <c r="EN2" s="65"/>
      <c r="EO2" s="65"/>
      <c r="EP2" s="65"/>
      <c r="EQ2" s="65"/>
      <c r="ER2" s="65"/>
      <c r="ES2" s="65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7"/>
      <c r="FQ2" s="67"/>
      <c r="FR2" s="67"/>
      <c r="FS2" s="67"/>
      <c r="FT2" s="67"/>
      <c r="FU2" s="67"/>
      <c r="FV2" s="67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10" t="s">
        <v>83</v>
      </c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4"/>
      <c r="U3" s="13"/>
      <c r="V3" s="13"/>
      <c r="W3" s="13"/>
      <c r="X3" s="113" t="s">
        <v>38</v>
      </c>
      <c r="Y3" s="13"/>
      <c r="Z3" s="13"/>
      <c r="AA3" s="13"/>
      <c r="AB3" s="13"/>
      <c r="AC3" s="13"/>
      <c r="AD3" s="19" t="s">
        <v>37</v>
      </c>
      <c r="AE3" s="13"/>
      <c r="AF3" s="13"/>
      <c r="AG3" s="19" t="s">
        <v>37</v>
      </c>
      <c r="AH3" s="13"/>
      <c r="AI3" s="13"/>
      <c r="AJ3" s="19" t="s">
        <v>37</v>
      </c>
      <c r="AK3" s="13"/>
      <c r="AL3" s="13"/>
      <c r="AM3" s="19" t="s">
        <v>37</v>
      </c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63"/>
      <c r="DT3" s="4"/>
      <c r="DU3" s="4"/>
      <c r="DV3" s="64"/>
      <c r="DW3" s="13"/>
      <c r="DX3" s="13"/>
      <c r="DY3" s="108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65"/>
      <c r="EM3" s="65"/>
      <c r="EN3" s="65"/>
      <c r="EO3" s="65"/>
      <c r="EP3" s="65"/>
      <c r="EQ3" s="65"/>
      <c r="ER3" s="65"/>
      <c r="ES3" s="65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7"/>
      <c r="FQ3" s="67"/>
      <c r="FR3" s="67"/>
      <c r="FS3" s="67"/>
      <c r="FT3" s="67"/>
      <c r="FU3" s="67"/>
      <c r="FV3" s="67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true" outlineLevel="0" collapsed="false">
      <c r="A4" s="10" t="s">
        <v>71</v>
      </c>
      <c r="B4" s="10" t="s">
        <v>72</v>
      </c>
      <c r="C4" s="13" t="s">
        <v>16</v>
      </c>
      <c r="D4" s="13"/>
      <c r="E4" s="13" t="s">
        <v>68</v>
      </c>
      <c r="F4" s="13" t="s">
        <v>98</v>
      </c>
      <c r="G4" s="13"/>
      <c r="H4" s="13" t="s">
        <v>68</v>
      </c>
      <c r="I4" s="13" t="s">
        <v>11</v>
      </c>
      <c r="J4" s="13"/>
      <c r="K4" s="13" t="s">
        <v>68</v>
      </c>
      <c r="L4" s="13" t="s">
        <v>11</v>
      </c>
      <c r="M4" s="13"/>
      <c r="N4" s="13" t="s">
        <v>68</v>
      </c>
      <c r="O4" s="13" t="s">
        <v>28</v>
      </c>
      <c r="P4" s="13"/>
      <c r="Q4" s="13" t="s">
        <v>68</v>
      </c>
      <c r="R4" s="13" t="s">
        <v>99</v>
      </c>
      <c r="S4" s="13"/>
      <c r="T4" s="13" t="s">
        <v>68</v>
      </c>
      <c r="U4" s="13" t="s">
        <v>10</v>
      </c>
      <c r="V4" s="13"/>
      <c r="W4" s="13" t="s">
        <v>68</v>
      </c>
      <c r="X4" s="13" t="s">
        <v>31</v>
      </c>
      <c r="Y4" s="13"/>
      <c r="Z4" s="13" t="s">
        <v>68</v>
      </c>
      <c r="AA4" s="13" t="s">
        <v>98</v>
      </c>
      <c r="AB4" s="13"/>
      <c r="AC4" s="13" t="s">
        <v>68</v>
      </c>
      <c r="AD4" s="13" t="s">
        <v>30</v>
      </c>
      <c r="AE4" s="13"/>
      <c r="AF4" s="13" t="s">
        <v>68</v>
      </c>
      <c r="AG4" s="13" t="s">
        <v>31</v>
      </c>
      <c r="AH4" s="13"/>
      <c r="AI4" s="13" t="s">
        <v>68</v>
      </c>
      <c r="AJ4" s="13" t="s">
        <v>98</v>
      </c>
      <c r="AK4" s="13"/>
      <c r="AL4" s="13" t="s">
        <v>68</v>
      </c>
      <c r="AM4" s="13" t="s">
        <v>100</v>
      </c>
      <c r="AN4" s="13"/>
      <c r="AO4" s="13" t="s">
        <v>68</v>
      </c>
      <c r="AP4" s="13"/>
      <c r="AQ4" s="13"/>
      <c r="AR4" s="13" t="s">
        <v>68</v>
      </c>
      <c r="AS4" s="13"/>
      <c r="AT4" s="13"/>
      <c r="AU4" s="13" t="s">
        <v>68</v>
      </c>
      <c r="AV4" s="13"/>
      <c r="AW4" s="13"/>
      <c r="AX4" s="13" t="s">
        <v>68</v>
      </c>
      <c r="AY4" s="13"/>
      <c r="AZ4" s="13"/>
      <c r="BA4" s="13" t="s">
        <v>68</v>
      </c>
      <c r="BB4" s="13"/>
      <c r="BC4" s="13"/>
      <c r="BD4" s="13" t="s">
        <v>68</v>
      </c>
      <c r="BE4" s="13"/>
      <c r="BF4" s="13"/>
      <c r="BG4" s="13" t="s">
        <v>68</v>
      </c>
      <c r="BH4" s="13"/>
      <c r="BI4" s="13"/>
      <c r="BJ4" s="13" t="s">
        <v>68</v>
      </c>
      <c r="BK4" s="13"/>
      <c r="BL4" s="13"/>
      <c r="BM4" s="13" t="s">
        <v>68</v>
      </c>
      <c r="BN4" s="13"/>
      <c r="BO4" s="13"/>
      <c r="BP4" s="13" t="s">
        <v>68</v>
      </c>
      <c r="BQ4" s="13"/>
      <c r="BR4" s="13"/>
      <c r="BS4" s="13" t="s">
        <v>68</v>
      </c>
      <c r="BT4" s="13"/>
      <c r="BU4" s="13"/>
      <c r="BV4" s="13" t="s">
        <v>68</v>
      </c>
      <c r="BW4" s="13"/>
      <c r="BX4" s="13"/>
      <c r="BY4" s="13" t="s">
        <v>68</v>
      </c>
      <c r="BZ4" s="13"/>
      <c r="CA4" s="13"/>
      <c r="CB4" s="13" t="s">
        <v>68</v>
      </c>
      <c r="CC4" s="13"/>
      <c r="CD4" s="13"/>
      <c r="CE4" s="13" t="s">
        <v>68</v>
      </c>
      <c r="CF4" s="13"/>
      <c r="CG4" s="13"/>
      <c r="CH4" s="13" t="s">
        <v>68</v>
      </c>
      <c r="CI4" s="13"/>
      <c r="CJ4" s="13"/>
      <c r="CK4" s="13" t="s">
        <v>68</v>
      </c>
      <c r="CL4" s="13"/>
      <c r="CM4" s="13"/>
      <c r="CN4" s="13" t="s">
        <v>68</v>
      </c>
      <c r="CO4" s="13"/>
      <c r="CP4" s="13"/>
      <c r="CQ4" s="13" t="s">
        <v>68</v>
      </c>
      <c r="CR4" s="13"/>
      <c r="CS4" s="13"/>
      <c r="CT4" s="13" t="s">
        <v>68</v>
      </c>
      <c r="CU4" s="13"/>
      <c r="CV4" s="13"/>
      <c r="CW4" s="13" t="s">
        <v>68</v>
      </c>
      <c r="CX4" s="13"/>
      <c r="CY4" s="13"/>
      <c r="CZ4" s="13" t="s">
        <v>68</v>
      </c>
      <c r="DA4" s="13"/>
      <c r="DB4" s="13"/>
      <c r="DC4" s="13" t="s">
        <v>68</v>
      </c>
      <c r="DD4" s="13"/>
      <c r="DE4" s="13"/>
      <c r="DF4" s="13" t="s">
        <v>68</v>
      </c>
      <c r="DG4" s="13"/>
      <c r="DH4" s="13"/>
      <c r="DI4" s="13" t="s">
        <v>68</v>
      </c>
      <c r="DJ4" s="13"/>
      <c r="DK4" s="13"/>
      <c r="DL4" s="13" t="s">
        <v>68</v>
      </c>
      <c r="DM4" s="13"/>
      <c r="DN4" s="13"/>
      <c r="DO4" s="13" t="s">
        <v>68</v>
      </c>
      <c r="DP4" s="13"/>
      <c r="DQ4" s="13"/>
      <c r="DR4" s="13" t="s">
        <v>68</v>
      </c>
      <c r="DS4" s="10" t="s">
        <v>45</v>
      </c>
      <c r="DT4" s="11" t="s">
        <v>45</v>
      </c>
      <c r="DU4" s="4"/>
      <c r="DV4" s="64"/>
      <c r="DW4" s="13"/>
      <c r="DX4" s="13"/>
      <c r="DY4" s="108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65"/>
      <c r="EM4" s="65"/>
      <c r="EN4" s="65"/>
      <c r="EO4" s="65"/>
      <c r="EP4" s="65"/>
      <c r="EQ4" s="65"/>
      <c r="ER4" s="65"/>
      <c r="ES4" s="65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7"/>
      <c r="FQ4" s="67"/>
      <c r="FR4" s="67"/>
      <c r="FS4" s="67"/>
      <c r="FT4" s="67"/>
      <c r="FU4" s="67"/>
      <c r="FV4" s="67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46</v>
      </c>
      <c r="B5" s="10" t="s">
        <v>74</v>
      </c>
      <c r="C5" s="23" t="s">
        <v>56</v>
      </c>
      <c r="D5" s="23"/>
      <c r="E5" s="23" t="s">
        <v>75</v>
      </c>
      <c r="F5" s="23" t="s">
        <v>49</v>
      </c>
      <c r="G5" s="23"/>
      <c r="H5" s="23" t="s">
        <v>75</v>
      </c>
      <c r="I5" s="23" t="s">
        <v>101</v>
      </c>
      <c r="J5" s="23"/>
      <c r="K5" s="23" t="s">
        <v>75</v>
      </c>
      <c r="L5" s="23" t="s">
        <v>56</v>
      </c>
      <c r="M5" s="23"/>
      <c r="N5" s="23" t="s">
        <v>75</v>
      </c>
      <c r="O5" s="23" t="s">
        <v>102</v>
      </c>
      <c r="P5" s="23"/>
      <c r="Q5" s="23" t="s">
        <v>75</v>
      </c>
      <c r="R5" s="23" t="s">
        <v>61</v>
      </c>
      <c r="S5" s="23"/>
      <c r="T5" s="23" t="s">
        <v>75</v>
      </c>
      <c r="U5" s="23" t="s">
        <v>61</v>
      </c>
      <c r="V5" s="23"/>
      <c r="W5" s="23" t="s">
        <v>75</v>
      </c>
      <c r="X5" s="23" t="s">
        <v>53</v>
      </c>
      <c r="Y5" s="23"/>
      <c r="Z5" s="23" t="s">
        <v>75</v>
      </c>
      <c r="AA5" s="23" t="s">
        <v>53</v>
      </c>
      <c r="AB5" s="23"/>
      <c r="AC5" s="23" t="s">
        <v>75</v>
      </c>
      <c r="AD5" s="23" t="s">
        <v>52</v>
      </c>
      <c r="AE5" s="23"/>
      <c r="AF5" s="23" t="s">
        <v>75</v>
      </c>
      <c r="AG5" s="23" t="s">
        <v>60</v>
      </c>
      <c r="AH5" s="23"/>
      <c r="AI5" s="23" t="s">
        <v>75</v>
      </c>
      <c r="AJ5" s="23" t="s">
        <v>52</v>
      </c>
      <c r="AK5" s="23"/>
      <c r="AL5" s="23" t="s">
        <v>75</v>
      </c>
      <c r="AM5" s="23"/>
      <c r="AN5" s="23"/>
      <c r="AO5" s="23" t="s">
        <v>75</v>
      </c>
      <c r="AP5" s="23"/>
      <c r="AQ5" s="23"/>
      <c r="AR5" s="23" t="s">
        <v>75</v>
      </c>
      <c r="AS5" s="23"/>
      <c r="AT5" s="23"/>
      <c r="AU5" s="23" t="s">
        <v>75</v>
      </c>
      <c r="AV5" s="23"/>
      <c r="AW5" s="23"/>
      <c r="AX5" s="23" t="s">
        <v>75</v>
      </c>
      <c r="AY5" s="23"/>
      <c r="AZ5" s="23"/>
      <c r="BA5" s="23" t="s">
        <v>75</v>
      </c>
      <c r="BB5" s="23"/>
      <c r="BC5" s="23"/>
      <c r="BD5" s="23" t="s">
        <v>75</v>
      </c>
      <c r="BE5" s="23"/>
      <c r="BF5" s="23"/>
      <c r="BG5" s="23" t="s">
        <v>75</v>
      </c>
      <c r="BH5" s="23"/>
      <c r="BI5" s="23"/>
      <c r="BJ5" s="23" t="s">
        <v>75</v>
      </c>
      <c r="BK5" s="23"/>
      <c r="BL5" s="23"/>
      <c r="BM5" s="23" t="s">
        <v>75</v>
      </c>
      <c r="BN5" s="23"/>
      <c r="BO5" s="23"/>
      <c r="BP5" s="23" t="s">
        <v>75</v>
      </c>
      <c r="BQ5" s="23"/>
      <c r="BR5" s="23"/>
      <c r="BS5" s="23" t="s">
        <v>75</v>
      </c>
      <c r="BT5" s="23"/>
      <c r="BU5" s="23"/>
      <c r="BV5" s="23" t="s">
        <v>75</v>
      </c>
      <c r="BW5" s="23"/>
      <c r="BX5" s="23"/>
      <c r="BY5" s="23" t="s">
        <v>75</v>
      </c>
      <c r="BZ5" s="23"/>
      <c r="CA5" s="23"/>
      <c r="CB5" s="23" t="s">
        <v>75</v>
      </c>
      <c r="CC5" s="23"/>
      <c r="CD5" s="23"/>
      <c r="CE5" s="23" t="s">
        <v>75</v>
      </c>
      <c r="CF5" s="23"/>
      <c r="CG5" s="23"/>
      <c r="CH5" s="23" t="s">
        <v>75</v>
      </c>
      <c r="CI5" s="23"/>
      <c r="CJ5" s="23"/>
      <c r="CK5" s="23" t="s">
        <v>75</v>
      </c>
      <c r="CL5" s="23"/>
      <c r="CM5" s="23"/>
      <c r="CN5" s="23" t="s">
        <v>75</v>
      </c>
      <c r="CO5" s="23"/>
      <c r="CP5" s="23"/>
      <c r="CQ5" s="23" t="s">
        <v>75</v>
      </c>
      <c r="CR5" s="23"/>
      <c r="CS5" s="23"/>
      <c r="CT5" s="23" t="s">
        <v>75</v>
      </c>
      <c r="CU5" s="23"/>
      <c r="CV5" s="23"/>
      <c r="CW5" s="23" t="s">
        <v>75</v>
      </c>
      <c r="CX5" s="23"/>
      <c r="CY5" s="23"/>
      <c r="CZ5" s="23" t="s">
        <v>75</v>
      </c>
      <c r="DA5" s="23"/>
      <c r="DB5" s="23"/>
      <c r="DC5" s="23" t="s">
        <v>75</v>
      </c>
      <c r="DD5" s="23"/>
      <c r="DE5" s="23"/>
      <c r="DF5" s="23" t="s">
        <v>75</v>
      </c>
      <c r="DG5" s="23"/>
      <c r="DH5" s="23"/>
      <c r="DI5" s="23" t="s">
        <v>75</v>
      </c>
      <c r="DJ5" s="23"/>
      <c r="DK5" s="23"/>
      <c r="DL5" s="23" t="s">
        <v>75</v>
      </c>
      <c r="DM5" s="23"/>
      <c r="DN5" s="23"/>
      <c r="DO5" s="23" t="s">
        <v>75</v>
      </c>
      <c r="DP5" s="23"/>
      <c r="DQ5" s="23"/>
      <c r="DR5" s="23" t="s">
        <v>75</v>
      </c>
      <c r="DS5" s="64" t="s">
        <v>64</v>
      </c>
      <c r="DT5" s="64" t="s">
        <v>76</v>
      </c>
      <c r="DU5" s="64" t="s">
        <v>75</v>
      </c>
      <c r="DV5" s="23"/>
      <c r="DW5" s="23"/>
      <c r="DX5" s="23"/>
      <c r="DY5" s="109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76"/>
      <c r="EM5" s="76"/>
      <c r="EN5" s="76"/>
      <c r="EO5" s="76"/>
      <c r="EP5" s="76"/>
      <c r="EQ5" s="76"/>
      <c r="ER5" s="76"/>
      <c r="ES5" s="76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8"/>
      <c r="FQ5" s="78"/>
      <c r="FR5" s="78"/>
      <c r="FS5" s="78"/>
      <c r="FT5" s="78"/>
      <c r="FU5" s="78"/>
      <c r="FV5" s="78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</row>
    <row r="6" customFormat="false" ht="12.75" hidden="false" customHeight="false" outlineLevel="0" collapsed="false">
      <c r="A6" s="80" t="n">
        <f aca="false">+BaseloadMarkets!A6</f>
        <v>36708</v>
      </c>
      <c r="B6" s="80" t="str">
        <f aca="false">+BaseloadMarkets!B6</f>
        <v>Sat</v>
      </c>
      <c r="C6" s="26" t="n">
        <v>4382</v>
      </c>
      <c r="D6" s="26" t="n">
        <v>4382</v>
      </c>
      <c r="E6" s="81" t="n">
        <f aca="false">D6-C6</f>
        <v>0</v>
      </c>
      <c r="F6" s="26" t="n">
        <v>9890</v>
      </c>
      <c r="G6" s="26" t="n">
        <v>9890</v>
      </c>
      <c r="H6" s="81" t="n">
        <f aca="false">G6-F6</f>
        <v>0</v>
      </c>
      <c r="I6" s="26" t="n">
        <v>4000</v>
      </c>
      <c r="J6" s="26" t="n">
        <v>4000</v>
      </c>
      <c r="K6" s="81" t="n">
        <f aca="false">J6-I6</f>
        <v>0</v>
      </c>
      <c r="L6" s="26" t="n">
        <f aca="false">8586-4625+3400</f>
        <v>7361</v>
      </c>
      <c r="M6" s="26" t="n">
        <f aca="false">8586-4625+3400</f>
        <v>7361</v>
      </c>
      <c r="N6" s="81" t="n">
        <f aca="false">M6-L6</f>
        <v>0</v>
      </c>
      <c r="O6" s="26" t="n">
        <v>43323</v>
      </c>
      <c r="P6" s="26" t="n">
        <f aca="false">16000+7323+20000</f>
        <v>43323</v>
      </c>
      <c r="Q6" s="81" t="n">
        <f aca="false">P6-O6</f>
        <v>0</v>
      </c>
      <c r="R6" s="26"/>
      <c r="S6" s="26"/>
      <c r="T6" s="81" t="n">
        <f aca="false">S6-R6</f>
        <v>0</v>
      </c>
      <c r="U6" s="26"/>
      <c r="V6" s="26"/>
      <c r="W6" s="81" t="n">
        <f aca="false">V6-U6</f>
        <v>0</v>
      </c>
      <c r="X6" s="26"/>
      <c r="Y6" s="26"/>
      <c r="Z6" s="81" t="n">
        <f aca="false">Y6-X6</f>
        <v>0</v>
      </c>
      <c r="AA6" s="26"/>
      <c r="AB6" s="26"/>
      <c r="AC6" s="81" t="n">
        <f aca="false">AB6-AA6</f>
        <v>0</v>
      </c>
      <c r="AD6" s="26"/>
      <c r="AE6" s="26"/>
      <c r="AF6" s="81" t="n">
        <f aca="false">AE6-AD6</f>
        <v>0</v>
      </c>
      <c r="AG6" s="26"/>
      <c r="AH6" s="26"/>
      <c r="AI6" s="81" t="n">
        <f aca="false">AH6-AG6</f>
        <v>0</v>
      </c>
      <c r="AJ6" s="26"/>
      <c r="AK6" s="26"/>
      <c r="AL6" s="81" t="n">
        <f aca="false">AK6-AJ6</f>
        <v>0</v>
      </c>
      <c r="AM6" s="26"/>
      <c r="AN6" s="26"/>
      <c r="AO6" s="81" t="n">
        <f aca="false">AN6-AM6</f>
        <v>0</v>
      </c>
      <c r="AP6" s="26"/>
      <c r="AQ6" s="26"/>
      <c r="AR6" s="81" t="n">
        <f aca="false">AQ6-AP6</f>
        <v>0</v>
      </c>
      <c r="AS6" s="26"/>
      <c r="AT6" s="26"/>
      <c r="AU6" s="81" t="n">
        <f aca="false">AT6-AS6</f>
        <v>0</v>
      </c>
      <c r="AV6" s="26"/>
      <c r="AW6" s="26"/>
      <c r="AX6" s="81" t="n">
        <f aca="false">AW6-AV6</f>
        <v>0</v>
      </c>
      <c r="AY6" s="26"/>
      <c r="AZ6" s="26"/>
      <c r="BA6" s="81" t="n">
        <f aca="false">AZ6-AY6</f>
        <v>0</v>
      </c>
      <c r="BB6" s="26"/>
      <c r="BC6" s="26"/>
      <c r="BD6" s="81" t="n">
        <f aca="false">BC6-BB6</f>
        <v>0</v>
      </c>
      <c r="BE6" s="26"/>
      <c r="BF6" s="26"/>
      <c r="BG6" s="81" t="n">
        <f aca="false">BF6-BE6</f>
        <v>0</v>
      </c>
      <c r="BH6" s="26"/>
      <c r="BI6" s="26"/>
      <c r="BJ6" s="81" t="n">
        <f aca="false">BI6-BH6</f>
        <v>0</v>
      </c>
      <c r="BK6" s="26"/>
      <c r="BL6" s="26"/>
      <c r="BM6" s="81" t="n">
        <f aca="false">BL6-BK6</f>
        <v>0</v>
      </c>
      <c r="BN6" s="26"/>
      <c r="BO6" s="26"/>
      <c r="BP6" s="81" t="n">
        <f aca="false">BO6-BN6</f>
        <v>0</v>
      </c>
      <c r="BQ6" s="26"/>
      <c r="BR6" s="26"/>
      <c r="BS6" s="81" t="n">
        <f aca="false">BR6-BQ6</f>
        <v>0</v>
      </c>
      <c r="BT6" s="26"/>
      <c r="BU6" s="26"/>
      <c r="BV6" s="81" t="n">
        <f aca="false">BU6-BT6</f>
        <v>0</v>
      </c>
      <c r="BW6" s="26"/>
      <c r="BX6" s="26"/>
      <c r="BY6" s="81" t="n">
        <f aca="false">BX6-BW6</f>
        <v>0</v>
      </c>
      <c r="BZ6" s="26"/>
      <c r="CA6" s="26"/>
      <c r="CB6" s="81" t="n">
        <f aca="false">CA6-BZ6</f>
        <v>0</v>
      </c>
      <c r="CC6" s="26"/>
      <c r="CD6" s="26"/>
      <c r="CE6" s="81" t="n">
        <f aca="false">CD6-CC6</f>
        <v>0</v>
      </c>
      <c r="CF6" s="26"/>
      <c r="CG6" s="26"/>
      <c r="CH6" s="81" t="n">
        <f aca="false">CG6-CF6</f>
        <v>0</v>
      </c>
      <c r="CI6" s="26"/>
      <c r="CJ6" s="26"/>
      <c r="CK6" s="81" t="n">
        <f aca="false">CJ6-CI6</f>
        <v>0</v>
      </c>
      <c r="CL6" s="26"/>
      <c r="CM6" s="26"/>
      <c r="CN6" s="81" t="n">
        <f aca="false">CM6-CL6</f>
        <v>0</v>
      </c>
      <c r="CO6" s="26"/>
      <c r="CP6" s="26"/>
      <c r="CQ6" s="81" t="n">
        <f aca="false">CP6-CO6</f>
        <v>0</v>
      </c>
      <c r="CR6" s="26"/>
      <c r="CS6" s="26"/>
      <c r="CT6" s="81" t="n">
        <f aca="false">CS6-CR6</f>
        <v>0</v>
      </c>
      <c r="CU6" s="26"/>
      <c r="CV6" s="26"/>
      <c r="CW6" s="81" t="n">
        <f aca="false">CV6-CU6</f>
        <v>0</v>
      </c>
      <c r="CX6" s="26"/>
      <c r="CY6" s="26"/>
      <c r="CZ6" s="81" t="n">
        <f aca="false">CY6-CX6</f>
        <v>0</v>
      </c>
      <c r="DA6" s="26"/>
      <c r="DB6" s="26"/>
      <c r="DC6" s="81" t="n">
        <f aca="false">DB6-DA6</f>
        <v>0</v>
      </c>
      <c r="DD6" s="26"/>
      <c r="DE6" s="26"/>
      <c r="DF6" s="81" t="n">
        <f aca="false">DE6-DD6</f>
        <v>0</v>
      </c>
      <c r="DG6" s="26"/>
      <c r="DH6" s="26"/>
      <c r="DI6" s="81" t="n">
        <f aca="false">DH6-DG6</f>
        <v>0</v>
      </c>
      <c r="DJ6" s="26"/>
      <c r="DK6" s="26"/>
      <c r="DL6" s="81" t="n">
        <f aca="false">DK6-DJ6</f>
        <v>0</v>
      </c>
      <c r="DM6" s="26"/>
      <c r="DN6" s="26"/>
      <c r="DO6" s="81" t="n">
        <f aca="false">DN6-DM6</f>
        <v>0</v>
      </c>
      <c r="DP6" s="26"/>
      <c r="DQ6" s="26"/>
      <c r="DR6" s="81" t="n">
        <f aca="false">DQ6-DP6</f>
        <v>0</v>
      </c>
      <c r="DS6" s="81" t="n">
        <f aca="false">+C6+F6+I6+L6+O6+R6+U6+X6+AA6+AD6+AG6+AJ6+AM6+AP6+AS6+AV6+AY6+BB6+BE6+BH6+BK6+BN6+BQ6+BT6+BW6+BZ6+CC6+CF6+CI6+CL6+CO6+CR6+CU6+CX6+DA6+DD6+DG6+DJ6+DM6+DP6</f>
        <v>68956</v>
      </c>
      <c r="DT6" s="81" t="n">
        <f aca="false">+D6+G6+J6+M6+P6+S6+V6+Y6+AB6+AE6+AH6+AK6+AN6+AQ6+AT6+AW6+AZ6+BC6+BF6+BI6+BL6+BO6+BR6+BU6+BX6+CA6+CD6+CG6+CJ6+CM6+CP6+CS6+CV6+CY6+DB6+DE6+DH6+DK6+DN6+DQ6</f>
        <v>68956</v>
      </c>
      <c r="DU6" s="81" t="n">
        <f aca="false">DT6-DS6</f>
        <v>0</v>
      </c>
      <c r="DV6" s="26"/>
      <c r="DW6" s="26"/>
      <c r="DX6" s="81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42"/>
      <c r="EM6" s="42"/>
      <c r="EN6" s="42"/>
      <c r="EO6" s="42"/>
      <c r="EP6" s="42"/>
      <c r="EQ6" s="42"/>
      <c r="ER6" s="42"/>
      <c r="ES6" s="42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5"/>
      <c r="FQ6" s="85"/>
      <c r="FR6" s="85"/>
      <c r="FS6" s="85"/>
      <c r="FT6" s="85"/>
      <c r="FU6" s="85"/>
      <c r="FV6" s="85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customFormat="false" ht="12.75" hidden="false" customHeight="false" outlineLevel="0" collapsed="false">
      <c r="A7" s="80" t="n">
        <f aca="false">+BaseloadMarkets!A7</f>
        <v>36709</v>
      </c>
      <c r="B7" s="80" t="str">
        <f aca="false">+BaseloadMarkets!B7</f>
        <v>Sun</v>
      </c>
      <c r="C7" s="26" t="n">
        <v>3312</v>
      </c>
      <c r="D7" s="26" t="n">
        <v>3312</v>
      </c>
      <c r="E7" s="81" t="n">
        <f aca="false">D7-C7</f>
        <v>0</v>
      </c>
      <c r="F7" s="26" t="n">
        <v>11492</v>
      </c>
      <c r="G7" s="26" t="n">
        <v>11492</v>
      </c>
      <c r="H7" s="81" t="n">
        <f aca="false">G7-F7</f>
        <v>0</v>
      </c>
      <c r="I7" s="26" t="n">
        <v>4000</v>
      </c>
      <c r="J7" s="26" t="n">
        <v>4000</v>
      </c>
      <c r="K7" s="81" t="n">
        <f aca="false">J7-I7</f>
        <v>0</v>
      </c>
      <c r="L7" s="26" t="n">
        <f aca="false">8616-4625+2310</f>
        <v>6301</v>
      </c>
      <c r="M7" s="26" t="n">
        <f aca="false">8616-4625+2310</f>
        <v>6301</v>
      </c>
      <c r="N7" s="81" t="n">
        <f aca="false">M7-L7</f>
        <v>0</v>
      </c>
      <c r="O7" s="26" t="n">
        <v>44216</v>
      </c>
      <c r="P7" s="26" t="n">
        <f aca="false">8216+20000+16000</f>
        <v>44216</v>
      </c>
      <c r="Q7" s="81" t="n">
        <f aca="false">P7-O7</f>
        <v>0</v>
      </c>
      <c r="R7" s="26"/>
      <c r="S7" s="26"/>
      <c r="T7" s="81" t="n">
        <f aca="false">S7-R7</f>
        <v>0</v>
      </c>
      <c r="U7" s="26"/>
      <c r="V7" s="26"/>
      <c r="W7" s="81" t="n">
        <f aca="false">V7-U7</f>
        <v>0</v>
      </c>
      <c r="X7" s="26"/>
      <c r="Y7" s="26"/>
      <c r="Z7" s="81" t="n">
        <f aca="false">Y7-X7</f>
        <v>0</v>
      </c>
      <c r="AA7" s="26"/>
      <c r="AB7" s="26"/>
      <c r="AC7" s="81" t="n">
        <f aca="false">AB7-AA7</f>
        <v>0</v>
      </c>
      <c r="AD7" s="26"/>
      <c r="AE7" s="26"/>
      <c r="AF7" s="81" t="n">
        <f aca="false">AE7-AD7</f>
        <v>0</v>
      </c>
      <c r="AG7" s="26"/>
      <c r="AH7" s="26"/>
      <c r="AI7" s="81" t="n">
        <f aca="false">AH7-AG7</f>
        <v>0</v>
      </c>
      <c r="AJ7" s="26"/>
      <c r="AK7" s="26"/>
      <c r="AL7" s="81" t="n">
        <f aca="false">AK7-AJ7</f>
        <v>0</v>
      </c>
      <c r="AM7" s="26"/>
      <c r="AN7" s="26"/>
      <c r="AO7" s="81" t="n">
        <f aca="false">AN7-AM7</f>
        <v>0</v>
      </c>
      <c r="AP7" s="26"/>
      <c r="AQ7" s="26"/>
      <c r="AR7" s="81" t="n">
        <f aca="false">AQ7-AP7</f>
        <v>0</v>
      </c>
      <c r="AS7" s="26"/>
      <c r="AT7" s="26"/>
      <c r="AU7" s="81" t="n">
        <f aca="false">AT7-AS7</f>
        <v>0</v>
      </c>
      <c r="AV7" s="26"/>
      <c r="AW7" s="26"/>
      <c r="AX7" s="81" t="n">
        <f aca="false">AW7-AV7</f>
        <v>0</v>
      </c>
      <c r="AY7" s="26"/>
      <c r="AZ7" s="26"/>
      <c r="BA7" s="81" t="n">
        <f aca="false">AZ7-AY7</f>
        <v>0</v>
      </c>
      <c r="BB7" s="26"/>
      <c r="BC7" s="26"/>
      <c r="BD7" s="81" t="n">
        <f aca="false">BC7-BB7</f>
        <v>0</v>
      </c>
      <c r="BE7" s="26"/>
      <c r="BF7" s="26"/>
      <c r="BG7" s="81" t="n">
        <f aca="false">BF7-BE7</f>
        <v>0</v>
      </c>
      <c r="BH7" s="26"/>
      <c r="BI7" s="26"/>
      <c r="BJ7" s="81" t="n">
        <f aca="false">BI7-BH7</f>
        <v>0</v>
      </c>
      <c r="BK7" s="26"/>
      <c r="BL7" s="26"/>
      <c r="BM7" s="81" t="n">
        <f aca="false">BL7-BK7</f>
        <v>0</v>
      </c>
      <c r="BN7" s="26"/>
      <c r="BO7" s="26"/>
      <c r="BP7" s="81" t="n">
        <f aca="false">BO7-BN7</f>
        <v>0</v>
      </c>
      <c r="BQ7" s="26"/>
      <c r="BR7" s="26"/>
      <c r="BS7" s="81" t="n">
        <f aca="false">BR7-BQ7</f>
        <v>0</v>
      </c>
      <c r="BT7" s="26"/>
      <c r="BU7" s="26"/>
      <c r="BV7" s="81" t="n">
        <f aca="false">BU7-BT7</f>
        <v>0</v>
      </c>
      <c r="BW7" s="26"/>
      <c r="BX7" s="26"/>
      <c r="BY7" s="81" t="n">
        <f aca="false">BX7-BW7</f>
        <v>0</v>
      </c>
      <c r="BZ7" s="26"/>
      <c r="CA7" s="26"/>
      <c r="CB7" s="81" t="n">
        <f aca="false">CA7-BZ7</f>
        <v>0</v>
      </c>
      <c r="CC7" s="26"/>
      <c r="CD7" s="26"/>
      <c r="CE7" s="81" t="n">
        <f aca="false">CD7-CC7</f>
        <v>0</v>
      </c>
      <c r="CF7" s="26"/>
      <c r="CG7" s="26"/>
      <c r="CH7" s="81" t="n">
        <f aca="false">CG7-CF7</f>
        <v>0</v>
      </c>
      <c r="CI7" s="26"/>
      <c r="CJ7" s="26"/>
      <c r="CK7" s="81" t="n">
        <f aca="false">CJ7-CI7</f>
        <v>0</v>
      </c>
      <c r="CL7" s="26"/>
      <c r="CM7" s="26"/>
      <c r="CN7" s="81" t="n">
        <f aca="false">CM7-CL7</f>
        <v>0</v>
      </c>
      <c r="CO7" s="26"/>
      <c r="CP7" s="26"/>
      <c r="CQ7" s="81" t="n">
        <f aca="false">CP7-CO7</f>
        <v>0</v>
      </c>
      <c r="CR7" s="26"/>
      <c r="CS7" s="26"/>
      <c r="CT7" s="81" t="n">
        <f aca="false">CS7-CR7</f>
        <v>0</v>
      </c>
      <c r="CU7" s="26"/>
      <c r="CV7" s="26"/>
      <c r="CW7" s="81" t="n">
        <f aca="false">CV7-CU7</f>
        <v>0</v>
      </c>
      <c r="CX7" s="26"/>
      <c r="CY7" s="26"/>
      <c r="CZ7" s="81" t="n">
        <f aca="false">CY7-CX7</f>
        <v>0</v>
      </c>
      <c r="DA7" s="26"/>
      <c r="DB7" s="26"/>
      <c r="DC7" s="81" t="n">
        <f aca="false">DB7-DA7</f>
        <v>0</v>
      </c>
      <c r="DD7" s="26"/>
      <c r="DE7" s="26"/>
      <c r="DF7" s="81" t="n">
        <f aca="false">DE7-DD7</f>
        <v>0</v>
      </c>
      <c r="DG7" s="26"/>
      <c r="DH7" s="26"/>
      <c r="DI7" s="81" t="n">
        <f aca="false">DH7-DG7</f>
        <v>0</v>
      </c>
      <c r="DJ7" s="26"/>
      <c r="DK7" s="26"/>
      <c r="DL7" s="81" t="n">
        <f aca="false">DK7-DJ7</f>
        <v>0</v>
      </c>
      <c r="DM7" s="26"/>
      <c r="DN7" s="26"/>
      <c r="DO7" s="81" t="n">
        <f aca="false">DN7-DM7</f>
        <v>0</v>
      </c>
      <c r="DP7" s="26"/>
      <c r="DQ7" s="26"/>
      <c r="DR7" s="81" t="n">
        <f aca="false">DQ7-DP7</f>
        <v>0</v>
      </c>
      <c r="DS7" s="81" t="n">
        <f aca="false">+C7+F7+I7+L7+O7+R7+U7+X7+AA7+AD7+AG7+AJ7+AM7+AP7+AS7+AV7+AY7+BB7+BE7+BH7+BK7+BN7+BQ7+BT7+BW7+BZ7+CC7+CF7+CI7+CL7+CO7+CR7+CU7+CX7+DA7+DD7+DG7+DJ7+DM7+DP7</f>
        <v>69321</v>
      </c>
      <c r="DT7" s="81" t="n">
        <f aca="false">+D7+G7+J7+M7+P7+S7+V7+Y7+AB7+AE7+AH7+AK7+AN7+AQ7+AT7+AW7+AZ7+BC7+BF7+BI7+BL7+BO7+BR7+BU7+BX7+CA7+CD7+CG7+CJ7+CM7+CP7+CS7+CV7+CY7+DB7+DE7+DH7+DK7+DN7+DQ7</f>
        <v>69321</v>
      </c>
      <c r="DU7" s="81" t="n">
        <f aca="false">DT7-DS7</f>
        <v>0</v>
      </c>
      <c r="DV7" s="26"/>
      <c r="DW7" s="26"/>
      <c r="DX7" s="81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42"/>
      <c r="EM7" s="42"/>
      <c r="EN7" s="42"/>
      <c r="EO7" s="42"/>
      <c r="EP7" s="42"/>
      <c r="EQ7" s="42"/>
      <c r="ER7" s="42"/>
      <c r="ES7" s="42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5"/>
      <c r="FQ7" s="85"/>
      <c r="FR7" s="85"/>
      <c r="FS7" s="85"/>
      <c r="FT7" s="85"/>
      <c r="FU7" s="85"/>
      <c r="FV7" s="85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customFormat="false" ht="12.75" hidden="false" customHeight="false" outlineLevel="0" collapsed="false">
      <c r="A8" s="80" t="n">
        <f aca="false">+BaseloadMarkets!A8</f>
        <v>36710</v>
      </c>
      <c r="B8" s="80" t="str">
        <f aca="false">+BaseloadMarkets!B8</f>
        <v>Mon</v>
      </c>
      <c r="C8" s="26" t="n">
        <v>3245</v>
      </c>
      <c r="D8" s="26" t="n">
        <v>3245</v>
      </c>
      <c r="E8" s="81" t="n">
        <f aca="false">D8-C8</f>
        <v>0</v>
      </c>
      <c r="F8" s="26" t="n">
        <v>11505</v>
      </c>
      <c r="G8" s="26" t="n">
        <v>11505</v>
      </c>
      <c r="H8" s="81" t="n">
        <f aca="false">G8-F8</f>
        <v>0</v>
      </c>
      <c r="I8" s="26" t="n">
        <v>4000</v>
      </c>
      <c r="J8" s="26" t="n">
        <v>4000</v>
      </c>
      <c r="K8" s="81" t="n">
        <f aca="false">J8-I8</f>
        <v>0</v>
      </c>
      <c r="L8" s="26" t="n">
        <f aca="false">7104-4625+3061</f>
        <v>5540</v>
      </c>
      <c r="M8" s="26" t="n">
        <f aca="false">7104-4625+3061</f>
        <v>5540</v>
      </c>
      <c r="N8" s="81" t="n">
        <f aca="false">M8-L8</f>
        <v>0</v>
      </c>
      <c r="O8" s="26" t="n">
        <v>42578</v>
      </c>
      <c r="P8" s="26" t="n">
        <f aca="false">6578+20000+16000</f>
        <v>42578</v>
      </c>
      <c r="Q8" s="81" t="n">
        <f aca="false">P8-O8</f>
        <v>0</v>
      </c>
      <c r="R8" s="26"/>
      <c r="S8" s="26"/>
      <c r="T8" s="81" t="n">
        <f aca="false">S8-R8</f>
        <v>0</v>
      </c>
      <c r="U8" s="26"/>
      <c r="V8" s="26"/>
      <c r="W8" s="81" t="n">
        <f aca="false">V8-U8</f>
        <v>0</v>
      </c>
      <c r="X8" s="26"/>
      <c r="Y8" s="26"/>
      <c r="Z8" s="81" t="n">
        <f aca="false">Y8-X8</f>
        <v>0</v>
      </c>
      <c r="AA8" s="26"/>
      <c r="AB8" s="26"/>
      <c r="AC8" s="81" t="n">
        <f aca="false">AB8-AA8</f>
        <v>0</v>
      </c>
      <c r="AD8" s="26"/>
      <c r="AE8" s="26"/>
      <c r="AF8" s="81" t="n">
        <f aca="false">AE8-AD8</f>
        <v>0</v>
      </c>
      <c r="AG8" s="26"/>
      <c r="AH8" s="26"/>
      <c r="AI8" s="81" t="n">
        <f aca="false">AH8-AG8</f>
        <v>0</v>
      </c>
      <c r="AJ8" s="26"/>
      <c r="AK8" s="26"/>
      <c r="AL8" s="81" t="n">
        <f aca="false">AK8-AJ8</f>
        <v>0</v>
      </c>
      <c r="AM8" s="26"/>
      <c r="AN8" s="26"/>
      <c r="AO8" s="81" t="n">
        <f aca="false">AN8-AM8</f>
        <v>0</v>
      </c>
      <c r="AP8" s="26"/>
      <c r="AQ8" s="26"/>
      <c r="AR8" s="81" t="n">
        <f aca="false">AQ8-AP8</f>
        <v>0</v>
      </c>
      <c r="AS8" s="26"/>
      <c r="AT8" s="26"/>
      <c r="AU8" s="81" t="n">
        <f aca="false">AT8-AS8</f>
        <v>0</v>
      </c>
      <c r="AV8" s="26"/>
      <c r="AW8" s="26"/>
      <c r="AX8" s="81" t="n">
        <f aca="false">AW8-AV8</f>
        <v>0</v>
      </c>
      <c r="AY8" s="26"/>
      <c r="AZ8" s="26"/>
      <c r="BA8" s="81" t="n">
        <f aca="false">AZ8-AY8</f>
        <v>0</v>
      </c>
      <c r="BB8" s="26"/>
      <c r="BC8" s="26"/>
      <c r="BD8" s="81" t="n">
        <f aca="false">BC8-BB8</f>
        <v>0</v>
      </c>
      <c r="BE8" s="26"/>
      <c r="BF8" s="26"/>
      <c r="BG8" s="81" t="n">
        <f aca="false">BF8-BE8</f>
        <v>0</v>
      </c>
      <c r="BH8" s="26"/>
      <c r="BI8" s="26"/>
      <c r="BJ8" s="81" t="n">
        <f aca="false">BI8-BH8</f>
        <v>0</v>
      </c>
      <c r="BK8" s="26"/>
      <c r="BL8" s="26"/>
      <c r="BM8" s="81" t="n">
        <f aca="false">BL8-BK8</f>
        <v>0</v>
      </c>
      <c r="BN8" s="26"/>
      <c r="BO8" s="26"/>
      <c r="BP8" s="81" t="n">
        <f aca="false">BO8-BN8</f>
        <v>0</v>
      </c>
      <c r="BQ8" s="26"/>
      <c r="BR8" s="26"/>
      <c r="BS8" s="81" t="n">
        <f aca="false">BR8-BQ8</f>
        <v>0</v>
      </c>
      <c r="BT8" s="26"/>
      <c r="BU8" s="26"/>
      <c r="BV8" s="81" t="n">
        <f aca="false">BU8-BT8</f>
        <v>0</v>
      </c>
      <c r="BW8" s="26"/>
      <c r="BX8" s="26"/>
      <c r="BY8" s="81" t="n">
        <f aca="false">BX8-BW8</f>
        <v>0</v>
      </c>
      <c r="BZ8" s="26"/>
      <c r="CA8" s="26"/>
      <c r="CB8" s="81" t="n">
        <f aca="false">CA8-BZ8</f>
        <v>0</v>
      </c>
      <c r="CC8" s="26"/>
      <c r="CD8" s="26"/>
      <c r="CE8" s="81" t="n">
        <f aca="false">CD8-CC8</f>
        <v>0</v>
      </c>
      <c r="CF8" s="26"/>
      <c r="CG8" s="26"/>
      <c r="CH8" s="81" t="n">
        <f aca="false">CG8-CF8</f>
        <v>0</v>
      </c>
      <c r="CI8" s="26"/>
      <c r="CJ8" s="26"/>
      <c r="CK8" s="81" t="n">
        <f aca="false">CJ8-CI8</f>
        <v>0</v>
      </c>
      <c r="CL8" s="26"/>
      <c r="CM8" s="26"/>
      <c r="CN8" s="81" t="n">
        <f aca="false">CM8-CL8</f>
        <v>0</v>
      </c>
      <c r="CO8" s="26"/>
      <c r="CP8" s="26"/>
      <c r="CQ8" s="81" t="n">
        <f aca="false">CP8-CO8</f>
        <v>0</v>
      </c>
      <c r="CR8" s="26"/>
      <c r="CS8" s="26"/>
      <c r="CT8" s="81" t="n">
        <f aca="false">CS8-CR8</f>
        <v>0</v>
      </c>
      <c r="CU8" s="26"/>
      <c r="CV8" s="26"/>
      <c r="CW8" s="81" t="n">
        <f aca="false">CV8-CU8</f>
        <v>0</v>
      </c>
      <c r="CX8" s="26"/>
      <c r="CY8" s="26"/>
      <c r="CZ8" s="81" t="n">
        <f aca="false">CY8-CX8</f>
        <v>0</v>
      </c>
      <c r="DA8" s="26"/>
      <c r="DB8" s="26"/>
      <c r="DC8" s="81" t="n">
        <f aca="false">DB8-DA8</f>
        <v>0</v>
      </c>
      <c r="DD8" s="26"/>
      <c r="DE8" s="26"/>
      <c r="DF8" s="81" t="n">
        <f aca="false">DE8-DD8</f>
        <v>0</v>
      </c>
      <c r="DG8" s="26"/>
      <c r="DH8" s="26"/>
      <c r="DI8" s="81" t="n">
        <f aca="false">DH8-DG8</f>
        <v>0</v>
      </c>
      <c r="DJ8" s="26"/>
      <c r="DK8" s="26"/>
      <c r="DL8" s="81" t="n">
        <f aca="false">DK8-DJ8</f>
        <v>0</v>
      </c>
      <c r="DM8" s="26"/>
      <c r="DN8" s="26"/>
      <c r="DO8" s="81" t="n">
        <f aca="false">DN8-DM8</f>
        <v>0</v>
      </c>
      <c r="DP8" s="26"/>
      <c r="DQ8" s="26"/>
      <c r="DR8" s="81" t="n">
        <f aca="false">DQ8-DP8</f>
        <v>0</v>
      </c>
      <c r="DS8" s="81" t="n">
        <f aca="false">+C8+F8+I8+L8+O8+R8+U8+X8+AA8+AD8+AG8+AJ8+AM8+AP8+AS8+AV8+AY8+BB8+BE8+BH8+BK8+BN8+BQ8+BT8+BW8+BZ8+CC8+CF8+CI8+CL8+CO8+CR8+CU8+CX8+DA8+DD8+DG8+DJ8+DM8+DP8</f>
        <v>66868</v>
      </c>
      <c r="DT8" s="81" t="n">
        <f aca="false">+D8+G8+J8+M8+P8+S8+V8+Y8+AB8+AE8+AH8+AK8+AN8+AQ8+AT8+AW8+AZ8+BC8+BF8+BI8+BL8+BO8+BR8+BU8+BX8+CA8+CD8+CG8+CJ8+CM8+CP8+CS8+CV8+CY8+DB8+DE8+DH8+DK8+DN8+DQ8</f>
        <v>66868</v>
      </c>
      <c r="DU8" s="81" t="n">
        <f aca="false">DT8-DS8</f>
        <v>0</v>
      </c>
      <c r="DV8" s="111"/>
      <c r="DW8" s="87"/>
      <c r="DX8" s="87"/>
      <c r="DY8" s="111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</row>
    <row r="9" customFormat="false" ht="12.75" hidden="false" customHeight="false" outlineLevel="0" collapsed="false">
      <c r="A9" s="80" t="n">
        <f aca="false">+BaseloadMarkets!A9</f>
        <v>36711</v>
      </c>
      <c r="B9" s="80" t="str">
        <f aca="false">+BaseloadMarkets!B9</f>
        <v>Tues</v>
      </c>
      <c r="C9" s="26" t="n">
        <f aca="false">485+2770</f>
        <v>3255</v>
      </c>
      <c r="D9" s="26" t="n">
        <v>3255</v>
      </c>
      <c r="E9" s="81" t="n">
        <f aca="false">D9-C9</f>
        <v>0</v>
      </c>
      <c r="F9" s="26" t="n">
        <v>11638</v>
      </c>
      <c r="G9" s="26" t="n">
        <v>11638</v>
      </c>
      <c r="H9" s="81" t="n">
        <f aca="false">G9-F9</f>
        <v>0</v>
      </c>
      <c r="I9" s="26" t="n">
        <v>4000</v>
      </c>
      <c r="J9" s="26" t="n">
        <v>4000</v>
      </c>
      <c r="K9" s="81" t="n">
        <f aca="false">J9-I9</f>
        <v>0</v>
      </c>
      <c r="L9" s="26" t="n">
        <f aca="false">8537-4625+3703</f>
        <v>7615</v>
      </c>
      <c r="M9" s="26" t="n">
        <f aca="false">8537-4625+3703</f>
        <v>7615</v>
      </c>
      <c r="N9" s="81" t="n">
        <f aca="false">M9-L9</f>
        <v>0</v>
      </c>
      <c r="O9" s="26" t="n">
        <f aca="false">16000+8091+20000</f>
        <v>44091</v>
      </c>
      <c r="P9" s="26" t="n">
        <f aca="false">20000+16000+3128+4963</f>
        <v>44091</v>
      </c>
      <c r="Q9" s="81" t="n">
        <f aca="false">P9-O9</f>
        <v>0</v>
      </c>
      <c r="R9" s="26"/>
      <c r="S9" s="26"/>
      <c r="T9" s="81" t="n">
        <f aca="false">S9-R9</f>
        <v>0</v>
      </c>
      <c r="U9" s="26"/>
      <c r="V9" s="26"/>
      <c r="W9" s="81" t="n">
        <f aca="false">V9-U9</f>
        <v>0</v>
      </c>
      <c r="X9" s="26"/>
      <c r="Y9" s="26"/>
      <c r="Z9" s="81" t="n">
        <f aca="false">Y9-X9</f>
        <v>0</v>
      </c>
      <c r="AA9" s="26"/>
      <c r="AB9" s="26"/>
      <c r="AC9" s="81" t="n">
        <f aca="false">AB9-AA9</f>
        <v>0</v>
      </c>
      <c r="AD9" s="26"/>
      <c r="AE9" s="26"/>
      <c r="AF9" s="81" t="n">
        <f aca="false">AE9-AD9</f>
        <v>0</v>
      </c>
      <c r="AG9" s="26"/>
      <c r="AH9" s="26"/>
      <c r="AI9" s="81" t="n">
        <f aca="false">AH9-AG9</f>
        <v>0</v>
      </c>
      <c r="AJ9" s="26"/>
      <c r="AK9" s="26"/>
      <c r="AL9" s="81" t="n">
        <f aca="false">AK9-AJ9</f>
        <v>0</v>
      </c>
      <c r="AM9" s="26"/>
      <c r="AN9" s="26"/>
      <c r="AO9" s="81" t="n">
        <f aca="false">AN9-AM9</f>
        <v>0</v>
      </c>
      <c r="AP9" s="26"/>
      <c r="AQ9" s="26"/>
      <c r="AR9" s="81" t="n">
        <f aca="false">AQ9-AP9</f>
        <v>0</v>
      </c>
      <c r="AS9" s="26"/>
      <c r="AT9" s="26"/>
      <c r="AU9" s="81" t="n">
        <f aca="false">AT9-AS9</f>
        <v>0</v>
      </c>
      <c r="AV9" s="26"/>
      <c r="AW9" s="26"/>
      <c r="AX9" s="81" t="n">
        <f aca="false">AW9-AV9</f>
        <v>0</v>
      </c>
      <c r="AY9" s="26"/>
      <c r="AZ9" s="26"/>
      <c r="BA9" s="81" t="n">
        <f aca="false">AZ9-AY9</f>
        <v>0</v>
      </c>
      <c r="BB9" s="26"/>
      <c r="BC9" s="26"/>
      <c r="BD9" s="81" t="n">
        <f aca="false">BC9-BB9</f>
        <v>0</v>
      </c>
      <c r="BE9" s="26"/>
      <c r="BF9" s="26"/>
      <c r="BG9" s="81" t="n">
        <f aca="false">BF9-BE9</f>
        <v>0</v>
      </c>
      <c r="BH9" s="26"/>
      <c r="BI9" s="26"/>
      <c r="BJ9" s="81" t="n">
        <f aca="false">BI9-BH9</f>
        <v>0</v>
      </c>
      <c r="BK9" s="26"/>
      <c r="BL9" s="26"/>
      <c r="BM9" s="81" t="n">
        <f aca="false">BL9-BK9</f>
        <v>0</v>
      </c>
      <c r="BN9" s="26"/>
      <c r="BO9" s="26"/>
      <c r="BP9" s="81" t="n">
        <f aca="false">BO9-BN9</f>
        <v>0</v>
      </c>
      <c r="BQ9" s="26"/>
      <c r="BR9" s="26"/>
      <c r="BS9" s="81" t="n">
        <f aca="false">BR9-BQ9</f>
        <v>0</v>
      </c>
      <c r="BT9" s="26"/>
      <c r="BU9" s="26"/>
      <c r="BV9" s="81" t="n">
        <f aca="false">BU9-BT9</f>
        <v>0</v>
      </c>
      <c r="BW9" s="26"/>
      <c r="BX9" s="26"/>
      <c r="BY9" s="81" t="n">
        <f aca="false">BX9-BW9</f>
        <v>0</v>
      </c>
      <c r="BZ9" s="26"/>
      <c r="CA9" s="26"/>
      <c r="CB9" s="81" t="n">
        <f aca="false">CA9-BZ9</f>
        <v>0</v>
      </c>
      <c r="CC9" s="26"/>
      <c r="CD9" s="26"/>
      <c r="CE9" s="81" t="n">
        <f aca="false">CD9-CC9</f>
        <v>0</v>
      </c>
      <c r="CF9" s="26"/>
      <c r="CG9" s="26"/>
      <c r="CH9" s="81" t="n">
        <f aca="false">CG9-CF9</f>
        <v>0</v>
      </c>
      <c r="CI9" s="26"/>
      <c r="CJ9" s="26"/>
      <c r="CK9" s="81" t="n">
        <f aca="false">CJ9-CI9</f>
        <v>0</v>
      </c>
      <c r="CL9" s="26"/>
      <c r="CM9" s="26"/>
      <c r="CN9" s="81" t="n">
        <f aca="false">CM9-CL9</f>
        <v>0</v>
      </c>
      <c r="CO9" s="26"/>
      <c r="CP9" s="26"/>
      <c r="CQ9" s="81" t="n">
        <f aca="false">CP9-CO9</f>
        <v>0</v>
      </c>
      <c r="CR9" s="26"/>
      <c r="CS9" s="26"/>
      <c r="CT9" s="81" t="n">
        <f aca="false">CS9-CR9</f>
        <v>0</v>
      </c>
      <c r="CU9" s="26"/>
      <c r="CV9" s="26"/>
      <c r="CW9" s="81" t="n">
        <f aca="false">CV9-CU9</f>
        <v>0</v>
      </c>
      <c r="CX9" s="26"/>
      <c r="CY9" s="26"/>
      <c r="CZ9" s="81" t="n">
        <f aca="false">CY9-CX9</f>
        <v>0</v>
      </c>
      <c r="DA9" s="26"/>
      <c r="DB9" s="26"/>
      <c r="DC9" s="81" t="n">
        <f aca="false">DB9-DA9</f>
        <v>0</v>
      </c>
      <c r="DD9" s="26"/>
      <c r="DE9" s="26"/>
      <c r="DF9" s="81" t="n">
        <f aca="false">DE9-DD9</f>
        <v>0</v>
      </c>
      <c r="DG9" s="26"/>
      <c r="DH9" s="26"/>
      <c r="DI9" s="81" t="n">
        <f aca="false">DH9-DG9</f>
        <v>0</v>
      </c>
      <c r="DJ9" s="26"/>
      <c r="DK9" s="26"/>
      <c r="DL9" s="81" t="n">
        <f aca="false">DK9-DJ9</f>
        <v>0</v>
      </c>
      <c r="DM9" s="26"/>
      <c r="DN9" s="26"/>
      <c r="DO9" s="81" t="n">
        <f aca="false">DN9-DM9</f>
        <v>0</v>
      </c>
      <c r="DP9" s="26"/>
      <c r="DQ9" s="26"/>
      <c r="DR9" s="81" t="n">
        <f aca="false">DQ9-DP9</f>
        <v>0</v>
      </c>
      <c r="DS9" s="81" t="n">
        <f aca="false">+C9+F9+I9+L9+O9+R9+U9+X9+AA9+AD9+AG9+AJ9+AM9+AP9+AS9+AV9+AY9+BB9+BE9+BH9+BK9+BN9+BQ9+BT9+BW9+BZ9+CC9+CF9+CI9+CL9+CO9+CR9+CU9+CX9+DA9+DD9+DG9+DJ9+DM9+DP9</f>
        <v>70599</v>
      </c>
      <c r="DT9" s="81" t="n">
        <f aca="false">+D9+G9+J9+M9+P9+S9+V9+Y9+AB9+AE9+AH9+AK9+AN9+AQ9+AT9+AW9+AZ9+BC9+BF9+BI9+BL9+BO9+BR9+BU9+BX9+CA9+CD9+CG9+CJ9+CM9+CP9+CS9+CV9+CY9+DB9+DE9+DH9+DK9+DN9+DQ9</f>
        <v>70599</v>
      </c>
      <c r="DU9" s="81" t="n">
        <f aca="false">DT9-DS9</f>
        <v>0</v>
      </c>
      <c r="DV9" s="111"/>
      <c r="DW9" s="87"/>
      <c r="DX9" s="87"/>
      <c r="DY9" s="111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</row>
    <row r="10" customFormat="false" ht="12.75" hidden="false" customHeight="false" outlineLevel="0" collapsed="false">
      <c r="A10" s="80" t="n">
        <f aca="false">+BaseloadMarkets!A10</f>
        <v>36712</v>
      </c>
      <c r="B10" s="80" t="str">
        <f aca="false">+BaseloadMarkets!B10</f>
        <v>Wed</v>
      </c>
      <c r="C10" s="26" t="n">
        <v>3265</v>
      </c>
      <c r="D10" s="26" t="n">
        <f aca="false">485+2780</f>
        <v>3265</v>
      </c>
      <c r="E10" s="81" t="n">
        <f aca="false">D10-C10</f>
        <v>0</v>
      </c>
      <c r="F10" s="26" t="n">
        <v>11551</v>
      </c>
      <c r="G10" s="26" t="n">
        <v>11551</v>
      </c>
      <c r="H10" s="81" t="n">
        <f aca="false">G10-F10</f>
        <v>0</v>
      </c>
      <c r="I10" s="26" t="n">
        <v>4000</v>
      </c>
      <c r="J10" s="26" t="n">
        <v>4000</v>
      </c>
      <c r="K10" s="81" t="n">
        <f aca="false">J10-I10</f>
        <v>0</v>
      </c>
      <c r="L10" s="26" t="n">
        <f aca="false">8550-4625+2604</f>
        <v>6529</v>
      </c>
      <c r="M10" s="26" t="n">
        <f aca="false">8550-4625+2604</f>
        <v>6529</v>
      </c>
      <c r="N10" s="81" t="n">
        <f aca="false">M10-L10</f>
        <v>0</v>
      </c>
      <c r="O10" s="26" t="n">
        <v>43845</v>
      </c>
      <c r="P10" s="26" t="n">
        <f aca="false">16000+7845+20000</f>
        <v>43845</v>
      </c>
      <c r="Q10" s="81" t="n">
        <f aca="false">P10-O10</f>
        <v>0</v>
      </c>
      <c r="R10" s="26"/>
      <c r="S10" s="26"/>
      <c r="T10" s="81" t="n">
        <f aca="false">S10-R10</f>
        <v>0</v>
      </c>
      <c r="U10" s="26"/>
      <c r="V10" s="26"/>
      <c r="W10" s="81" t="n">
        <f aca="false">V10-U10</f>
        <v>0</v>
      </c>
      <c r="X10" s="26"/>
      <c r="Y10" s="26"/>
      <c r="Z10" s="81" t="n">
        <f aca="false">Y10-X10</f>
        <v>0</v>
      </c>
      <c r="AA10" s="26"/>
      <c r="AB10" s="26"/>
      <c r="AC10" s="81" t="n">
        <f aca="false">AB10-AA10</f>
        <v>0</v>
      </c>
      <c r="AD10" s="26"/>
      <c r="AE10" s="26"/>
      <c r="AF10" s="81" t="n">
        <f aca="false">AE10-AD10</f>
        <v>0</v>
      </c>
      <c r="AG10" s="26"/>
      <c r="AH10" s="26"/>
      <c r="AI10" s="81" t="n">
        <f aca="false">AH10-AG10</f>
        <v>0</v>
      </c>
      <c r="AJ10" s="26"/>
      <c r="AK10" s="26"/>
      <c r="AL10" s="81" t="n">
        <f aca="false">AK10-AJ10</f>
        <v>0</v>
      </c>
      <c r="AM10" s="26"/>
      <c r="AN10" s="26"/>
      <c r="AO10" s="81" t="n">
        <f aca="false">AN10-AM10</f>
        <v>0</v>
      </c>
      <c r="AP10" s="26"/>
      <c r="AQ10" s="26"/>
      <c r="AR10" s="81" t="n">
        <f aca="false">AQ10-AP10</f>
        <v>0</v>
      </c>
      <c r="AS10" s="26"/>
      <c r="AT10" s="26"/>
      <c r="AU10" s="81" t="n">
        <f aca="false">AT10-AS10</f>
        <v>0</v>
      </c>
      <c r="AV10" s="26"/>
      <c r="AW10" s="26"/>
      <c r="AX10" s="81" t="n">
        <f aca="false">AW10-AV10</f>
        <v>0</v>
      </c>
      <c r="AY10" s="26"/>
      <c r="AZ10" s="26"/>
      <c r="BA10" s="81" t="n">
        <f aca="false">AZ10-AY10</f>
        <v>0</v>
      </c>
      <c r="BB10" s="26"/>
      <c r="BC10" s="26"/>
      <c r="BD10" s="81" t="n">
        <f aca="false">BC10-BB10</f>
        <v>0</v>
      </c>
      <c r="BE10" s="26"/>
      <c r="BF10" s="26"/>
      <c r="BG10" s="81" t="n">
        <f aca="false">BF10-BE10</f>
        <v>0</v>
      </c>
      <c r="BH10" s="26"/>
      <c r="BI10" s="26"/>
      <c r="BJ10" s="81" t="n">
        <f aca="false">BI10-BH10</f>
        <v>0</v>
      </c>
      <c r="BK10" s="26"/>
      <c r="BL10" s="26"/>
      <c r="BM10" s="81" t="n">
        <f aca="false">BL10-BK10</f>
        <v>0</v>
      </c>
      <c r="BN10" s="26"/>
      <c r="BO10" s="26"/>
      <c r="BP10" s="81" t="n">
        <f aca="false">BO10-BN10</f>
        <v>0</v>
      </c>
      <c r="BQ10" s="26"/>
      <c r="BR10" s="26"/>
      <c r="BS10" s="81" t="n">
        <f aca="false">BR10-BQ10</f>
        <v>0</v>
      </c>
      <c r="BT10" s="26"/>
      <c r="BU10" s="26"/>
      <c r="BV10" s="81" t="n">
        <f aca="false">BU10-BT10</f>
        <v>0</v>
      </c>
      <c r="BW10" s="26"/>
      <c r="BX10" s="26"/>
      <c r="BY10" s="81" t="n">
        <f aca="false">BX10-BW10</f>
        <v>0</v>
      </c>
      <c r="BZ10" s="26"/>
      <c r="CA10" s="26"/>
      <c r="CB10" s="81" t="n">
        <f aca="false">CA10-BZ10</f>
        <v>0</v>
      </c>
      <c r="CC10" s="26"/>
      <c r="CD10" s="26"/>
      <c r="CE10" s="81" t="n">
        <f aca="false">CD10-CC10</f>
        <v>0</v>
      </c>
      <c r="CF10" s="26"/>
      <c r="CG10" s="26"/>
      <c r="CH10" s="81" t="n">
        <f aca="false">CG10-CF10</f>
        <v>0</v>
      </c>
      <c r="CI10" s="26"/>
      <c r="CJ10" s="26"/>
      <c r="CK10" s="81" t="n">
        <f aca="false">CJ10-CI10</f>
        <v>0</v>
      </c>
      <c r="CL10" s="26"/>
      <c r="CM10" s="26"/>
      <c r="CN10" s="81" t="n">
        <f aca="false">CM10-CL10</f>
        <v>0</v>
      </c>
      <c r="CO10" s="26"/>
      <c r="CP10" s="26"/>
      <c r="CQ10" s="81" t="n">
        <f aca="false">CP10-CO10</f>
        <v>0</v>
      </c>
      <c r="CR10" s="26"/>
      <c r="CS10" s="26"/>
      <c r="CT10" s="81" t="n">
        <f aca="false">CS10-CR10</f>
        <v>0</v>
      </c>
      <c r="CU10" s="26"/>
      <c r="CV10" s="26"/>
      <c r="CW10" s="81" t="n">
        <f aca="false">CV10-CU10</f>
        <v>0</v>
      </c>
      <c r="CX10" s="26"/>
      <c r="CY10" s="26"/>
      <c r="CZ10" s="81" t="n">
        <f aca="false">CY10-CX10</f>
        <v>0</v>
      </c>
      <c r="DA10" s="26"/>
      <c r="DB10" s="26"/>
      <c r="DC10" s="81" t="n">
        <f aca="false">DB10-DA10</f>
        <v>0</v>
      </c>
      <c r="DD10" s="26"/>
      <c r="DE10" s="26"/>
      <c r="DF10" s="81" t="n">
        <f aca="false">DE10-DD10</f>
        <v>0</v>
      </c>
      <c r="DG10" s="26"/>
      <c r="DH10" s="26"/>
      <c r="DI10" s="81" t="n">
        <f aca="false">DH10-DG10</f>
        <v>0</v>
      </c>
      <c r="DJ10" s="26"/>
      <c r="DK10" s="26"/>
      <c r="DL10" s="81" t="n">
        <f aca="false">DK10-DJ10</f>
        <v>0</v>
      </c>
      <c r="DM10" s="26"/>
      <c r="DN10" s="26"/>
      <c r="DO10" s="81" t="n">
        <f aca="false">DN10-DM10</f>
        <v>0</v>
      </c>
      <c r="DP10" s="26"/>
      <c r="DQ10" s="26"/>
      <c r="DR10" s="81" t="n">
        <f aca="false">DQ10-DP10</f>
        <v>0</v>
      </c>
      <c r="DS10" s="81" t="n">
        <f aca="false">+C10+F10+I10+L10+O10+R10+U10+X10+AA10+AD10+AG10+AJ10+AM10+AP10+AS10+AV10+AY10+BB10+BE10+BH10+BK10+BN10+BQ10+BT10+BW10+BZ10+CC10+CF10+CI10+CL10+CO10+CR10+CU10+CX10+DA10+DD10+DG10+DJ10+DM10+DP10</f>
        <v>69190</v>
      </c>
      <c r="DT10" s="81" t="n">
        <f aca="false">+D10+G10+J10+M10+P10+S10+V10+Y10+AB10+AE10+AH10+AK10+AN10+AQ10+AT10+AW10+AZ10+BC10+BF10+BI10+BL10+BO10+BR10+BU10+BX10+CA10+CD10+CG10+CJ10+CM10+CP10+CS10+CV10+CY10+DB10+DE10+DH10+DK10+DN10+DQ10</f>
        <v>69190</v>
      </c>
      <c r="DU10" s="81" t="n">
        <f aca="false">DT10-DS10</f>
        <v>0</v>
      </c>
      <c r="DV10" s="111"/>
      <c r="DW10" s="87"/>
      <c r="DX10" s="87"/>
      <c r="DY10" s="111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</row>
    <row r="11" customFormat="false" ht="12.75" hidden="false" customHeight="false" outlineLevel="0" collapsed="false">
      <c r="A11" s="80" t="n">
        <f aca="false">+BaseloadMarkets!A11</f>
        <v>36713</v>
      </c>
      <c r="B11" s="80" t="str">
        <f aca="false">+BaseloadMarkets!B11</f>
        <v>Thu</v>
      </c>
      <c r="C11" s="26"/>
      <c r="D11" s="26"/>
      <c r="E11" s="81" t="n">
        <f aca="false">D11-C11</f>
        <v>0</v>
      </c>
      <c r="F11" s="26"/>
      <c r="G11" s="26"/>
      <c r="H11" s="81" t="n">
        <f aca="false">G11-F11</f>
        <v>0</v>
      </c>
      <c r="I11" s="26"/>
      <c r="J11" s="26"/>
      <c r="K11" s="81" t="n">
        <f aca="false">J11-I11</f>
        <v>0</v>
      </c>
      <c r="L11" s="26"/>
      <c r="M11" s="26"/>
      <c r="N11" s="81" t="n">
        <f aca="false">M11-L11</f>
        <v>0</v>
      </c>
      <c r="O11" s="26" t="n">
        <f aca="false">50000-4625+2720</f>
        <v>48095</v>
      </c>
      <c r="P11" s="26" t="n">
        <f aca="false">50000-4625+2720</f>
        <v>48095</v>
      </c>
      <c r="Q11" s="81" t="n">
        <f aca="false">P11-O11</f>
        <v>0</v>
      </c>
      <c r="R11" s="26"/>
      <c r="S11" s="26"/>
      <c r="T11" s="81" t="n">
        <f aca="false">S11-R11</f>
        <v>0</v>
      </c>
      <c r="U11" s="26"/>
      <c r="V11" s="26"/>
      <c r="W11" s="81" t="n">
        <f aca="false">V11-U11</f>
        <v>0</v>
      </c>
      <c r="X11" s="26"/>
      <c r="Y11" s="26"/>
      <c r="Z11" s="81" t="n">
        <f aca="false">Y11-X11</f>
        <v>0</v>
      </c>
      <c r="AA11" s="26"/>
      <c r="AB11" s="26"/>
      <c r="AC11" s="81" t="n">
        <f aca="false">AB11-AA11</f>
        <v>0</v>
      </c>
      <c r="AD11" s="26"/>
      <c r="AE11" s="26"/>
      <c r="AF11" s="81" t="n">
        <f aca="false">AE11-AD11</f>
        <v>0</v>
      </c>
      <c r="AG11" s="26"/>
      <c r="AH11" s="26"/>
      <c r="AI11" s="81" t="n">
        <f aca="false">AH11-AG11</f>
        <v>0</v>
      </c>
      <c r="AJ11" s="26"/>
      <c r="AK11" s="26"/>
      <c r="AL11" s="81" t="n">
        <f aca="false">AK11-AJ11</f>
        <v>0</v>
      </c>
      <c r="AM11" s="26"/>
      <c r="AN11" s="26"/>
      <c r="AO11" s="81" t="n">
        <f aca="false">AN11-AM11</f>
        <v>0</v>
      </c>
      <c r="AP11" s="26"/>
      <c r="AQ11" s="26"/>
      <c r="AR11" s="81" t="n">
        <f aca="false">AQ11-AP11</f>
        <v>0</v>
      </c>
      <c r="AS11" s="26"/>
      <c r="AT11" s="26"/>
      <c r="AU11" s="81" t="n">
        <f aca="false">AT11-AS11</f>
        <v>0</v>
      </c>
      <c r="AV11" s="26"/>
      <c r="AW11" s="26"/>
      <c r="AX11" s="81" t="n">
        <f aca="false">AW11-AV11</f>
        <v>0</v>
      </c>
      <c r="AY11" s="26"/>
      <c r="AZ11" s="26"/>
      <c r="BA11" s="81" t="n">
        <f aca="false">AZ11-AY11</f>
        <v>0</v>
      </c>
      <c r="BB11" s="26"/>
      <c r="BC11" s="26"/>
      <c r="BD11" s="81" t="n">
        <f aca="false">BC11-BB11</f>
        <v>0</v>
      </c>
      <c r="BE11" s="26"/>
      <c r="BF11" s="26"/>
      <c r="BG11" s="81" t="n">
        <f aca="false">BF11-BE11</f>
        <v>0</v>
      </c>
      <c r="BH11" s="26"/>
      <c r="BI11" s="26"/>
      <c r="BJ11" s="81" t="n">
        <f aca="false">BI11-BH11</f>
        <v>0</v>
      </c>
      <c r="BK11" s="26"/>
      <c r="BL11" s="26"/>
      <c r="BM11" s="81" t="n">
        <f aca="false">BL11-BK11</f>
        <v>0</v>
      </c>
      <c r="BN11" s="26"/>
      <c r="BO11" s="26"/>
      <c r="BP11" s="81" t="n">
        <f aca="false">BO11-BN11</f>
        <v>0</v>
      </c>
      <c r="BQ11" s="26"/>
      <c r="BR11" s="26"/>
      <c r="BS11" s="81" t="n">
        <f aca="false">BR11-BQ11</f>
        <v>0</v>
      </c>
      <c r="BT11" s="26"/>
      <c r="BU11" s="26"/>
      <c r="BV11" s="81" t="n">
        <f aca="false">BU11-BT11</f>
        <v>0</v>
      </c>
      <c r="BW11" s="26"/>
      <c r="BX11" s="26"/>
      <c r="BY11" s="81" t="n">
        <f aca="false">BX11-BW11</f>
        <v>0</v>
      </c>
      <c r="BZ11" s="26"/>
      <c r="CA11" s="26"/>
      <c r="CB11" s="81" t="n">
        <f aca="false">CA11-BZ11</f>
        <v>0</v>
      </c>
      <c r="CC11" s="26"/>
      <c r="CD11" s="26"/>
      <c r="CE11" s="81" t="n">
        <f aca="false">CD11-CC11</f>
        <v>0</v>
      </c>
      <c r="CF11" s="26"/>
      <c r="CG11" s="26"/>
      <c r="CH11" s="81" t="n">
        <f aca="false">CG11-CF11</f>
        <v>0</v>
      </c>
      <c r="CI11" s="26"/>
      <c r="CJ11" s="26"/>
      <c r="CK11" s="81" t="n">
        <f aca="false">CJ11-CI11</f>
        <v>0</v>
      </c>
      <c r="CL11" s="26"/>
      <c r="CM11" s="26"/>
      <c r="CN11" s="81" t="n">
        <f aca="false">CM11-CL11</f>
        <v>0</v>
      </c>
      <c r="CO11" s="26"/>
      <c r="CP11" s="26"/>
      <c r="CQ11" s="81" t="n">
        <f aca="false">CP11-CO11</f>
        <v>0</v>
      </c>
      <c r="CR11" s="26"/>
      <c r="CS11" s="26"/>
      <c r="CT11" s="81" t="n">
        <f aca="false">CS11-CR11</f>
        <v>0</v>
      </c>
      <c r="CU11" s="26"/>
      <c r="CV11" s="26"/>
      <c r="CW11" s="81" t="n">
        <f aca="false">CV11-CU11</f>
        <v>0</v>
      </c>
      <c r="CX11" s="26"/>
      <c r="CY11" s="26"/>
      <c r="CZ11" s="81" t="n">
        <f aca="false">CY11-CX11</f>
        <v>0</v>
      </c>
      <c r="DA11" s="26"/>
      <c r="DB11" s="26"/>
      <c r="DC11" s="81" t="n">
        <f aca="false">DB11-DA11</f>
        <v>0</v>
      </c>
      <c r="DD11" s="26"/>
      <c r="DE11" s="26"/>
      <c r="DF11" s="81" t="n">
        <f aca="false">DE11-DD11</f>
        <v>0</v>
      </c>
      <c r="DG11" s="26"/>
      <c r="DH11" s="26"/>
      <c r="DI11" s="81" t="n">
        <f aca="false">DH11-DG11</f>
        <v>0</v>
      </c>
      <c r="DJ11" s="26"/>
      <c r="DK11" s="26"/>
      <c r="DL11" s="81" t="n">
        <f aca="false">DK11-DJ11</f>
        <v>0</v>
      </c>
      <c r="DM11" s="26"/>
      <c r="DN11" s="26"/>
      <c r="DO11" s="81" t="n">
        <f aca="false">DN11-DM11</f>
        <v>0</v>
      </c>
      <c r="DP11" s="26"/>
      <c r="DQ11" s="26"/>
      <c r="DR11" s="81" t="n">
        <f aca="false">DQ11-DP11</f>
        <v>0</v>
      </c>
      <c r="DS11" s="81" t="n">
        <f aca="false">+C11+F11+I11+L11+O11+R11+U11+X11+AA11+AD11+AG11+AJ11+AM11+AP11+AS11+AV11+AY11+BB11+BE11+BH11+BK11+BN11+BQ11+BT11+BW11+BZ11+CC11+CF11+CI11+CL11+CO11+CR11+CU11+CX11+DA11+DD11+DG11+DJ11+DM11+DP11</f>
        <v>48095</v>
      </c>
      <c r="DT11" s="81" t="n">
        <f aca="false">+D11+G11+J11+M11+P11+S11+V11+Y11+AB11+AE11+AH11+AK11+AN11+AQ11+AT11+AW11+AZ11+BC11+BF11+BI11+BL11+BO11+BR11+BU11+BX11+CA11+CD11+CG11+CJ11+CM11+CP11+CS11+CV11+CY11+DB11+DE11+DH11+DK11+DN11+DQ11</f>
        <v>48095</v>
      </c>
      <c r="DU11" s="81" t="n">
        <f aca="false">DT11-DS11</f>
        <v>0</v>
      </c>
      <c r="DV11" s="111"/>
      <c r="DW11" s="87"/>
      <c r="DX11" s="87"/>
      <c r="DY11" s="111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</row>
    <row r="12" customFormat="false" ht="12.75" hidden="false" customHeight="false" outlineLevel="0" collapsed="false">
      <c r="A12" s="80" t="n">
        <f aca="false">+BaseloadMarkets!A12</f>
        <v>36714</v>
      </c>
      <c r="B12" s="80" t="str">
        <f aca="false">+BaseloadMarkets!B12</f>
        <v>Fri</v>
      </c>
      <c r="C12" s="26"/>
      <c r="D12" s="26"/>
      <c r="E12" s="81" t="n">
        <f aca="false">D12-C12</f>
        <v>0</v>
      </c>
      <c r="F12" s="26"/>
      <c r="G12" s="26"/>
      <c r="H12" s="81" t="n">
        <f aca="false">G12-F12</f>
        <v>0</v>
      </c>
      <c r="I12" s="26"/>
      <c r="J12" s="26"/>
      <c r="K12" s="81" t="n">
        <f aca="false">J12-I12</f>
        <v>0</v>
      </c>
      <c r="L12" s="26"/>
      <c r="M12" s="26"/>
      <c r="N12" s="81" t="n">
        <f aca="false">M12-L12</f>
        <v>0</v>
      </c>
      <c r="O12" s="26" t="n">
        <f aca="false">50000-4625+2895</f>
        <v>48270</v>
      </c>
      <c r="P12" s="26" t="n">
        <f aca="false">50000-4625+2895</f>
        <v>48270</v>
      </c>
      <c r="Q12" s="81" t="n">
        <f aca="false">P12-O12</f>
        <v>0</v>
      </c>
      <c r="R12" s="26"/>
      <c r="S12" s="26"/>
      <c r="T12" s="81" t="n">
        <f aca="false">S12-R12</f>
        <v>0</v>
      </c>
      <c r="U12" s="26"/>
      <c r="V12" s="26"/>
      <c r="W12" s="81" t="n">
        <f aca="false">V12-U12</f>
        <v>0</v>
      </c>
      <c r="X12" s="26"/>
      <c r="Y12" s="26"/>
      <c r="Z12" s="81" t="n">
        <f aca="false">Y12-X12</f>
        <v>0</v>
      </c>
      <c r="AA12" s="26"/>
      <c r="AB12" s="26"/>
      <c r="AC12" s="81" t="n">
        <f aca="false">AB12-AA12</f>
        <v>0</v>
      </c>
      <c r="AD12" s="26"/>
      <c r="AE12" s="26"/>
      <c r="AF12" s="81" t="n">
        <f aca="false">AE12-AD12</f>
        <v>0</v>
      </c>
      <c r="AG12" s="26"/>
      <c r="AH12" s="26"/>
      <c r="AI12" s="81" t="n">
        <f aca="false">AH12-AG12</f>
        <v>0</v>
      </c>
      <c r="AJ12" s="26"/>
      <c r="AK12" s="26"/>
      <c r="AL12" s="81" t="n">
        <f aca="false">AK12-AJ12</f>
        <v>0</v>
      </c>
      <c r="AM12" s="26"/>
      <c r="AN12" s="26"/>
      <c r="AO12" s="81" t="n">
        <f aca="false">AN12-AM12</f>
        <v>0</v>
      </c>
      <c r="AP12" s="26"/>
      <c r="AQ12" s="26"/>
      <c r="AR12" s="81" t="n">
        <f aca="false">AQ12-AP12</f>
        <v>0</v>
      </c>
      <c r="AS12" s="26"/>
      <c r="AT12" s="26"/>
      <c r="AU12" s="81" t="n">
        <f aca="false">AT12-AS12</f>
        <v>0</v>
      </c>
      <c r="AV12" s="26"/>
      <c r="AW12" s="26"/>
      <c r="AX12" s="81" t="n">
        <f aca="false">AW12-AV12</f>
        <v>0</v>
      </c>
      <c r="AY12" s="26"/>
      <c r="AZ12" s="26"/>
      <c r="BA12" s="81" t="n">
        <f aca="false">AZ12-AY12</f>
        <v>0</v>
      </c>
      <c r="BB12" s="26"/>
      <c r="BC12" s="26"/>
      <c r="BD12" s="81" t="n">
        <f aca="false">BC12-BB12</f>
        <v>0</v>
      </c>
      <c r="BE12" s="26"/>
      <c r="BF12" s="26"/>
      <c r="BG12" s="81" t="n">
        <f aca="false">BF12-BE12</f>
        <v>0</v>
      </c>
      <c r="BH12" s="26"/>
      <c r="BI12" s="26"/>
      <c r="BJ12" s="81" t="n">
        <f aca="false">BI12-BH12</f>
        <v>0</v>
      </c>
      <c r="BK12" s="26"/>
      <c r="BL12" s="26"/>
      <c r="BM12" s="81" t="n">
        <f aca="false">BL12-BK12</f>
        <v>0</v>
      </c>
      <c r="BN12" s="26"/>
      <c r="BO12" s="26"/>
      <c r="BP12" s="81" t="n">
        <f aca="false">BO12-BN12</f>
        <v>0</v>
      </c>
      <c r="BQ12" s="26"/>
      <c r="BR12" s="26"/>
      <c r="BS12" s="81" t="n">
        <f aca="false">BR12-BQ12</f>
        <v>0</v>
      </c>
      <c r="BT12" s="26"/>
      <c r="BU12" s="26"/>
      <c r="BV12" s="81" t="n">
        <f aca="false">BU12-BT12</f>
        <v>0</v>
      </c>
      <c r="BW12" s="26"/>
      <c r="BX12" s="26"/>
      <c r="BY12" s="81" t="n">
        <f aca="false">BX12-BW12</f>
        <v>0</v>
      </c>
      <c r="BZ12" s="26"/>
      <c r="CA12" s="26"/>
      <c r="CB12" s="81" t="n">
        <f aca="false">CA12-BZ12</f>
        <v>0</v>
      </c>
      <c r="CC12" s="26"/>
      <c r="CD12" s="26"/>
      <c r="CE12" s="81" t="n">
        <f aca="false">CD12-CC12</f>
        <v>0</v>
      </c>
      <c r="CF12" s="26"/>
      <c r="CG12" s="26"/>
      <c r="CH12" s="81" t="n">
        <f aca="false">CG12-CF12</f>
        <v>0</v>
      </c>
      <c r="CI12" s="26"/>
      <c r="CJ12" s="26"/>
      <c r="CK12" s="81" t="n">
        <f aca="false">CJ12-CI12</f>
        <v>0</v>
      </c>
      <c r="CL12" s="26"/>
      <c r="CM12" s="26"/>
      <c r="CN12" s="81" t="n">
        <f aca="false">CM12-CL12</f>
        <v>0</v>
      </c>
      <c r="CO12" s="26"/>
      <c r="CP12" s="26"/>
      <c r="CQ12" s="81" t="n">
        <f aca="false">CP12-CO12</f>
        <v>0</v>
      </c>
      <c r="CR12" s="26"/>
      <c r="CS12" s="26"/>
      <c r="CT12" s="81" t="n">
        <f aca="false">CS12-CR12</f>
        <v>0</v>
      </c>
      <c r="CU12" s="26"/>
      <c r="CV12" s="26"/>
      <c r="CW12" s="81" t="n">
        <f aca="false">CV12-CU12</f>
        <v>0</v>
      </c>
      <c r="CX12" s="26"/>
      <c r="CY12" s="26"/>
      <c r="CZ12" s="81" t="n">
        <f aca="false">CY12-CX12</f>
        <v>0</v>
      </c>
      <c r="DA12" s="26"/>
      <c r="DB12" s="26"/>
      <c r="DC12" s="81" t="n">
        <f aca="false">DB12-DA12</f>
        <v>0</v>
      </c>
      <c r="DD12" s="26"/>
      <c r="DE12" s="26"/>
      <c r="DF12" s="81" t="n">
        <f aca="false">DE12-DD12</f>
        <v>0</v>
      </c>
      <c r="DG12" s="26"/>
      <c r="DH12" s="26"/>
      <c r="DI12" s="81" t="n">
        <f aca="false">DH12-DG12</f>
        <v>0</v>
      </c>
      <c r="DJ12" s="26"/>
      <c r="DK12" s="26"/>
      <c r="DL12" s="81" t="n">
        <f aca="false">DK12-DJ12</f>
        <v>0</v>
      </c>
      <c r="DM12" s="26"/>
      <c r="DN12" s="26"/>
      <c r="DO12" s="81" t="n">
        <f aca="false">DN12-DM12</f>
        <v>0</v>
      </c>
      <c r="DP12" s="26"/>
      <c r="DQ12" s="26"/>
      <c r="DR12" s="81" t="n">
        <f aca="false">DQ12-DP12</f>
        <v>0</v>
      </c>
      <c r="DS12" s="81" t="n">
        <f aca="false">+C12+F12+I12+L12+O12+R12+U12+X12+AA12+AD12+AG12+AJ12+AM12+AP12+AS12+AV12+AY12+BB12+BE12+BH12+BK12+BN12+BQ12+BT12+BW12+BZ12+CC12+CF12+CI12+CL12+CO12+CR12+CU12+CX12+DA12+DD12+DG12+DJ12+DM12+DP12</f>
        <v>48270</v>
      </c>
      <c r="DT12" s="81" t="n">
        <f aca="false">+D12+G12+J12+M12+P12+S12+V12+Y12+AB12+AE12+AH12+AK12+AN12+AQ12+AT12+AW12+AZ12+BC12+BF12+BI12+BL12+BO12+BR12+BU12+BX12+CA12+CD12+CG12+CJ12+CM12+CP12+CS12+CV12+CY12+DB12+DE12+DH12+DK12+DN12+DQ12</f>
        <v>48270</v>
      </c>
      <c r="DU12" s="81" t="n">
        <f aca="false">DT12-DS12</f>
        <v>0</v>
      </c>
      <c r="DV12" s="111"/>
      <c r="DW12" s="87"/>
      <c r="DX12" s="87"/>
      <c r="DY12" s="111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</row>
    <row r="13" customFormat="false" ht="12.75" hidden="false" customHeight="false" outlineLevel="0" collapsed="false">
      <c r="A13" s="80" t="n">
        <f aca="false">+BaseloadMarkets!A13</f>
        <v>36715</v>
      </c>
      <c r="B13" s="80" t="str">
        <f aca="false">+BaseloadMarkets!B13</f>
        <v>Sat</v>
      </c>
      <c r="C13" s="26"/>
      <c r="D13" s="26"/>
      <c r="E13" s="81" t="n">
        <f aca="false">D13-C13</f>
        <v>0</v>
      </c>
      <c r="F13" s="26"/>
      <c r="G13" s="26"/>
      <c r="H13" s="81" t="n">
        <f aca="false">G13-F13</f>
        <v>0</v>
      </c>
      <c r="I13" s="26"/>
      <c r="J13" s="26"/>
      <c r="K13" s="81" t="n">
        <f aca="false">J13-I13</f>
        <v>0</v>
      </c>
      <c r="L13" s="26"/>
      <c r="M13" s="26"/>
      <c r="N13" s="81" t="n">
        <f aca="false">M13-L13</f>
        <v>0</v>
      </c>
      <c r="O13" s="26" t="n">
        <f aca="false">37520-4625+2931</f>
        <v>35826</v>
      </c>
      <c r="P13" s="26" t="n">
        <f aca="false">37520-4625+2931</f>
        <v>35826</v>
      </c>
      <c r="Q13" s="81" t="n">
        <f aca="false">P13-O13</f>
        <v>0</v>
      </c>
      <c r="R13" s="26" t="n">
        <v>20000</v>
      </c>
      <c r="S13" s="26" t="n">
        <v>20000</v>
      </c>
      <c r="T13" s="81" t="n">
        <f aca="false">S13-R13</f>
        <v>0</v>
      </c>
      <c r="U13" s="26"/>
      <c r="V13" s="26"/>
      <c r="W13" s="81" t="n">
        <f aca="false">V13-U13</f>
        <v>0</v>
      </c>
      <c r="X13" s="26"/>
      <c r="Y13" s="26"/>
      <c r="Z13" s="81" t="n">
        <f aca="false">Y13-X13</f>
        <v>0</v>
      </c>
      <c r="AA13" s="26"/>
      <c r="AB13" s="26"/>
      <c r="AC13" s="81" t="n">
        <f aca="false">AB13-AA13</f>
        <v>0</v>
      </c>
      <c r="AD13" s="26"/>
      <c r="AE13" s="26"/>
      <c r="AF13" s="81" t="n">
        <f aca="false">AE13-AD13</f>
        <v>0</v>
      </c>
      <c r="AG13" s="26"/>
      <c r="AH13" s="26"/>
      <c r="AI13" s="81" t="n">
        <f aca="false">AH13-AG13</f>
        <v>0</v>
      </c>
      <c r="AJ13" s="26"/>
      <c r="AK13" s="26"/>
      <c r="AL13" s="81" t="n">
        <f aca="false">AK13-AJ13</f>
        <v>0</v>
      </c>
      <c r="AM13" s="26"/>
      <c r="AN13" s="26"/>
      <c r="AO13" s="81" t="n">
        <f aca="false">AN13-AM13</f>
        <v>0</v>
      </c>
      <c r="AP13" s="26"/>
      <c r="AQ13" s="26"/>
      <c r="AR13" s="81" t="n">
        <f aca="false">AQ13-AP13</f>
        <v>0</v>
      </c>
      <c r="AS13" s="26"/>
      <c r="AT13" s="26"/>
      <c r="AU13" s="81" t="n">
        <f aca="false">AT13-AS13</f>
        <v>0</v>
      </c>
      <c r="AV13" s="26"/>
      <c r="AW13" s="26"/>
      <c r="AX13" s="81" t="n">
        <f aca="false">AW13-AV13</f>
        <v>0</v>
      </c>
      <c r="AY13" s="26"/>
      <c r="AZ13" s="26"/>
      <c r="BA13" s="81" t="n">
        <f aca="false">AZ13-AY13</f>
        <v>0</v>
      </c>
      <c r="BB13" s="26"/>
      <c r="BC13" s="26"/>
      <c r="BD13" s="81" t="n">
        <f aca="false">BC13-BB13</f>
        <v>0</v>
      </c>
      <c r="BE13" s="26"/>
      <c r="BF13" s="26"/>
      <c r="BG13" s="81" t="n">
        <f aca="false">BF13-BE13</f>
        <v>0</v>
      </c>
      <c r="BH13" s="26"/>
      <c r="BI13" s="26"/>
      <c r="BJ13" s="81" t="n">
        <f aca="false">BI13-BH13</f>
        <v>0</v>
      </c>
      <c r="BK13" s="26"/>
      <c r="BL13" s="26"/>
      <c r="BM13" s="81" t="n">
        <f aca="false">BL13-BK13</f>
        <v>0</v>
      </c>
      <c r="BN13" s="26"/>
      <c r="BO13" s="26"/>
      <c r="BP13" s="81" t="n">
        <f aca="false">BO13-BN13</f>
        <v>0</v>
      </c>
      <c r="BQ13" s="26"/>
      <c r="BR13" s="26"/>
      <c r="BS13" s="81" t="n">
        <f aca="false">BR13-BQ13</f>
        <v>0</v>
      </c>
      <c r="BT13" s="26"/>
      <c r="BU13" s="26"/>
      <c r="BV13" s="81" t="n">
        <f aca="false">BU13-BT13</f>
        <v>0</v>
      </c>
      <c r="BW13" s="26"/>
      <c r="BX13" s="26"/>
      <c r="BY13" s="81" t="n">
        <f aca="false">BX13-BW13</f>
        <v>0</v>
      </c>
      <c r="BZ13" s="26"/>
      <c r="CA13" s="26"/>
      <c r="CB13" s="81" t="n">
        <f aca="false">CA13-BZ13</f>
        <v>0</v>
      </c>
      <c r="CC13" s="26"/>
      <c r="CD13" s="26"/>
      <c r="CE13" s="81" t="n">
        <f aca="false">CD13-CC13</f>
        <v>0</v>
      </c>
      <c r="CF13" s="26"/>
      <c r="CG13" s="26"/>
      <c r="CH13" s="81" t="n">
        <f aca="false">CG13-CF13</f>
        <v>0</v>
      </c>
      <c r="CI13" s="26"/>
      <c r="CJ13" s="26"/>
      <c r="CK13" s="81" t="n">
        <f aca="false">CJ13-CI13</f>
        <v>0</v>
      </c>
      <c r="CL13" s="26"/>
      <c r="CM13" s="26"/>
      <c r="CN13" s="81" t="n">
        <f aca="false">CM13-CL13</f>
        <v>0</v>
      </c>
      <c r="CO13" s="26"/>
      <c r="CP13" s="26"/>
      <c r="CQ13" s="81" t="n">
        <f aca="false">CP13-CO13</f>
        <v>0</v>
      </c>
      <c r="CR13" s="26"/>
      <c r="CS13" s="26"/>
      <c r="CT13" s="81" t="n">
        <f aca="false">CS13-CR13</f>
        <v>0</v>
      </c>
      <c r="CU13" s="26"/>
      <c r="CV13" s="26"/>
      <c r="CW13" s="81" t="n">
        <f aca="false">CV13-CU13</f>
        <v>0</v>
      </c>
      <c r="CX13" s="26"/>
      <c r="CY13" s="26"/>
      <c r="CZ13" s="81" t="n">
        <f aca="false">CY13-CX13</f>
        <v>0</v>
      </c>
      <c r="DA13" s="26"/>
      <c r="DB13" s="26"/>
      <c r="DC13" s="81" t="n">
        <f aca="false">DB13-DA13</f>
        <v>0</v>
      </c>
      <c r="DD13" s="26"/>
      <c r="DE13" s="26"/>
      <c r="DF13" s="81" t="n">
        <f aca="false">DE13-DD13</f>
        <v>0</v>
      </c>
      <c r="DG13" s="26"/>
      <c r="DH13" s="26"/>
      <c r="DI13" s="81" t="n">
        <f aca="false">DH13-DG13</f>
        <v>0</v>
      </c>
      <c r="DJ13" s="26"/>
      <c r="DK13" s="26"/>
      <c r="DL13" s="81" t="n">
        <f aca="false">DK13-DJ13</f>
        <v>0</v>
      </c>
      <c r="DM13" s="26"/>
      <c r="DN13" s="26"/>
      <c r="DO13" s="81" t="n">
        <f aca="false">DN13-DM13</f>
        <v>0</v>
      </c>
      <c r="DP13" s="26"/>
      <c r="DQ13" s="26"/>
      <c r="DR13" s="81" t="n">
        <f aca="false">DQ13-DP13</f>
        <v>0</v>
      </c>
      <c r="DS13" s="81" t="n">
        <f aca="false">+C13+F13+I13+L13+O13+R13+U13+X13+AA13+AD13+AG13+AJ13+AM13+AP13+AS13+AV13+AY13+BB13+BE13+BH13+BK13+BN13+BQ13+BT13+BW13+BZ13+CC13+CF13+CI13+CL13+CO13+CR13+CU13+CX13+DA13+DD13+DG13+DJ13+DM13+DP13</f>
        <v>55826</v>
      </c>
      <c r="DT13" s="81" t="n">
        <f aca="false">+D13+G13+J13+M13+P13+S13+V13+Y13+AB13+AE13+AH13+AK13+AN13+AQ13+AT13+AW13+AZ13+BC13+BF13+BI13+BL13+BO13+BR13+BU13+BX13+CA13+CD13+CG13+CJ13+CM13+CP13+CS13+CV13+CY13+DB13+DE13+DH13+DK13+DN13+DQ13</f>
        <v>55826</v>
      </c>
      <c r="DU13" s="81" t="n">
        <f aca="false">DT13-DS13</f>
        <v>0</v>
      </c>
      <c r="DV13" s="111"/>
      <c r="DW13" s="87"/>
      <c r="DX13" s="87"/>
      <c r="DY13" s="111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</row>
    <row r="14" customFormat="false" ht="12.75" hidden="false" customHeight="false" outlineLevel="0" collapsed="false">
      <c r="A14" s="80" t="n">
        <f aca="false">+BaseloadMarkets!A14</f>
        <v>36716</v>
      </c>
      <c r="B14" s="80" t="str">
        <f aca="false">+BaseloadMarkets!B14</f>
        <v>Sun</v>
      </c>
      <c r="C14" s="26"/>
      <c r="D14" s="26"/>
      <c r="E14" s="81" t="n">
        <f aca="false">D14-C14</f>
        <v>0</v>
      </c>
      <c r="F14" s="26"/>
      <c r="G14" s="26"/>
      <c r="H14" s="81" t="n">
        <f aca="false">G14-F14</f>
        <v>0</v>
      </c>
      <c r="I14" s="26"/>
      <c r="J14" s="26"/>
      <c r="K14" s="81" t="n">
        <f aca="false">J14-I14</f>
        <v>0</v>
      </c>
      <c r="L14" s="26"/>
      <c r="M14" s="26"/>
      <c r="N14" s="81" t="n">
        <f aca="false">M14-L14</f>
        <v>0</v>
      </c>
      <c r="O14" s="26" t="n">
        <f aca="false">50000-4625+2119</f>
        <v>47494</v>
      </c>
      <c r="P14" s="26" t="n">
        <f aca="false">50000-4625+2119</f>
        <v>47494</v>
      </c>
      <c r="Q14" s="81" t="n">
        <f aca="false">P14-O14</f>
        <v>0</v>
      </c>
      <c r="R14" s="26" t="n">
        <v>20000</v>
      </c>
      <c r="S14" s="26" t="n">
        <v>20000</v>
      </c>
      <c r="T14" s="81" t="n">
        <f aca="false">S14-R14</f>
        <v>0</v>
      </c>
      <c r="U14" s="26"/>
      <c r="V14" s="26"/>
      <c r="W14" s="81" t="n">
        <f aca="false">V14-U14</f>
        <v>0</v>
      </c>
      <c r="X14" s="26"/>
      <c r="Y14" s="26"/>
      <c r="Z14" s="81" t="n">
        <f aca="false">Y14-X14</f>
        <v>0</v>
      </c>
      <c r="AA14" s="26"/>
      <c r="AB14" s="26"/>
      <c r="AC14" s="81" t="n">
        <f aca="false">AB14-AA14</f>
        <v>0</v>
      </c>
      <c r="AD14" s="26"/>
      <c r="AE14" s="26"/>
      <c r="AF14" s="81" t="n">
        <f aca="false">AE14-AD14</f>
        <v>0</v>
      </c>
      <c r="AG14" s="26"/>
      <c r="AH14" s="26"/>
      <c r="AI14" s="81" t="n">
        <f aca="false">AH14-AG14</f>
        <v>0</v>
      </c>
      <c r="AJ14" s="26"/>
      <c r="AK14" s="26"/>
      <c r="AL14" s="81" t="n">
        <f aca="false">AK14-AJ14</f>
        <v>0</v>
      </c>
      <c r="AM14" s="26"/>
      <c r="AN14" s="26"/>
      <c r="AO14" s="81" t="n">
        <f aca="false">AN14-AM14</f>
        <v>0</v>
      </c>
      <c r="AP14" s="26"/>
      <c r="AQ14" s="26"/>
      <c r="AR14" s="81" t="n">
        <f aca="false">AQ14-AP14</f>
        <v>0</v>
      </c>
      <c r="AS14" s="26"/>
      <c r="AT14" s="26"/>
      <c r="AU14" s="81" t="n">
        <f aca="false">AT14-AS14</f>
        <v>0</v>
      </c>
      <c r="AV14" s="26"/>
      <c r="AW14" s="26"/>
      <c r="AX14" s="81" t="n">
        <f aca="false">AW14-AV14</f>
        <v>0</v>
      </c>
      <c r="AY14" s="26"/>
      <c r="AZ14" s="26"/>
      <c r="BA14" s="81" t="n">
        <f aca="false">AZ14-AY14</f>
        <v>0</v>
      </c>
      <c r="BB14" s="26"/>
      <c r="BC14" s="26"/>
      <c r="BD14" s="81" t="n">
        <f aca="false">BC14-BB14</f>
        <v>0</v>
      </c>
      <c r="BE14" s="26"/>
      <c r="BF14" s="26"/>
      <c r="BG14" s="81" t="n">
        <f aca="false">BF14-BE14</f>
        <v>0</v>
      </c>
      <c r="BH14" s="26"/>
      <c r="BI14" s="26"/>
      <c r="BJ14" s="81" t="n">
        <f aca="false">BI14-BH14</f>
        <v>0</v>
      </c>
      <c r="BK14" s="26"/>
      <c r="BL14" s="26"/>
      <c r="BM14" s="81" t="n">
        <f aca="false">BL14-BK14</f>
        <v>0</v>
      </c>
      <c r="BN14" s="26"/>
      <c r="BO14" s="26"/>
      <c r="BP14" s="81" t="n">
        <f aca="false">BO14-BN14</f>
        <v>0</v>
      </c>
      <c r="BQ14" s="26"/>
      <c r="BR14" s="26"/>
      <c r="BS14" s="81" t="n">
        <f aca="false">BR14-BQ14</f>
        <v>0</v>
      </c>
      <c r="BT14" s="26"/>
      <c r="BU14" s="26"/>
      <c r="BV14" s="81" t="n">
        <f aca="false">BU14-BT14</f>
        <v>0</v>
      </c>
      <c r="BW14" s="26"/>
      <c r="BX14" s="26"/>
      <c r="BY14" s="81" t="n">
        <f aca="false">BX14-BW14</f>
        <v>0</v>
      </c>
      <c r="BZ14" s="26"/>
      <c r="CA14" s="26"/>
      <c r="CB14" s="81" t="n">
        <f aca="false">CA14-BZ14</f>
        <v>0</v>
      </c>
      <c r="CC14" s="26"/>
      <c r="CD14" s="26"/>
      <c r="CE14" s="81" t="n">
        <f aca="false">CD14-CC14</f>
        <v>0</v>
      </c>
      <c r="CF14" s="26"/>
      <c r="CG14" s="26"/>
      <c r="CH14" s="81" t="n">
        <f aca="false">CG14-CF14</f>
        <v>0</v>
      </c>
      <c r="CI14" s="26"/>
      <c r="CJ14" s="26"/>
      <c r="CK14" s="81" t="n">
        <f aca="false">CJ14-CI14</f>
        <v>0</v>
      </c>
      <c r="CL14" s="26"/>
      <c r="CM14" s="26"/>
      <c r="CN14" s="81" t="n">
        <f aca="false">CM14-CL14</f>
        <v>0</v>
      </c>
      <c r="CO14" s="26"/>
      <c r="CP14" s="26"/>
      <c r="CQ14" s="81" t="n">
        <f aca="false">CP14-CO14</f>
        <v>0</v>
      </c>
      <c r="CR14" s="26"/>
      <c r="CS14" s="26"/>
      <c r="CT14" s="81" t="n">
        <f aca="false">CS14-CR14</f>
        <v>0</v>
      </c>
      <c r="CU14" s="26"/>
      <c r="CV14" s="26"/>
      <c r="CW14" s="81" t="n">
        <f aca="false">CV14-CU14</f>
        <v>0</v>
      </c>
      <c r="CX14" s="26"/>
      <c r="CY14" s="26"/>
      <c r="CZ14" s="81" t="n">
        <f aca="false">CY14-CX14</f>
        <v>0</v>
      </c>
      <c r="DA14" s="26"/>
      <c r="DB14" s="26"/>
      <c r="DC14" s="81" t="n">
        <f aca="false">DB14-DA14</f>
        <v>0</v>
      </c>
      <c r="DD14" s="26"/>
      <c r="DE14" s="26"/>
      <c r="DF14" s="81" t="n">
        <f aca="false">DE14-DD14</f>
        <v>0</v>
      </c>
      <c r="DG14" s="26"/>
      <c r="DH14" s="26"/>
      <c r="DI14" s="81" t="n">
        <f aca="false">DH14-DG14</f>
        <v>0</v>
      </c>
      <c r="DJ14" s="26"/>
      <c r="DK14" s="26"/>
      <c r="DL14" s="81" t="n">
        <f aca="false">DK14-DJ14</f>
        <v>0</v>
      </c>
      <c r="DM14" s="26"/>
      <c r="DN14" s="26"/>
      <c r="DO14" s="81" t="n">
        <f aca="false">DN14-DM14</f>
        <v>0</v>
      </c>
      <c r="DP14" s="26"/>
      <c r="DQ14" s="26"/>
      <c r="DR14" s="81" t="n">
        <f aca="false">DQ14-DP14</f>
        <v>0</v>
      </c>
      <c r="DS14" s="81" t="n">
        <f aca="false">+C14+F14+I14+L14+O14+R14+U14+X14+AA14+AD14+AG14+AJ14+AM14+AP14+AS14+AV14+AY14+BB14+BE14+BH14+BK14+BN14+BQ14+BT14+BW14+BZ14+CC14+CF14+CI14+CL14+CO14+CR14+CU14+CX14+DA14+DD14+DG14+DJ14+DM14+DP14</f>
        <v>67494</v>
      </c>
      <c r="DT14" s="81" t="n">
        <f aca="false">+D14+G14+J14+M14+P14+S14+V14+Y14+AB14+AE14+AH14+AK14+AN14+AQ14+AT14+AW14+AZ14+BC14+BF14+BI14+BL14+BO14+BR14+BU14+BX14+CA14+CD14+CG14+CJ14+CM14+CP14+CS14+CV14+CY14+DB14+DE14+DH14+DK14+DN14+DQ14</f>
        <v>67494</v>
      </c>
      <c r="DU14" s="81" t="n">
        <f aca="false">DT14-DS14</f>
        <v>0</v>
      </c>
      <c r="DV14" s="111"/>
      <c r="DW14" s="87"/>
      <c r="DX14" s="87"/>
      <c r="DY14" s="111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</row>
    <row r="15" customFormat="false" ht="12.75" hidden="false" customHeight="false" outlineLevel="0" collapsed="false">
      <c r="A15" s="80" t="n">
        <f aca="false">+BaseloadMarkets!A15</f>
        <v>36717</v>
      </c>
      <c r="B15" s="80" t="str">
        <f aca="false">+BaseloadMarkets!B15</f>
        <v>Mon</v>
      </c>
      <c r="C15" s="26"/>
      <c r="D15" s="26"/>
      <c r="E15" s="81" t="n">
        <f aca="false">D15-C15</f>
        <v>0</v>
      </c>
      <c r="F15" s="26"/>
      <c r="G15" s="26"/>
      <c r="H15" s="81" t="n">
        <f aca="false">G15-F15</f>
        <v>0</v>
      </c>
      <c r="I15" s="26"/>
      <c r="J15" s="26"/>
      <c r="K15" s="81" t="n">
        <f aca="false">J15-I15</f>
        <v>0</v>
      </c>
      <c r="L15" s="26"/>
      <c r="M15" s="26"/>
      <c r="N15" s="81" t="n">
        <f aca="false">M15-L15</f>
        <v>0</v>
      </c>
      <c r="O15" s="26" t="n">
        <f aca="false">41185-4625+2301</f>
        <v>38861</v>
      </c>
      <c r="P15" s="26" t="n">
        <f aca="false">41185-4625+2301</f>
        <v>38861</v>
      </c>
      <c r="Q15" s="81" t="n">
        <f aca="false">P15-O15</f>
        <v>0</v>
      </c>
      <c r="R15" s="26" t="n">
        <v>20000</v>
      </c>
      <c r="S15" s="26" t="n">
        <v>20000</v>
      </c>
      <c r="T15" s="81" t="n">
        <f aca="false">S15-R15</f>
        <v>0</v>
      </c>
      <c r="U15" s="26"/>
      <c r="V15" s="26"/>
      <c r="W15" s="81" t="n">
        <f aca="false">V15-U15</f>
        <v>0</v>
      </c>
      <c r="X15" s="26"/>
      <c r="Y15" s="26"/>
      <c r="Z15" s="81" t="n">
        <f aca="false">Y15-X15</f>
        <v>0</v>
      </c>
      <c r="AA15" s="26"/>
      <c r="AB15" s="26"/>
      <c r="AC15" s="81" t="n">
        <f aca="false">AB15-AA15</f>
        <v>0</v>
      </c>
      <c r="AD15" s="26"/>
      <c r="AE15" s="26"/>
      <c r="AF15" s="81" t="n">
        <f aca="false">AE15-AD15</f>
        <v>0</v>
      </c>
      <c r="AG15" s="26"/>
      <c r="AH15" s="26"/>
      <c r="AI15" s="81" t="n">
        <f aca="false">AH15-AG15</f>
        <v>0</v>
      </c>
      <c r="AJ15" s="26"/>
      <c r="AK15" s="26"/>
      <c r="AL15" s="81" t="n">
        <f aca="false">AK15-AJ15</f>
        <v>0</v>
      </c>
      <c r="AM15" s="26"/>
      <c r="AN15" s="26"/>
      <c r="AO15" s="81" t="n">
        <f aca="false">AN15-AM15</f>
        <v>0</v>
      </c>
      <c r="AP15" s="26"/>
      <c r="AQ15" s="26"/>
      <c r="AR15" s="81" t="n">
        <f aca="false">AQ15-AP15</f>
        <v>0</v>
      </c>
      <c r="AS15" s="26"/>
      <c r="AT15" s="26"/>
      <c r="AU15" s="81" t="n">
        <f aca="false">AT15-AS15</f>
        <v>0</v>
      </c>
      <c r="AV15" s="26"/>
      <c r="AW15" s="26"/>
      <c r="AX15" s="81" t="n">
        <f aca="false">AW15-AV15</f>
        <v>0</v>
      </c>
      <c r="AY15" s="26"/>
      <c r="AZ15" s="26"/>
      <c r="BA15" s="81" t="n">
        <f aca="false">AZ15-AY15</f>
        <v>0</v>
      </c>
      <c r="BB15" s="26"/>
      <c r="BC15" s="26"/>
      <c r="BD15" s="81" t="n">
        <f aca="false">BC15-BB15</f>
        <v>0</v>
      </c>
      <c r="BE15" s="26"/>
      <c r="BF15" s="26"/>
      <c r="BG15" s="81" t="n">
        <f aca="false">BF15-BE15</f>
        <v>0</v>
      </c>
      <c r="BH15" s="26"/>
      <c r="BI15" s="26"/>
      <c r="BJ15" s="81" t="n">
        <f aca="false">BI15-BH15</f>
        <v>0</v>
      </c>
      <c r="BK15" s="26"/>
      <c r="BL15" s="26"/>
      <c r="BM15" s="81" t="n">
        <f aca="false">BL15-BK15</f>
        <v>0</v>
      </c>
      <c r="BN15" s="26"/>
      <c r="BO15" s="26"/>
      <c r="BP15" s="81" t="n">
        <f aca="false">BO15-BN15</f>
        <v>0</v>
      </c>
      <c r="BQ15" s="26"/>
      <c r="BR15" s="26"/>
      <c r="BS15" s="81" t="n">
        <f aca="false">BR15-BQ15</f>
        <v>0</v>
      </c>
      <c r="BT15" s="26"/>
      <c r="BU15" s="26"/>
      <c r="BV15" s="81" t="n">
        <f aca="false">BU15-BT15</f>
        <v>0</v>
      </c>
      <c r="BW15" s="26"/>
      <c r="BX15" s="26"/>
      <c r="BY15" s="81" t="n">
        <f aca="false">BX15-BW15</f>
        <v>0</v>
      </c>
      <c r="BZ15" s="26"/>
      <c r="CA15" s="26"/>
      <c r="CB15" s="81" t="n">
        <f aca="false">CA15-BZ15</f>
        <v>0</v>
      </c>
      <c r="CC15" s="26"/>
      <c r="CD15" s="26"/>
      <c r="CE15" s="81" t="n">
        <f aca="false">CD15-CC15</f>
        <v>0</v>
      </c>
      <c r="CF15" s="26"/>
      <c r="CG15" s="26"/>
      <c r="CH15" s="81" t="n">
        <f aca="false">CG15-CF15</f>
        <v>0</v>
      </c>
      <c r="CI15" s="26"/>
      <c r="CJ15" s="26"/>
      <c r="CK15" s="81" t="n">
        <f aca="false">CJ15-CI15</f>
        <v>0</v>
      </c>
      <c r="CL15" s="26"/>
      <c r="CM15" s="26"/>
      <c r="CN15" s="81" t="n">
        <f aca="false">CM15-CL15</f>
        <v>0</v>
      </c>
      <c r="CO15" s="26"/>
      <c r="CP15" s="26"/>
      <c r="CQ15" s="81" t="n">
        <f aca="false">CP15-CO15</f>
        <v>0</v>
      </c>
      <c r="CR15" s="26"/>
      <c r="CS15" s="26"/>
      <c r="CT15" s="81" t="n">
        <f aca="false">CS15-CR15</f>
        <v>0</v>
      </c>
      <c r="CU15" s="26"/>
      <c r="CV15" s="26"/>
      <c r="CW15" s="81" t="n">
        <f aca="false">CV15-CU15</f>
        <v>0</v>
      </c>
      <c r="CX15" s="26"/>
      <c r="CY15" s="26"/>
      <c r="CZ15" s="81" t="n">
        <f aca="false">CY15-CX15</f>
        <v>0</v>
      </c>
      <c r="DA15" s="26"/>
      <c r="DB15" s="26"/>
      <c r="DC15" s="81" t="n">
        <f aca="false">DB15-DA15</f>
        <v>0</v>
      </c>
      <c r="DD15" s="26"/>
      <c r="DE15" s="26"/>
      <c r="DF15" s="81" t="n">
        <f aca="false">DE15-DD15</f>
        <v>0</v>
      </c>
      <c r="DG15" s="26"/>
      <c r="DH15" s="26"/>
      <c r="DI15" s="81" t="n">
        <f aca="false">DH15-DG15</f>
        <v>0</v>
      </c>
      <c r="DJ15" s="26"/>
      <c r="DK15" s="26"/>
      <c r="DL15" s="81" t="n">
        <f aca="false">DK15-DJ15</f>
        <v>0</v>
      </c>
      <c r="DM15" s="26"/>
      <c r="DN15" s="26"/>
      <c r="DO15" s="81" t="n">
        <f aca="false">DN15-DM15</f>
        <v>0</v>
      </c>
      <c r="DP15" s="26"/>
      <c r="DQ15" s="26"/>
      <c r="DR15" s="81" t="n">
        <f aca="false">DQ15-DP15</f>
        <v>0</v>
      </c>
      <c r="DS15" s="81" t="n">
        <f aca="false">+C15+F15+I15+L15+O15+R15+U15+X15+AA15+AD15+AG15+AJ15+AM15+AP15+AS15+AV15+AY15+BB15+BE15+BH15+BK15+BN15+BQ15+BT15+BW15+BZ15+CC15+CF15+CI15+CL15+CO15+CR15+CU15+CX15+DA15+DD15+DG15+DJ15+DM15+DP15</f>
        <v>58861</v>
      </c>
      <c r="DT15" s="81" t="n">
        <f aca="false">+D15+G15+J15+M15+P15+S15+V15+Y15+AB15+AE15+AH15+AK15+AN15+AQ15+AT15+AW15+AZ15+BC15+BF15+BI15+BL15+BO15+BR15+BU15+BX15+CA15+CD15+CG15+CJ15+CM15+CP15+CS15+CV15+CY15+DB15+DE15+DH15+DK15+DN15+DQ15</f>
        <v>58861</v>
      </c>
      <c r="DU15" s="81" t="n">
        <f aca="false">DT15-DS15</f>
        <v>0</v>
      </c>
      <c r="DV15" s="111"/>
      <c r="DW15" s="87"/>
      <c r="DX15" s="87"/>
      <c r="DY15" s="111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</row>
    <row r="16" customFormat="false" ht="12.75" hidden="false" customHeight="false" outlineLevel="0" collapsed="false">
      <c r="A16" s="80" t="n">
        <f aca="false">+BaseloadMarkets!A16</f>
        <v>36718</v>
      </c>
      <c r="B16" s="80" t="str">
        <f aca="false">+BaseloadMarkets!B16</f>
        <v>Tues</v>
      </c>
      <c r="C16" s="26"/>
      <c r="D16" s="26"/>
      <c r="E16" s="81" t="n">
        <f aca="false">D16-C16</f>
        <v>0</v>
      </c>
      <c r="F16" s="26"/>
      <c r="G16" s="26"/>
      <c r="H16" s="81" t="n">
        <f aca="false">G16-F16</f>
        <v>0</v>
      </c>
      <c r="I16" s="26"/>
      <c r="J16" s="26"/>
      <c r="K16" s="81" t="n">
        <f aca="false">J16-I16</f>
        <v>0</v>
      </c>
      <c r="L16" s="26"/>
      <c r="M16" s="26"/>
      <c r="N16" s="81" t="n">
        <f aca="false">M16-L16</f>
        <v>0</v>
      </c>
      <c r="O16" s="26" t="n">
        <f aca="false">6625+43375-4625+2476</f>
        <v>47851</v>
      </c>
      <c r="P16" s="26" t="n">
        <f aca="false">6625+43375-4625+2476</f>
        <v>47851</v>
      </c>
      <c r="Q16" s="81" t="n">
        <f aca="false">P16-O16</f>
        <v>0</v>
      </c>
      <c r="R16" s="26"/>
      <c r="S16" s="26"/>
      <c r="T16" s="81" t="n">
        <f aca="false">S16-R16</f>
        <v>0</v>
      </c>
      <c r="U16" s="26" t="n">
        <v>0</v>
      </c>
      <c r="V16" s="26" t="n">
        <v>0</v>
      </c>
      <c r="W16" s="81" t="n">
        <f aca="false">V16-U16</f>
        <v>0</v>
      </c>
      <c r="X16" s="26"/>
      <c r="Y16" s="26"/>
      <c r="Z16" s="81" t="n">
        <f aca="false">Y16-X16</f>
        <v>0</v>
      </c>
      <c r="AA16" s="26"/>
      <c r="AB16" s="26"/>
      <c r="AC16" s="81" t="n">
        <f aca="false">AB16-AA16</f>
        <v>0</v>
      </c>
      <c r="AD16" s="26"/>
      <c r="AE16" s="26"/>
      <c r="AF16" s="81" t="n">
        <f aca="false">AE16-AD16</f>
        <v>0</v>
      </c>
      <c r="AG16" s="26"/>
      <c r="AH16" s="26"/>
      <c r="AI16" s="81" t="n">
        <f aca="false">AH16-AG16</f>
        <v>0</v>
      </c>
      <c r="AJ16" s="26"/>
      <c r="AK16" s="26"/>
      <c r="AL16" s="81" t="n">
        <f aca="false">AK16-AJ16</f>
        <v>0</v>
      </c>
      <c r="AM16" s="26"/>
      <c r="AN16" s="26"/>
      <c r="AO16" s="81" t="n">
        <f aca="false">AN16-AM16</f>
        <v>0</v>
      </c>
      <c r="AP16" s="26"/>
      <c r="AQ16" s="26"/>
      <c r="AR16" s="81" t="n">
        <f aca="false">AQ16-AP16</f>
        <v>0</v>
      </c>
      <c r="AS16" s="26"/>
      <c r="AT16" s="26"/>
      <c r="AU16" s="81" t="n">
        <f aca="false">AT16-AS16</f>
        <v>0</v>
      </c>
      <c r="AV16" s="26"/>
      <c r="AW16" s="26"/>
      <c r="AX16" s="81" t="n">
        <f aca="false">AW16-AV16</f>
        <v>0</v>
      </c>
      <c r="AY16" s="26"/>
      <c r="AZ16" s="26"/>
      <c r="BA16" s="81" t="n">
        <f aca="false">AZ16-AY16</f>
        <v>0</v>
      </c>
      <c r="BB16" s="26"/>
      <c r="BC16" s="26"/>
      <c r="BD16" s="81" t="n">
        <f aca="false">BC16-BB16</f>
        <v>0</v>
      </c>
      <c r="BE16" s="26"/>
      <c r="BF16" s="26"/>
      <c r="BG16" s="81" t="n">
        <f aca="false">BF16-BE16</f>
        <v>0</v>
      </c>
      <c r="BH16" s="26"/>
      <c r="BI16" s="26"/>
      <c r="BJ16" s="81" t="n">
        <f aca="false">BI16-BH16</f>
        <v>0</v>
      </c>
      <c r="BK16" s="26"/>
      <c r="BL16" s="26"/>
      <c r="BM16" s="81" t="n">
        <f aca="false">BL16-BK16</f>
        <v>0</v>
      </c>
      <c r="BN16" s="26"/>
      <c r="BO16" s="26"/>
      <c r="BP16" s="81" t="n">
        <f aca="false">BO16-BN16</f>
        <v>0</v>
      </c>
      <c r="BQ16" s="26"/>
      <c r="BR16" s="26"/>
      <c r="BS16" s="81" t="n">
        <f aca="false">BR16-BQ16</f>
        <v>0</v>
      </c>
      <c r="BT16" s="26"/>
      <c r="BU16" s="26"/>
      <c r="BV16" s="81" t="n">
        <f aca="false">BU16-BT16</f>
        <v>0</v>
      </c>
      <c r="BW16" s="26"/>
      <c r="BX16" s="26"/>
      <c r="BY16" s="81" t="n">
        <f aca="false">BX16-BW16</f>
        <v>0</v>
      </c>
      <c r="BZ16" s="26"/>
      <c r="CA16" s="26"/>
      <c r="CB16" s="81" t="n">
        <f aca="false">CA16-BZ16</f>
        <v>0</v>
      </c>
      <c r="CC16" s="26"/>
      <c r="CD16" s="26"/>
      <c r="CE16" s="81" t="n">
        <f aca="false">CD16-CC16</f>
        <v>0</v>
      </c>
      <c r="CF16" s="26"/>
      <c r="CG16" s="26"/>
      <c r="CH16" s="81" t="n">
        <f aca="false">CG16-CF16</f>
        <v>0</v>
      </c>
      <c r="CI16" s="26"/>
      <c r="CJ16" s="26"/>
      <c r="CK16" s="81" t="n">
        <f aca="false">CJ16-CI16</f>
        <v>0</v>
      </c>
      <c r="CL16" s="26"/>
      <c r="CM16" s="26"/>
      <c r="CN16" s="81" t="n">
        <f aca="false">CM16-CL16</f>
        <v>0</v>
      </c>
      <c r="CO16" s="26"/>
      <c r="CP16" s="26"/>
      <c r="CQ16" s="81" t="n">
        <f aca="false">CP16-CO16</f>
        <v>0</v>
      </c>
      <c r="CR16" s="26"/>
      <c r="CS16" s="26"/>
      <c r="CT16" s="81" t="n">
        <f aca="false">CS16-CR16</f>
        <v>0</v>
      </c>
      <c r="CU16" s="26"/>
      <c r="CV16" s="26"/>
      <c r="CW16" s="81" t="n">
        <f aca="false">CV16-CU16</f>
        <v>0</v>
      </c>
      <c r="CX16" s="26"/>
      <c r="CY16" s="26"/>
      <c r="CZ16" s="81" t="n">
        <f aca="false">CY16-CX16</f>
        <v>0</v>
      </c>
      <c r="DA16" s="26"/>
      <c r="DB16" s="26"/>
      <c r="DC16" s="81" t="n">
        <f aca="false">DB16-DA16</f>
        <v>0</v>
      </c>
      <c r="DD16" s="26"/>
      <c r="DE16" s="26"/>
      <c r="DF16" s="81" t="n">
        <f aca="false">DE16-DD16</f>
        <v>0</v>
      </c>
      <c r="DG16" s="26"/>
      <c r="DH16" s="26"/>
      <c r="DI16" s="81" t="n">
        <f aca="false">DH16-DG16</f>
        <v>0</v>
      </c>
      <c r="DJ16" s="26"/>
      <c r="DK16" s="26"/>
      <c r="DL16" s="81" t="n">
        <f aca="false">DK16-DJ16</f>
        <v>0</v>
      </c>
      <c r="DM16" s="26"/>
      <c r="DN16" s="26"/>
      <c r="DO16" s="81" t="n">
        <f aca="false">DN16-DM16</f>
        <v>0</v>
      </c>
      <c r="DP16" s="26"/>
      <c r="DQ16" s="26"/>
      <c r="DR16" s="81" t="n">
        <f aca="false">DQ16-DP16</f>
        <v>0</v>
      </c>
      <c r="DS16" s="81" t="n">
        <f aca="false">+C16+F16+I16+L16+O16+R16+U16+X16+AA16+AD16+AG16+AJ16+AM16+AP16+AS16+AV16+AY16+BB16+BE16+BH16+BK16+BN16+BQ16+BT16+BW16+BZ16+CC16+CF16+CI16+CL16+CO16+CR16+CU16+CX16+DA16+DD16+DG16+DJ16+DM16+DP16</f>
        <v>47851</v>
      </c>
      <c r="DT16" s="81" t="n">
        <f aca="false">+D16+G16+J16+M16+P16+S16+V16+Y16+AB16+AE16+AH16+AK16+AN16+AQ16+AT16+AW16+AZ16+BC16+BF16+BI16+BL16+BO16+BR16+BU16+BX16+CA16+CD16+CG16+CJ16+CM16+CP16+CS16+CV16+CY16+DB16+DE16+DH16+DK16+DN16+DQ16</f>
        <v>47851</v>
      </c>
      <c r="DU16" s="81" t="n">
        <f aca="false">DT16-DS16</f>
        <v>0</v>
      </c>
      <c r="DV16" s="111"/>
      <c r="DW16" s="87"/>
      <c r="DX16" s="87"/>
      <c r="DY16" s="111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</row>
    <row r="17" customFormat="false" ht="12.75" hidden="false" customHeight="false" outlineLevel="0" collapsed="false">
      <c r="A17" s="80" t="n">
        <f aca="false">+BaseloadMarkets!A17</f>
        <v>36719</v>
      </c>
      <c r="B17" s="80" t="str">
        <f aca="false">+BaseloadMarkets!B17</f>
        <v>Wed</v>
      </c>
      <c r="C17" s="26"/>
      <c r="D17" s="26"/>
      <c r="E17" s="81" t="n">
        <f aca="false">D17-C17</f>
        <v>0</v>
      </c>
      <c r="F17" s="26"/>
      <c r="G17" s="26"/>
      <c r="H17" s="81" t="n">
        <f aca="false">G17-F17</f>
        <v>0</v>
      </c>
      <c r="I17" s="26"/>
      <c r="J17" s="26"/>
      <c r="K17" s="81" t="n">
        <f aca="false">J17-I17</f>
        <v>0</v>
      </c>
      <c r="L17" s="26"/>
      <c r="M17" s="26"/>
      <c r="N17" s="81" t="n">
        <f aca="false">M17-L17</f>
        <v>0</v>
      </c>
      <c r="O17" s="26" t="n">
        <f aca="false">50000</f>
        <v>50000</v>
      </c>
      <c r="P17" s="26" t="n">
        <v>50000</v>
      </c>
      <c r="Q17" s="81" t="n">
        <f aca="false">P17-O17</f>
        <v>0</v>
      </c>
      <c r="R17" s="26"/>
      <c r="S17" s="26"/>
      <c r="T17" s="81" t="n">
        <f aca="false">S17-R17</f>
        <v>0</v>
      </c>
      <c r="U17" s="26"/>
      <c r="V17" s="26"/>
      <c r="W17" s="81" t="n">
        <f aca="false">V17-U17</f>
        <v>0</v>
      </c>
      <c r="X17" s="26"/>
      <c r="Y17" s="26"/>
      <c r="Z17" s="81" t="n">
        <f aca="false">Y17-X17</f>
        <v>0</v>
      </c>
      <c r="AA17" s="26"/>
      <c r="AB17" s="26"/>
      <c r="AC17" s="81" t="n">
        <f aca="false">AB17-AA17</f>
        <v>0</v>
      </c>
      <c r="AD17" s="26"/>
      <c r="AE17" s="26"/>
      <c r="AF17" s="81" t="n">
        <f aca="false">AE17-AD17</f>
        <v>0</v>
      </c>
      <c r="AG17" s="26"/>
      <c r="AH17" s="26"/>
      <c r="AI17" s="81" t="n">
        <f aca="false">AH17-AG17</f>
        <v>0</v>
      </c>
      <c r="AJ17" s="26"/>
      <c r="AK17" s="26"/>
      <c r="AL17" s="81" t="n">
        <f aca="false">AK17-AJ17</f>
        <v>0</v>
      </c>
      <c r="AM17" s="26"/>
      <c r="AN17" s="26"/>
      <c r="AO17" s="81" t="n">
        <f aca="false">AN17-AM17</f>
        <v>0</v>
      </c>
      <c r="AP17" s="26"/>
      <c r="AQ17" s="26"/>
      <c r="AR17" s="81" t="n">
        <f aca="false">AQ17-AP17</f>
        <v>0</v>
      </c>
      <c r="AS17" s="26"/>
      <c r="AT17" s="26"/>
      <c r="AU17" s="81" t="n">
        <f aca="false">AT17-AS17</f>
        <v>0</v>
      </c>
      <c r="AV17" s="26"/>
      <c r="AW17" s="26"/>
      <c r="AX17" s="81" t="n">
        <f aca="false">AW17-AV17</f>
        <v>0</v>
      </c>
      <c r="AY17" s="26"/>
      <c r="AZ17" s="26"/>
      <c r="BA17" s="81" t="n">
        <f aca="false">AZ17-AY17</f>
        <v>0</v>
      </c>
      <c r="BB17" s="26"/>
      <c r="BC17" s="26"/>
      <c r="BD17" s="81" t="n">
        <f aca="false">BC17-BB17</f>
        <v>0</v>
      </c>
      <c r="BE17" s="26"/>
      <c r="BF17" s="26"/>
      <c r="BG17" s="81" t="n">
        <f aca="false">BF17-BE17</f>
        <v>0</v>
      </c>
      <c r="BH17" s="26"/>
      <c r="BI17" s="26"/>
      <c r="BJ17" s="81" t="n">
        <f aca="false">BI17-BH17</f>
        <v>0</v>
      </c>
      <c r="BK17" s="26"/>
      <c r="BL17" s="26"/>
      <c r="BM17" s="81" t="n">
        <f aca="false">BL17-BK17</f>
        <v>0</v>
      </c>
      <c r="BN17" s="26"/>
      <c r="BO17" s="26"/>
      <c r="BP17" s="81" t="n">
        <f aca="false">BO17-BN17</f>
        <v>0</v>
      </c>
      <c r="BQ17" s="26"/>
      <c r="BR17" s="26"/>
      <c r="BS17" s="81" t="n">
        <f aca="false">BR17-BQ17</f>
        <v>0</v>
      </c>
      <c r="BT17" s="26"/>
      <c r="BU17" s="26"/>
      <c r="BV17" s="81" t="n">
        <f aca="false">BU17-BT17</f>
        <v>0</v>
      </c>
      <c r="BW17" s="26"/>
      <c r="BX17" s="26"/>
      <c r="BY17" s="81" t="n">
        <f aca="false">BX17-BW17</f>
        <v>0</v>
      </c>
      <c r="BZ17" s="26"/>
      <c r="CA17" s="26"/>
      <c r="CB17" s="81" t="n">
        <f aca="false">CA17-BZ17</f>
        <v>0</v>
      </c>
      <c r="CC17" s="26"/>
      <c r="CD17" s="26"/>
      <c r="CE17" s="81" t="n">
        <f aca="false">CD17-CC17</f>
        <v>0</v>
      </c>
      <c r="CF17" s="26"/>
      <c r="CG17" s="26"/>
      <c r="CH17" s="81" t="n">
        <f aca="false">CG17-CF17</f>
        <v>0</v>
      </c>
      <c r="CI17" s="26"/>
      <c r="CJ17" s="26"/>
      <c r="CK17" s="81" t="n">
        <f aca="false">CJ17-CI17</f>
        <v>0</v>
      </c>
      <c r="CL17" s="26"/>
      <c r="CM17" s="26"/>
      <c r="CN17" s="81" t="n">
        <f aca="false">CM17-CL17</f>
        <v>0</v>
      </c>
      <c r="CO17" s="26"/>
      <c r="CP17" s="26"/>
      <c r="CQ17" s="81" t="n">
        <f aca="false">CP17-CO17</f>
        <v>0</v>
      </c>
      <c r="CR17" s="26"/>
      <c r="CS17" s="26"/>
      <c r="CT17" s="81" t="n">
        <f aca="false">CS17-CR17</f>
        <v>0</v>
      </c>
      <c r="CU17" s="26"/>
      <c r="CV17" s="26"/>
      <c r="CW17" s="81" t="n">
        <f aca="false">CV17-CU17</f>
        <v>0</v>
      </c>
      <c r="CX17" s="26"/>
      <c r="CY17" s="26"/>
      <c r="CZ17" s="81" t="n">
        <f aca="false">CY17-CX17</f>
        <v>0</v>
      </c>
      <c r="DA17" s="26"/>
      <c r="DB17" s="26"/>
      <c r="DC17" s="81" t="n">
        <f aca="false">DB17-DA17</f>
        <v>0</v>
      </c>
      <c r="DD17" s="26"/>
      <c r="DE17" s="26"/>
      <c r="DF17" s="81" t="n">
        <f aca="false">DE17-DD17</f>
        <v>0</v>
      </c>
      <c r="DG17" s="26"/>
      <c r="DH17" s="26"/>
      <c r="DI17" s="81" t="n">
        <f aca="false">DH17-DG17</f>
        <v>0</v>
      </c>
      <c r="DJ17" s="26"/>
      <c r="DK17" s="26"/>
      <c r="DL17" s="81" t="n">
        <f aca="false">DK17-DJ17</f>
        <v>0</v>
      </c>
      <c r="DM17" s="26"/>
      <c r="DN17" s="26"/>
      <c r="DO17" s="81" t="n">
        <f aca="false">DN17-DM17</f>
        <v>0</v>
      </c>
      <c r="DP17" s="26"/>
      <c r="DQ17" s="26"/>
      <c r="DR17" s="81" t="n">
        <f aca="false">DQ17-DP17</f>
        <v>0</v>
      </c>
      <c r="DS17" s="81" t="n">
        <f aca="false">+C17+F17+I17+L17+O17+R17+U17+X17+AA17+AD17+AG17+AJ17+AM17+AP17+AS17+AV17+AY17+BB17+BE17+BH17+BK17+BN17+BQ17+BT17+BW17+BZ17+CC17+CF17+CI17+CL17+CO17+CR17+CU17+CX17+DA17+DD17+DG17+DJ17+DM17+DP17</f>
        <v>50000</v>
      </c>
      <c r="DT17" s="81" t="n">
        <f aca="false">+D17+G17+J17+M17+P17+S17+V17+Y17+AB17+AE17+AH17+AK17+AN17+AQ17+AT17+AW17+AZ17+BC17+BF17+BI17+BL17+BO17+BR17+BU17+BX17+CA17+CD17+CG17+CJ17+CM17+CP17+CS17+CV17+CY17+DB17+DE17+DH17+DK17+DN17+DQ17</f>
        <v>50000</v>
      </c>
      <c r="DU17" s="81" t="n">
        <f aca="false">DT17-DS17</f>
        <v>0</v>
      </c>
      <c r="DV17" s="111"/>
      <c r="DW17" s="87"/>
      <c r="DX17" s="87"/>
      <c r="DY17" s="111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</row>
    <row r="18" customFormat="false" ht="12.75" hidden="false" customHeight="false" outlineLevel="0" collapsed="false">
      <c r="A18" s="80" t="n">
        <f aca="false">+BaseloadMarkets!A18</f>
        <v>36720</v>
      </c>
      <c r="B18" s="80" t="str">
        <f aca="false">+BaseloadMarkets!B18</f>
        <v>Thu</v>
      </c>
      <c r="C18" s="26"/>
      <c r="D18" s="26"/>
      <c r="E18" s="81" t="n">
        <f aca="false">D18-C18</f>
        <v>0</v>
      </c>
      <c r="F18" s="26"/>
      <c r="G18" s="26"/>
      <c r="H18" s="81" t="n">
        <f aca="false">G18-F18</f>
        <v>0</v>
      </c>
      <c r="I18" s="26"/>
      <c r="J18" s="26"/>
      <c r="K18" s="81" t="n">
        <f aca="false">J18-I18</f>
        <v>0</v>
      </c>
      <c r="L18" s="26"/>
      <c r="M18" s="26"/>
      <c r="N18" s="81" t="n">
        <f aca="false">M18-L18</f>
        <v>0</v>
      </c>
      <c r="O18" s="26"/>
      <c r="P18" s="26"/>
      <c r="Q18" s="81" t="n">
        <f aca="false">P18-O18</f>
        <v>0</v>
      </c>
      <c r="R18" s="26"/>
      <c r="S18" s="26"/>
      <c r="T18" s="81" t="n">
        <f aca="false">S18-R18</f>
        <v>0</v>
      </c>
      <c r="U18" s="26"/>
      <c r="V18" s="26"/>
      <c r="W18" s="81" t="n">
        <f aca="false">V18-U18</f>
        <v>0</v>
      </c>
      <c r="X18" s="26" t="n">
        <v>8974</v>
      </c>
      <c r="Y18" s="26" t="n">
        <v>8974</v>
      </c>
      <c r="Z18" s="81" t="n">
        <f aca="false">Y18-X18</f>
        <v>0</v>
      </c>
      <c r="AA18" s="26"/>
      <c r="AB18" s="26"/>
      <c r="AC18" s="81" t="n">
        <f aca="false">AB18-AA18</f>
        <v>0</v>
      </c>
      <c r="AD18" s="26"/>
      <c r="AE18" s="26"/>
      <c r="AF18" s="81" t="n">
        <f aca="false">AE18-AD18</f>
        <v>0</v>
      </c>
      <c r="AG18" s="26"/>
      <c r="AH18" s="26"/>
      <c r="AI18" s="81" t="n">
        <f aca="false">AH18-AG18</f>
        <v>0</v>
      </c>
      <c r="AJ18" s="26"/>
      <c r="AK18" s="26"/>
      <c r="AL18" s="81" t="n">
        <f aca="false">AK18-AJ18</f>
        <v>0</v>
      </c>
      <c r="AM18" s="26"/>
      <c r="AN18" s="26"/>
      <c r="AO18" s="81" t="n">
        <f aca="false">AN18-AM18</f>
        <v>0</v>
      </c>
      <c r="AP18" s="26"/>
      <c r="AQ18" s="26"/>
      <c r="AR18" s="81" t="n">
        <f aca="false">AQ18-AP18</f>
        <v>0</v>
      </c>
      <c r="AS18" s="26"/>
      <c r="AT18" s="26"/>
      <c r="AU18" s="81" t="n">
        <f aca="false">AT18-AS18</f>
        <v>0</v>
      </c>
      <c r="AV18" s="26"/>
      <c r="AW18" s="26"/>
      <c r="AX18" s="81" t="n">
        <f aca="false">AW18-AV18</f>
        <v>0</v>
      </c>
      <c r="AY18" s="26"/>
      <c r="AZ18" s="26"/>
      <c r="BA18" s="81" t="n">
        <f aca="false">AZ18-AY18</f>
        <v>0</v>
      </c>
      <c r="BB18" s="26"/>
      <c r="BC18" s="26"/>
      <c r="BD18" s="81" t="n">
        <f aca="false">BC18-BB18</f>
        <v>0</v>
      </c>
      <c r="BE18" s="26"/>
      <c r="BF18" s="26"/>
      <c r="BG18" s="81" t="n">
        <f aca="false">BF18-BE18</f>
        <v>0</v>
      </c>
      <c r="BH18" s="26"/>
      <c r="BI18" s="26"/>
      <c r="BJ18" s="81" t="n">
        <f aca="false">BI18-BH18</f>
        <v>0</v>
      </c>
      <c r="BK18" s="26"/>
      <c r="BL18" s="26"/>
      <c r="BM18" s="81" t="n">
        <f aca="false">BL18-BK18</f>
        <v>0</v>
      </c>
      <c r="BN18" s="26"/>
      <c r="BO18" s="26"/>
      <c r="BP18" s="81" t="n">
        <f aca="false">BO18-BN18</f>
        <v>0</v>
      </c>
      <c r="BQ18" s="26"/>
      <c r="BR18" s="26"/>
      <c r="BS18" s="81" t="n">
        <f aca="false">BR18-BQ18</f>
        <v>0</v>
      </c>
      <c r="BT18" s="26"/>
      <c r="BU18" s="26"/>
      <c r="BV18" s="81" t="n">
        <f aca="false">BU18-BT18</f>
        <v>0</v>
      </c>
      <c r="BW18" s="26"/>
      <c r="BX18" s="26"/>
      <c r="BY18" s="81" t="n">
        <f aca="false">BX18-BW18</f>
        <v>0</v>
      </c>
      <c r="BZ18" s="26"/>
      <c r="CA18" s="26"/>
      <c r="CB18" s="81" t="n">
        <f aca="false">CA18-BZ18</f>
        <v>0</v>
      </c>
      <c r="CC18" s="26"/>
      <c r="CD18" s="26"/>
      <c r="CE18" s="81" t="n">
        <f aca="false">CD18-CC18</f>
        <v>0</v>
      </c>
      <c r="CF18" s="26"/>
      <c r="CG18" s="26"/>
      <c r="CH18" s="81" t="n">
        <f aca="false">CG18-CF18</f>
        <v>0</v>
      </c>
      <c r="CI18" s="26"/>
      <c r="CJ18" s="26"/>
      <c r="CK18" s="81" t="n">
        <f aca="false">CJ18-CI18</f>
        <v>0</v>
      </c>
      <c r="CL18" s="26"/>
      <c r="CM18" s="26"/>
      <c r="CN18" s="81" t="n">
        <f aca="false">CM18-CL18</f>
        <v>0</v>
      </c>
      <c r="CO18" s="26"/>
      <c r="CP18" s="26"/>
      <c r="CQ18" s="81" t="n">
        <f aca="false">CP18-CO18</f>
        <v>0</v>
      </c>
      <c r="CR18" s="26"/>
      <c r="CS18" s="26"/>
      <c r="CT18" s="81" t="n">
        <f aca="false">CS18-CR18</f>
        <v>0</v>
      </c>
      <c r="CU18" s="26"/>
      <c r="CV18" s="26"/>
      <c r="CW18" s="81" t="n">
        <f aca="false">CV18-CU18</f>
        <v>0</v>
      </c>
      <c r="CX18" s="26"/>
      <c r="CY18" s="26"/>
      <c r="CZ18" s="81" t="n">
        <f aca="false">CY18-CX18</f>
        <v>0</v>
      </c>
      <c r="DA18" s="26"/>
      <c r="DB18" s="26"/>
      <c r="DC18" s="81" t="n">
        <f aca="false">DB18-DA18</f>
        <v>0</v>
      </c>
      <c r="DD18" s="26"/>
      <c r="DE18" s="26"/>
      <c r="DF18" s="81" t="n">
        <f aca="false">DE18-DD18</f>
        <v>0</v>
      </c>
      <c r="DG18" s="26"/>
      <c r="DH18" s="26"/>
      <c r="DI18" s="81" t="n">
        <f aca="false">DH18-DG18</f>
        <v>0</v>
      </c>
      <c r="DJ18" s="26"/>
      <c r="DK18" s="26"/>
      <c r="DL18" s="81" t="n">
        <f aca="false">DK18-DJ18</f>
        <v>0</v>
      </c>
      <c r="DM18" s="26"/>
      <c r="DN18" s="26"/>
      <c r="DO18" s="81" t="n">
        <f aca="false">DN18-DM18</f>
        <v>0</v>
      </c>
      <c r="DP18" s="26"/>
      <c r="DQ18" s="26"/>
      <c r="DR18" s="81" t="n">
        <f aca="false">DQ18-DP18</f>
        <v>0</v>
      </c>
      <c r="DS18" s="81" t="n">
        <f aca="false">+C18+F18+I18+L18+O18+R18+U18+X18+AA18+AD18+AG18+AJ18+AM18+AP18+AS18+AV18+AY18+BB18+BE18+BH18+BK18+BN18+BQ18+BT18+BW18+BZ18+CC18+CF18+CI18+CL18+CO18+CR18+CU18+CX18+DA18+DD18+DG18+DJ18+DM18+DP18</f>
        <v>8974</v>
      </c>
      <c r="DT18" s="81" t="n">
        <f aca="false">+D18+G18+J18+M18+P18+S18+V18+Y18+AB18+AE18+AH18+AK18+AN18+AQ18+AT18+AW18+AZ18+BC18+BF18+BI18+BL18+BO18+BR18+BU18+BX18+CA18+CD18+CG18+CJ18+CM18+CP18+CS18+CV18+CY18+DB18+DE18+DH18+DK18+DN18+DQ18</f>
        <v>8974</v>
      </c>
      <c r="DU18" s="81" t="n">
        <f aca="false">DT18-DS18</f>
        <v>0</v>
      </c>
      <c r="DV18" s="111"/>
      <c r="DW18" s="87"/>
      <c r="DX18" s="87"/>
      <c r="DY18" s="111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</row>
    <row r="19" customFormat="false" ht="12.75" hidden="false" customHeight="false" outlineLevel="0" collapsed="false">
      <c r="A19" s="80" t="n">
        <f aca="false">+BaseloadMarkets!A19</f>
        <v>36721</v>
      </c>
      <c r="B19" s="80" t="str">
        <f aca="false">+BaseloadMarkets!B19</f>
        <v>Fri</v>
      </c>
      <c r="C19" s="26"/>
      <c r="D19" s="26"/>
      <c r="E19" s="81" t="n">
        <f aca="false">D19-C19</f>
        <v>0</v>
      </c>
      <c r="F19" s="26"/>
      <c r="G19" s="26"/>
      <c r="H19" s="81" t="n">
        <f aca="false">G19-F19</f>
        <v>0</v>
      </c>
      <c r="I19" s="26"/>
      <c r="J19" s="26"/>
      <c r="K19" s="81" t="n">
        <f aca="false">J19-I19</f>
        <v>0</v>
      </c>
      <c r="L19" s="26"/>
      <c r="M19" s="26"/>
      <c r="N19" s="81" t="n">
        <f aca="false">M19-L19</f>
        <v>0</v>
      </c>
      <c r="O19" s="26" t="n">
        <v>50000</v>
      </c>
      <c r="P19" s="26" t="n">
        <v>50000</v>
      </c>
      <c r="Q19" s="81" t="n">
        <f aca="false">P19-O19</f>
        <v>0</v>
      </c>
      <c r="R19" s="26"/>
      <c r="S19" s="26"/>
      <c r="T19" s="81" t="n">
        <f aca="false">S19-R19</f>
        <v>0</v>
      </c>
      <c r="U19" s="26"/>
      <c r="V19" s="26"/>
      <c r="W19" s="81" t="n">
        <f aca="false">V19-U19</f>
        <v>0</v>
      </c>
      <c r="X19" s="26"/>
      <c r="Y19" s="26"/>
      <c r="Z19" s="81" t="n">
        <f aca="false">Y19-X19</f>
        <v>0</v>
      </c>
      <c r="AA19" s="26"/>
      <c r="AB19" s="26"/>
      <c r="AC19" s="81" t="n">
        <f aca="false">AB19-AA19</f>
        <v>0</v>
      </c>
      <c r="AD19" s="26"/>
      <c r="AE19" s="26"/>
      <c r="AF19" s="81" t="n">
        <f aca="false">AE19-AD19</f>
        <v>0</v>
      </c>
      <c r="AG19" s="26"/>
      <c r="AH19" s="26"/>
      <c r="AI19" s="81" t="n">
        <f aca="false">AH19-AG19</f>
        <v>0</v>
      </c>
      <c r="AJ19" s="26"/>
      <c r="AK19" s="26"/>
      <c r="AL19" s="81" t="n">
        <f aca="false">AK19-AJ19</f>
        <v>0</v>
      </c>
      <c r="AM19" s="26"/>
      <c r="AN19" s="26"/>
      <c r="AO19" s="81" t="n">
        <f aca="false">AN19-AM19</f>
        <v>0</v>
      </c>
      <c r="AP19" s="26"/>
      <c r="AQ19" s="26"/>
      <c r="AR19" s="81" t="n">
        <f aca="false">AQ19-AP19</f>
        <v>0</v>
      </c>
      <c r="AS19" s="26"/>
      <c r="AT19" s="26"/>
      <c r="AU19" s="81" t="n">
        <f aca="false">AT19-AS19</f>
        <v>0</v>
      </c>
      <c r="AV19" s="26"/>
      <c r="AW19" s="26"/>
      <c r="AX19" s="81" t="n">
        <f aca="false">AW19-AV19</f>
        <v>0</v>
      </c>
      <c r="AY19" s="26"/>
      <c r="AZ19" s="26"/>
      <c r="BA19" s="81" t="n">
        <f aca="false">AZ19-AY19</f>
        <v>0</v>
      </c>
      <c r="BB19" s="26"/>
      <c r="BC19" s="26"/>
      <c r="BD19" s="81" t="n">
        <f aca="false">BC19-BB19</f>
        <v>0</v>
      </c>
      <c r="BE19" s="26"/>
      <c r="BF19" s="26"/>
      <c r="BG19" s="81" t="n">
        <f aca="false">BF19-BE19</f>
        <v>0</v>
      </c>
      <c r="BH19" s="26"/>
      <c r="BI19" s="26"/>
      <c r="BJ19" s="81" t="n">
        <f aca="false">BI19-BH19</f>
        <v>0</v>
      </c>
      <c r="BK19" s="26"/>
      <c r="BL19" s="26"/>
      <c r="BM19" s="81" t="n">
        <f aca="false">BL19-BK19</f>
        <v>0</v>
      </c>
      <c r="BN19" s="26"/>
      <c r="BO19" s="26"/>
      <c r="BP19" s="81" t="n">
        <f aca="false">BO19-BN19</f>
        <v>0</v>
      </c>
      <c r="BQ19" s="26"/>
      <c r="BR19" s="26"/>
      <c r="BS19" s="81" t="n">
        <f aca="false">BR19-BQ19</f>
        <v>0</v>
      </c>
      <c r="BT19" s="26"/>
      <c r="BU19" s="26"/>
      <c r="BV19" s="81" t="n">
        <f aca="false">BU19-BT19</f>
        <v>0</v>
      </c>
      <c r="BW19" s="26"/>
      <c r="BX19" s="26"/>
      <c r="BY19" s="81" t="n">
        <f aca="false">BX19-BW19</f>
        <v>0</v>
      </c>
      <c r="BZ19" s="26"/>
      <c r="CA19" s="26"/>
      <c r="CB19" s="81" t="n">
        <f aca="false">CA19-BZ19</f>
        <v>0</v>
      </c>
      <c r="CC19" s="26"/>
      <c r="CD19" s="26"/>
      <c r="CE19" s="81" t="n">
        <f aca="false">CD19-CC19</f>
        <v>0</v>
      </c>
      <c r="CF19" s="26"/>
      <c r="CG19" s="26"/>
      <c r="CH19" s="81" t="n">
        <f aca="false">CG19-CF19</f>
        <v>0</v>
      </c>
      <c r="CI19" s="26"/>
      <c r="CJ19" s="26"/>
      <c r="CK19" s="81" t="n">
        <f aca="false">CJ19-CI19</f>
        <v>0</v>
      </c>
      <c r="CL19" s="26"/>
      <c r="CM19" s="26"/>
      <c r="CN19" s="81" t="n">
        <f aca="false">CM19-CL19</f>
        <v>0</v>
      </c>
      <c r="CO19" s="26"/>
      <c r="CP19" s="26"/>
      <c r="CQ19" s="81" t="n">
        <f aca="false">CP19-CO19</f>
        <v>0</v>
      </c>
      <c r="CR19" s="26"/>
      <c r="CS19" s="26"/>
      <c r="CT19" s="81" t="n">
        <f aca="false">CS19-CR19</f>
        <v>0</v>
      </c>
      <c r="CU19" s="26"/>
      <c r="CV19" s="26"/>
      <c r="CW19" s="81" t="n">
        <f aca="false">CV19-CU19</f>
        <v>0</v>
      </c>
      <c r="CX19" s="26"/>
      <c r="CY19" s="26"/>
      <c r="CZ19" s="81" t="n">
        <f aca="false">CY19-CX19</f>
        <v>0</v>
      </c>
      <c r="DA19" s="26"/>
      <c r="DB19" s="26"/>
      <c r="DC19" s="81" t="n">
        <f aca="false">DB19-DA19</f>
        <v>0</v>
      </c>
      <c r="DD19" s="26"/>
      <c r="DE19" s="26"/>
      <c r="DF19" s="81" t="n">
        <f aca="false">DE19-DD19</f>
        <v>0</v>
      </c>
      <c r="DG19" s="26"/>
      <c r="DH19" s="26"/>
      <c r="DI19" s="81" t="n">
        <f aca="false">DH19-DG19</f>
        <v>0</v>
      </c>
      <c r="DJ19" s="26"/>
      <c r="DK19" s="26"/>
      <c r="DL19" s="81" t="n">
        <f aca="false">DK19-DJ19</f>
        <v>0</v>
      </c>
      <c r="DM19" s="26"/>
      <c r="DN19" s="26"/>
      <c r="DO19" s="81" t="n">
        <f aca="false">DN19-DM19</f>
        <v>0</v>
      </c>
      <c r="DP19" s="26"/>
      <c r="DQ19" s="26"/>
      <c r="DR19" s="81" t="n">
        <f aca="false">DQ19-DP19</f>
        <v>0</v>
      </c>
      <c r="DS19" s="81" t="n">
        <f aca="false">+C19+F19+I19+L19+O19+R19+U19+X19+AA19+AD19+AG19+AJ19+AM19+AP19+AS19+AV19+AY19+BB19+BE19+BH19+BK19+BN19+BQ19+BT19+BW19+BZ19+CC19+CF19+CI19+CL19+CO19+CR19+CU19+CX19+DA19+DD19+DG19+DJ19+DM19+DP19</f>
        <v>50000</v>
      </c>
      <c r="DT19" s="81" t="n">
        <f aca="false">+D19+G19+J19+M19+P19+S19+V19+Y19+AB19+AE19+AH19+AK19+AN19+AQ19+AT19+AW19+AZ19+BC19+BF19+BI19+BL19+BO19+BR19+BU19+BX19+CA19+CD19+CG19+CJ19+CM19+CP19+CS19+CV19+CY19+DB19+DE19+DH19+DK19+DN19+DQ19</f>
        <v>50000</v>
      </c>
      <c r="DU19" s="81" t="n">
        <f aca="false">DT19-DS19</f>
        <v>0</v>
      </c>
      <c r="DV19" s="111"/>
      <c r="DW19" s="87"/>
      <c r="DX19" s="87"/>
      <c r="DY19" s="111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</row>
    <row r="20" customFormat="false" ht="12.75" hidden="false" customHeight="false" outlineLevel="0" collapsed="false">
      <c r="A20" s="80" t="n">
        <f aca="false">+BaseloadMarkets!A20</f>
        <v>36722</v>
      </c>
      <c r="B20" s="80" t="str">
        <f aca="false">+BaseloadMarkets!B20</f>
        <v>Sat</v>
      </c>
      <c r="C20" s="26"/>
      <c r="D20" s="26"/>
      <c r="E20" s="81" t="n">
        <f aca="false">D20-C20</f>
        <v>0</v>
      </c>
      <c r="F20" s="26"/>
      <c r="G20" s="26"/>
      <c r="H20" s="81" t="n">
        <f aca="false">G20-F20</f>
        <v>0</v>
      </c>
      <c r="I20" s="26"/>
      <c r="J20" s="26"/>
      <c r="K20" s="81" t="n">
        <f aca="false">J20-I20</f>
        <v>0</v>
      </c>
      <c r="L20" s="26"/>
      <c r="M20" s="26"/>
      <c r="N20" s="81" t="n">
        <f aca="false">M20-L20</f>
        <v>0</v>
      </c>
      <c r="O20" s="26" t="n">
        <v>46488</v>
      </c>
      <c r="P20" s="26" t="n">
        <f aca="false">50000-10000+6488</f>
        <v>46488</v>
      </c>
      <c r="Q20" s="81" t="n">
        <f aca="false">P20-O20</f>
        <v>0</v>
      </c>
      <c r="R20" s="26"/>
      <c r="S20" s="26"/>
      <c r="T20" s="81" t="n">
        <f aca="false">S20-R20</f>
        <v>0</v>
      </c>
      <c r="U20" s="26"/>
      <c r="V20" s="26"/>
      <c r="W20" s="81" t="n">
        <f aca="false">V20-U20</f>
        <v>0</v>
      </c>
      <c r="X20" s="26"/>
      <c r="Y20" s="26"/>
      <c r="Z20" s="81" t="n">
        <f aca="false">Y20-X20</f>
        <v>0</v>
      </c>
      <c r="AA20" s="26" t="n">
        <v>10000</v>
      </c>
      <c r="AB20" s="26" t="n">
        <v>10000</v>
      </c>
      <c r="AC20" s="81" t="n">
        <f aca="false">AB20-AA20</f>
        <v>0</v>
      </c>
      <c r="AD20" s="26"/>
      <c r="AE20" s="26"/>
      <c r="AF20" s="81" t="n">
        <f aca="false">AE20-AD20</f>
        <v>0</v>
      </c>
      <c r="AG20" s="26"/>
      <c r="AH20" s="26"/>
      <c r="AI20" s="81" t="n">
        <f aca="false">AH20-AG20</f>
        <v>0</v>
      </c>
      <c r="AJ20" s="26"/>
      <c r="AK20" s="26"/>
      <c r="AL20" s="81" t="n">
        <f aca="false">AK20-AJ20</f>
        <v>0</v>
      </c>
      <c r="AM20" s="26"/>
      <c r="AN20" s="26"/>
      <c r="AO20" s="81" t="n">
        <f aca="false">AN20-AM20</f>
        <v>0</v>
      </c>
      <c r="AP20" s="26"/>
      <c r="AQ20" s="26"/>
      <c r="AR20" s="81" t="n">
        <f aca="false">AQ20-AP20</f>
        <v>0</v>
      </c>
      <c r="AS20" s="26"/>
      <c r="AT20" s="26"/>
      <c r="AU20" s="81" t="n">
        <f aca="false">AT20-AS20</f>
        <v>0</v>
      </c>
      <c r="AV20" s="26"/>
      <c r="AW20" s="26"/>
      <c r="AX20" s="81" t="n">
        <f aca="false">AW20-AV20</f>
        <v>0</v>
      </c>
      <c r="AY20" s="26"/>
      <c r="AZ20" s="26"/>
      <c r="BA20" s="81" t="n">
        <f aca="false">AZ20-AY20</f>
        <v>0</v>
      </c>
      <c r="BB20" s="26"/>
      <c r="BC20" s="26"/>
      <c r="BD20" s="81" t="n">
        <f aca="false">BC20-BB20</f>
        <v>0</v>
      </c>
      <c r="BE20" s="26"/>
      <c r="BF20" s="26"/>
      <c r="BG20" s="81" t="n">
        <f aca="false">BF20-BE20</f>
        <v>0</v>
      </c>
      <c r="BH20" s="26"/>
      <c r="BI20" s="26"/>
      <c r="BJ20" s="81" t="n">
        <f aca="false">BI20-BH20</f>
        <v>0</v>
      </c>
      <c r="BK20" s="26"/>
      <c r="BL20" s="26"/>
      <c r="BM20" s="81" t="n">
        <f aca="false">BL20-BK20</f>
        <v>0</v>
      </c>
      <c r="BN20" s="26"/>
      <c r="BO20" s="26"/>
      <c r="BP20" s="81" t="n">
        <f aca="false">BO20-BN20</f>
        <v>0</v>
      </c>
      <c r="BQ20" s="26"/>
      <c r="BR20" s="26"/>
      <c r="BS20" s="81" t="n">
        <f aca="false">BR20-BQ20</f>
        <v>0</v>
      </c>
      <c r="BT20" s="26"/>
      <c r="BU20" s="26"/>
      <c r="BV20" s="81" t="n">
        <f aca="false">BU20-BT20</f>
        <v>0</v>
      </c>
      <c r="BW20" s="26"/>
      <c r="BX20" s="26"/>
      <c r="BY20" s="81" t="n">
        <f aca="false">BX20-BW20</f>
        <v>0</v>
      </c>
      <c r="BZ20" s="26"/>
      <c r="CA20" s="26"/>
      <c r="CB20" s="81" t="n">
        <f aca="false">CA20-BZ20</f>
        <v>0</v>
      </c>
      <c r="CC20" s="26"/>
      <c r="CD20" s="26"/>
      <c r="CE20" s="81" t="n">
        <f aca="false">CD20-CC20</f>
        <v>0</v>
      </c>
      <c r="CF20" s="26"/>
      <c r="CG20" s="26"/>
      <c r="CH20" s="81" t="n">
        <f aca="false">CG20-CF20</f>
        <v>0</v>
      </c>
      <c r="CI20" s="26"/>
      <c r="CJ20" s="26"/>
      <c r="CK20" s="81" t="n">
        <f aca="false">CJ20-CI20</f>
        <v>0</v>
      </c>
      <c r="CL20" s="26"/>
      <c r="CM20" s="26"/>
      <c r="CN20" s="81" t="n">
        <f aca="false">CM20-CL20</f>
        <v>0</v>
      </c>
      <c r="CO20" s="26"/>
      <c r="CP20" s="26"/>
      <c r="CQ20" s="81" t="n">
        <f aca="false">CP20-CO20</f>
        <v>0</v>
      </c>
      <c r="CR20" s="26"/>
      <c r="CS20" s="26"/>
      <c r="CT20" s="81" t="n">
        <f aca="false">CS20-CR20</f>
        <v>0</v>
      </c>
      <c r="CU20" s="26"/>
      <c r="CV20" s="26"/>
      <c r="CW20" s="81" t="n">
        <f aca="false">CV20-CU20</f>
        <v>0</v>
      </c>
      <c r="CX20" s="26"/>
      <c r="CY20" s="26"/>
      <c r="CZ20" s="81" t="n">
        <f aca="false">CY20-CX20</f>
        <v>0</v>
      </c>
      <c r="DA20" s="26"/>
      <c r="DB20" s="26"/>
      <c r="DC20" s="81" t="n">
        <f aca="false">DB20-DA20</f>
        <v>0</v>
      </c>
      <c r="DD20" s="26"/>
      <c r="DE20" s="26"/>
      <c r="DF20" s="81" t="n">
        <f aca="false">DE20-DD20</f>
        <v>0</v>
      </c>
      <c r="DG20" s="26"/>
      <c r="DH20" s="26"/>
      <c r="DI20" s="81" t="n">
        <f aca="false">DH20-DG20</f>
        <v>0</v>
      </c>
      <c r="DJ20" s="26"/>
      <c r="DK20" s="26"/>
      <c r="DL20" s="81" t="n">
        <f aca="false">DK20-DJ20</f>
        <v>0</v>
      </c>
      <c r="DM20" s="26"/>
      <c r="DN20" s="26"/>
      <c r="DO20" s="81" t="n">
        <f aca="false">DN20-DM20</f>
        <v>0</v>
      </c>
      <c r="DP20" s="26"/>
      <c r="DQ20" s="26"/>
      <c r="DR20" s="81" t="n">
        <f aca="false">DQ20-DP20</f>
        <v>0</v>
      </c>
      <c r="DS20" s="81" t="n">
        <f aca="false">+C20+F20+I20+L20+O20+R20+U20+X20+AA20+AD20+AG20+AJ20+AM20+AP20+AS20+AV20+AY20+BB20+BE20+BH20+BK20+BN20+BQ20+BT20+BW20+BZ20+CC20+CF20+CI20+CL20+CO20+CR20+CU20+CX20+DA20+DD20+DG20+DJ20+DM20+DP20</f>
        <v>56488</v>
      </c>
      <c r="DT20" s="81" t="n">
        <f aca="false">+D20+G20+J20+M20+P20+S20+V20+Y20+AB20+AE20+AH20+AK20+AN20+AQ20+AT20+AW20+AZ20+BC20+BF20+BI20+BL20+BO20+BR20+BU20+BX20+CA20+CD20+CG20+CJ20+CM20+CP20+CS20+CV20+CY20+DB20+DE20+DH20+DK20+DN20+DQ20</f>
        <v>56488</v>
      </c>
      <c r="DU20" s="81" t="n">
        <f aca="false">DT20-DS20</f>
        <v>0</v>
      </c>
      <c r="DV20" s="111"/>
      <c r="DW20" s="87"/>
      <c r="DX20" s="87"/>
      <c r="DY20" s="111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</row>
    <row r="21" customFormat="false" ht="12.75" hidden="false" customHeight="false" outlineLevel="0" collapsed="false">
      <c r="A21" s="80" t="n">
        <f aca="false">+BaseloadMarkets!A21</f>
        <v>36723</v>
      </c>
      <c r="B21" s="80" t="str">
        <f aca="false">+BaseloadMarkets!B21</f>
        <v>Sun</v>
      </c>
      <c r="C21" s="26"/>
      <c r="D21" s="26"/>
      <c r="E21" s="81" t="n">
        <f aca="false">D21-C21</f>
        <v>0</v>
      </c>
      <c r="F21" s="26"/>
      <c r="G21" s="26"/>
      <c r="H21" s="81" t="n">
        <f aca="false">G21-F21</f>
        <v>0</v>
      </c>
      <c r="I21" s="26"/>
      <c r="J21" s="26"/>
      <c r="K21" s="81" t="n">
        <f aca="false">J21-I21</f>
        <v>0</v>
      </c>
      <c r="L21" s="26"/>
      <c r="M21" s="26"/>
      <c r="N21" s="81" t="n">
        <f aca="false">M21-L21</f>
        <v>0</v>
      </c>
      <c r="O21" s="26" t="n">
        <v>46141</v>
      </c>
      <c r="P21" s="26" t="n">
        <v>46141</v>
      </c>
      <c r="Q21" s="81" t="n">
        <f aca="false">P21-O21</f>
        <v>0</v>
      </c>
      <c r="R21" s="26"/>
      <c r="S21" s="26"/>
      <c r="T21" s="81" t="n">
        <f aca="false">S21-R21</f>
        <v>0</v>
      </c>
      <c r="U21" s="26"/>
      <c r="V21" s="26"/>
      <c r="W21" s="81" t="n">
        <f aca="false">V21-U21</f>
        <v>0</v>
      </c>
      <c r="X21" s="26"/>
      <c r="Y21" s="26"/>
      <c r="Z21" s="81" t="n">
        <f aca="false">Y21-X21</f>
        <v>0</v>
      </c>
      <c r="AA21" s="26" t="n">
        <v>10000</v>
      </c>
      <c r="AB21" s="26" t="n">
        <v>10000</v>
      </c>
      <c r="AC21" s="81" t="n">
        <f aca="false">AB21-AA21</f>
        <v>0</v>
      </c>
      <c r="AD21" s="26"/>
      <c r="AE21" s="26"/>
      <c r="AF21" s="81" t="n">
        <f aca="false">AE21-AD21</f>
        <v>0</v>
      </c>
      <c r="AG21" s="26"/>
      <c r="AH21" s="26"/>
      <c r="AI21" s="81" t="n">
        <f aca="false">AH21-AG21</f>
        <v>0</v>
      </c>
      <c r="AJ21" s="26"/>
      <c r="AK21" s="26"/>
      <c r="AL21" s="81" t="n">
        <f aca="false">AK21-AJ21</f>
        <v>0</v>
      </c>
      <c r="AM21" s="26"/>
      <c r="AN21" s="26"/>
      <c r="AO21" s="81" t="n">
        <f aca="false">AN21-AM21</f>
        <v>0</v>
      </c>
      <c r="AP21" s="26"/>
      <c r="AQ21" s="26"/>
      <c r="AR21" s="81" t="n">
        <f aca="false">AQ21-AP21</f>
        <v>0</v>
      </c>
      <c r="AS21" s="26"/>
      <c r="AT21" s="26"/>
      <c r="AU21" s="81" t="n">
        <f aca="false">AT21-AS21</f>
        <v>0</v>
      </c>
      <c r="AV21" s="26"/>
      <c r="AW21" s="26"/>
      <c r="AX21" s="81" t="n">
        <f aca="false">AW21-AV21</f>
        <v>0</v>
      </c>
      <c r="AY21" s="26"/>
      <c r="AZ21" s="26"/>
      <c r="BA21" s="81" t="n">
        <f aca="false">AZ21-AY21</f>
        <v>0</v>
      </c>
      <c r="BB21" s="26"/>
      <c r="BC21" s="26"/>
      <c r="BD21" s="81" t="n">
        <f aca="false">BC21-BB21</f>
        <v>0</v>
      </c>
      <c r="BE21" s="26"/>
      <c r="BF21" s="26"/>
      <c r="BG21" s="81" t="n">
        <f aca="false">BF21-BE21</f>
        <v>0</v>
      </c>
      <c r="BH21" s="26"/>
      <c r="BI21" s="26"/>
      <c r="BJ21" s="81" t="n">
        <f aca="false">BI21-BH21</f>
        <v>0</v>
      </c>
      <c r="BK21" s="26"/>
      <c r="BL21" s="26"/>
      <c r="BM21" s="81" t="n">
        <f aca="false">BL21-BK21</f>
        <v>0</v>
      </c>
      <c r="BN21" s="26"/>
      <c r="BO21" s="26"/>
      <c r="BP21" s="81" t="n">
        <f aca="false">BO21-BN21</f>
        <v>0</v>
      </c>
      <c r="BQ21" s="26"/>
      <c r="BR21" s="26"/>
      <c r="BS21" s="81" t="n">
        <f aca="false">BR21-BQ21</f>
        <v>0</v>
      </c>
      <c r="BT21" s="26"/>
      <c r="BU21" s="26"/>
      <c r="BV21" s="81" t="n">
        <f aca="false">BU21-BT21</f>
        <v>0</v>
      </c>
      <c r="BW21" s="26"/>
      <c r="BX21" s="26"/>
      <c r="BY21" s="81" t="n">
        <f aca="false">BX21-BW21</f>
        <v>0</v>
      </c>
      <c r="BZ21" s="26"/>
      <c r="CA21" s="26"/>
      <c r="CB21" s="81" t="n">
        <f aca="false">CA21-BZ21</f>
        <v>0</v>
      </c>
      <c r="CC21" s="26"/>
      <c r="CD21" s="26"/>
      <c r="CE21" s="81" t="n">
        <f aca="false">CD21-CC21</f>
        <v>0</v>
      </c>
      <c r="CF21" s="26"/>
      <c r="CG21" s="26"/>
      <c r="CH21" s="81" t="n">
        <f aca="false">CG21-CF21</f>
        <v>0</v>
      </c>
      <c r="CI21" s="26"/>
      <c r="CJ21" s="26"/>
      <c r="CK21" s="81" t="n">
        <f aca="false">CJ21-CI21</f>
        <v>0</v>
      </c>
      <c r="CL21" s="26"/>
      <c r="CM21" s="26"/>
      <c r="CN21" s="81" t="n">
        <f aca="false">CM21-CL21</f>
        <v>0</v>
      </c>
      <c r="CO21" s="26"/>
      <c r="CP21" s="26"/>
      <c r="CQ21" s="81" t="n">
        <f aca="false">CP21-CO21</f>
        <v>0</v>
      </c>
      <c r="CR21" s="26"/>
      <c r="CS21" s="26"/>
      <c r="CT21" s="81" t="n">
        <f aca="false">CS21-CR21</f>
        <v>0</v>
      </c>
      <c r="CU21" s="26"/>
      <c r="CV21" s="26"/>
      <c r="CW21" s="81" t="n">
        <f aca="false">CV21-CU21</f>
        <v>0</v>
      </c>
      <c r="CX21" s="26"/>
      <c r="CY21" s="26"/>
      <c r="CZ21" s="81" t="n">
        <f aca="false">CY21-CX21</f>
        <v>0</v>
      </c>
      <c r="DA21" s="26"/>
      <c r="DB21" s="26"/>
      <c r="DC21" s="81" t="n">
        <f aca="false">DB21-DA21</f>
        <v>0</v>
      </c>
      <c r="DD21" s="26"/>
      <c r="DE21" s="26"/>
      <c r="DF21" s="81" t="n">
        <f aca="false">DE21-DD21</f>
        <v>0</v>
      </c>
      <c r="DG21" s="26"/>
      <c r="DH21" s="26"/>
      <c r="DI21" s="81" t="n">
        <f aca="false">DH21-DG21</f>
        <v>0</v>
      </c>
      <c r="DJ21" s="26"/>
      <c r="DK21" s="26"/>
      <c r="DL21" s="81" t="n">
        <f aca="false">DK21-DJ21</f>
        <v>0</v>
      </c>
      <c r="DM21" s="26"/>
      <c r="DN21" s="26"/>
      <c r="DO21" s="81" t="n">
        <f aca="false">DN21-DM21</f>
        <v>0</v>
      </c>
      <c r="DP21" s="26"/>
      <c r="DQ21" s="26"/>
      <c r="DR21" s="81" t="n">
        <f aca="false">DQ21-DP21</f>
        <v>0</v>
      </c>
      <c r="DS21" s="81" t="n">
        <f aca="false">+C21+F21+I21+L21+O21+R21+U21+X21+AA21+AD21+AG21+AJ21+AM21+AP21+AS21+AV21+AY21+BB21+BE21+BH21+BK21+BN21+BQ21+BT21+BW21+BZ21+CC21+CF21+CI21+CL21+CO21+CR21+CU21+CX21+DA21+DD21+DG21+DJ21+DM21+DP21</f>
        <v>56141</v>
      </c>
      <c r="DT21" s="81" t="n">
        <f aca="false">+D21+G21+J21+M21+P21+S21+V21+Y21+AB21+AE21+AH21+AK21+AN21+AQ21+AT21+AW21+AZ21+BC21+BF21+BI21+BL21+BO21+BR21+BU21+BX21+CA21+CD21+CG21+CJ21+CM21+CP21+CS21+CV21+CY21+DB21+DE21+DH21+DK21+DN21+DQ21</f>
        <v>56141</v>
      </c>
      <c r="DU21" s="81" t="n">
        <f aca="false">DT21-DS21</f>
        <v>0</v>
      </c>
      <c r="DV21" s="111"/>
      <c r="DW21" s="87"/>
      <c r="DX21" s="87"/>
      <c r="DY21" s="111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</row>
    <row r="22" customFormat="false" ht="12.75" hidden="false" customHeight="false" outlineLevel="0" collapsed="false">
      <c r="A22" s="80" t="n">
        <f aca="false">+BaseloadMarkets!A22</f>
        <v>36724</v>
      </c>
      <c r="B22" s="80" t="str">
        <f aca="false">+BaseloadMarkets!B22</f>
        <v>Mon</v>
      </c>
      <c r="C22" s="26"/>
      <c r="D22" s="26"/>
      <c r="E22" s="81" t="n">
        <f aca="false">D22-C22</f>
        <v>0</v>
      </c>
      <c r="F22" s="26"/>
      <c r="G22" s="26"/>
      <c r="H22" s="81" t="n">
        <f aca="false">G22-F22</f>
        <v>0</v>
      </c>
      <c r="I22" s="26"/>
      <c r="J22" s="26"/>
      <c r="K22" s="81" t="n">
        <f aca="false">J22-I22</f>
        <v>0</v>
      </c>
      <c r="L22" s="26"/>
      <c r="M22" s="26"/>
      <c r="N22" s="81" t="n">
        <f aca="false">M22-L22</f>
        <v>0</v>
      </c>
      <c r="O22" s="26" t="n">
        <f aca="false">50000-10000+5949</f>
        <v>45949</v>
      </c>
      <c r="P22" s="26" t="n">
        <v>45949</v>
      </c>
      <c r="Q22" s="81" t="n">
        <f aca="false">P22-O22</f>
        <v>0</v>
      </c>
      <c r="R22" s="26"/>
      <c r="S22" s="26"/>
      <c r="T22" s="81" t="n">
        <f aca="false">S22-R22</f>
        <v>0</v>
      </c>
      <c r="U22" s="26"/>
      <c r="V22" s="26"/>
      <c r="W22" s="81" t="n">
        <f aca="false">V22-U22</f>
        <v>0</v>
      </c>
      <c r="X22" s="26"/>
      <c r="Y22" s="26"/>
      <c r="Z22" s="81" t="n">
        <f aca="false">Y22-X22</f>
        <v>0</v>
      </c>
      <c r="AA22" s="26" t="n">
        <v>10000</v>
      </c>
      <c r="AB22" s="26" t="n">
        <v>10000</v>
      </c>
      <c r="AC22" s="81" t="n">
        <f aca="false">AB22-AA22</f>
        <v>0</v>
      </c>
      <c r="AD22" s="26"/>
      <c r="AE22" s="26"/>
      <c r="AF22" s="81" t="n">
        <f aca="false">AE22-AD22</f>
        <v>0</v>
      </c>
      <c r="AG22" s="26"/>
      <c r="AH22" s="26"/>
      <c r="AI22" s="81" t="n">
        <f aca="false">AH22-AG22</f>
        <v>0</v>
      </c>
      <c r="AJ22" s="26"/>
      <c r="AK22" s="26"/>
      <c r="AL22" s="81" t="n">
        <f aca="false">AK22-AJ22</f>
        <v>0</v>
      </c>
      <c r="AM22" s="26"/>
      <c r="AN22" s="26"/>
      <c r="AO22" s="81" t="n">
        <f aca="false">AN22-AM22</f>
        <v>0</v>
      </c>
      <c r="AP22" s="26"/>
      <c r="AQ22" s="26"/>
      <c r="AR22" s="81" t="n">
        <f aca="false">AQ22-AP22</f>
        <v>0</v>
      </c>
      <c r="AS22" s="26"/>
      <c r="AT22" s="26"/>
      <c r="AU22" s="81" t="n">
        <f aca="false">AT22-AS22</f>
        <v>0</v>
      </c>
      <c r="AV22" s="26"/>
      <c r="AW22" s="26"/>
      <c r="AX22" s="81" t="n">
        <f aca="false">AW22-AV22</f>
        <v>0</v>
      </c>
      <c r="AY22" s="26"/>
      <c r="AZ22" s="26"/>
      <c r="BA22" s="81" t="n">
        <f aca="false">AZ22-AY22</f>
        <v>0</v>
      </c>
      <c r="BB22" s="26"/>
      <c r="BC22" s="26"/>
      <c r="BD22" s="81" t="n">
        <f aca="false">BC22-BB22</f>
        <v>0</v>
      </c>
      <c r="BE22" s="26"/>
      <c r="BF22" s="26"/>
      <c r="BG22" s="81" t="n">
        <f aca="false">BF22-BE22</f>
        <v>0</v>
      </c>
      <c r="BH22" s="26"/>
      <c r="BI22" s="26"/>
      <c r="BJ22" s="81" t="n">
        <f aca="false">BI22-BH22</f>
        <v>0</v>
      </c>
      <c r="BK22" s="26"/>
      <c r="BL22" s="26"/>
      <c r="BM22" s="81" t="n">
        <f aca="false">BL22-BK22</f>
        <v>0</v>
      </c>
      <c r="BN22" s="26"/>
      <c r="BO22" s="26"/>
      <c r="BP22" s="81" t="n">
        <f aca="false">BO22-BN22</f>
        <v>0</v>
      </c>
      <c r="BQ22" s="26"/>
      <c r="BR22" s="26"/>
      <c r="BS22" s="81" t="n">
        <f aca="false">BR22-BQ22</f>
        <v>0</v>
      </c>
      <c r="BT22" s="26"/>
      <c r="BU22" s="26"/>
      <c r="BV22" s="81" t="n">
        <f aca="false">BU22-BT22</f>
        <v>0</v>
      </c>
      <c r="BW22" s="26"/>
      <c r="BX22" s="26"/>
      <c r="BY22" s="81" t="n">
        <f aca="false">BX22-BW22</f>
        <v>0</v>
      </c>
      <c r="BZ22" s="26"/>
      <c r="CA22" s="26"/>
      <c r="CB22" s="81" t="n">
        <f aca="false">CA22-BZ22</f>
        <v>0</v>
      </c>
      <c r="CC22" s="26"/>
      <c r="CD22" s="26"/>
      <c r="CE22" s="81" t="n">
        <f aca="false">CD22-CC22</f>
        <v>0</v>
      </c>
      <c r="CF22" s="26"/>
      <c r="CG22" s="26"/>
      <c r="CH22" s="81" t="n">
        <f aca="false">CG22-CF22</f>
        <v>0</v>
      </c>
      <c r="CI22" s="26"/>
      <c r="CJ22" s="26"/>
      <c r="CK22" s="81" t="n">
        <f aca="false">CJ22-CI22</f>
        <v>0</v>
      </c>
      <c r="CL22" s="26"/>
      <c r="CM22" s="26"/>
      <c r="CN22" s="81" t="n">
        <f aca="false">CM22-CL22</f>
        <v>0</v>
      </c>
      <c r="CO22" s="26"/>
      <c r="CP22" s="26"/>
      <c r="CQ22" s="81" t="n">
        <f aca="false">CP22-CO22</f>
        <v>0</v>
      </c>
      <c r="CR22" s="26"/>
      <c r="CS22" s="26"/>
      <c r="CT22" s="81" t="n">
        <f aca="false">CS22-CR22</f>
        <v>0</v>
      </c>
      <c r="CU22" s="26"/>
      <c r="CV22" s="26"/>
      <c r="CW22" s="81" t="n">
        <f aca="false">CV22-CU22</f>
        <v>0</v>
      </c>
      <c r="CX22" s="26"/>
      <c r="CY22" s="26"/>
      <c r="CZ22" s="81" t="n">
        <f aca="false">CY22-CX22</f>
        <v>0</v>
      </c>
      <c r="DA22" s="26"/>
      <c r="DB22" s="26"/>
      <c r="DC22" s="81" t="n">
        <f aca="false">DB22-DA22</f>
        <v>0</v>
      </c>
      <c r="DD22" s="26"/>
      <c r="DE22" s="26"/>
      <c r="DF22" s="81" t="n">
        <f aca="false">DE22-DD22</f>
        <v>0</v>
      </c>
      <c r="DG22" s="26"/>
      <c r="DH22" s="26"/>
      <c r="DI22" s="81" t="n">
        <f aca="false">DH22-DG22</f>
        <v>0</v>
      </c>
      <c r="DJ22" s="26"/>
      <c r="DK22" s="26"/>
      <c r="DL22" s="81" t="n">
        <f aca="false">DK22-DJ22</f>
        <v>0</v>
      </c>
      <c r="DM22" s="26"/>
      <c r="DN22" s="26"/>
      <c r="DO22" s="81" t="n">
        <f aca="false">DN22-DM22</f>
        <v>0</v>
      </c>
      <c r="DP22" s="26"/>
      <c r="DQ22" s="26"/>
      <c r="DR22" s="81" t="n">
        <f aca="false">DQ22-DP22</f>
        <v>0</v>
      </c>
      <c r="DS22" s="81" t="n">
        <f aca="false">+C22+F22+I22+L22+O22+R22+U22+X22+AA22+AD22+AG22+AJ22+AM22+AP22+AS22+AV22+AY22+BB22+BE22+BH22+BK22+BN22+BQ22+BT22+BW22+BZ22+CC22+CF22+CI22+CL22+CO22+CR22+CU22+CX22+DA22+DD22+DG22+DJ22+DM22+DP22</f>
        <v>55949</v>
      </c>
      <c r="DT22" s="81" t="n">
        <f aca="false">+D22+G22+J22+M22+P22+S22+V22+Y22+AB22+AE22+AH22+AK22+AN22+AQ22+AT22+AW22+AZ22+BC22+BF22+BI22+BL22+BO22+BR22+BU22+BX22+CA22+CD22+CG22+CJ22+CM22+CP22+CS22+CV22+CY22+DB22+DE22+DH22+DK22+DN22+DQ22</f>
        <v>55949</v>
      </c>
      <c r="DU22" s="81" t="n">
        <f aca="false">DT22-DS22</f>
        <v>0</v>
      </c>
      <c r="DV22" s="111"/>
      <c r="DW22" s="87"/>
      <c r="DX22" s="87"/>
      <c r="DY22" s="111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</row>
    <row r="23" customFormat="false" ht="12.75" hidden="false" customHeight="false" outlineLevel="0" collapsed="false">
      <c r="A23" s="80" t="n">
        <f aca="false">+BaseloadMarkets!A23</f>
        <v>36725</v>
      </c>
      <c r="B23" s="80" t="str">
        <f aca="false">+BaseloadMarkets!B23</f>
        <v>Tues</v>
      </c>
      <c r="C23" s="26"/>
      <c r="D23" s="26"/>
      <c r="E23" s="81" t="n">
        <f aca="false">D23-C23</f>
        <v>0</v>
      </c>
      <c r="F23" s="26"/>
      <c r="G23" s="26"/>
      <c r="H23" s="81" t="n">
        <f aca="false">G23-F23</f>
        <v>0</v>
      </c>
      <c r="I23" s="26"/>
      <c r="J23" s="26"/>
      <c r="K23" s="81" t="n">
        <f aca="false">J23-I23</f>
        <v>0</v>
      </c>
      <c r="L23" s="26"/>
      <c r="M23" s="26"/>
      <c r="N23" s="81" t="n">
        <f aca="false">M23-L23</f>
        <v>0</v>
      </c>
      <c r="O23" s="26"/>
      <c r="P23" s="26"/>
      <c r="Q23" s="81" t="n">
        <f aca="false">P23-O23</f>
        <v>0</v>
      </c>
      <c r="R23" s="26"/>
      <c r="S23" s="26"/>
      <c r="T23" s="81" t="n">
        <f aca="false">S23-R23</f>
        <v>0</v>
      </c>
      <c r="U23" s="26"/>
      <c r="V23" s="26"/>
      <c r="W23" s="81" t="n">
        <f aca="false">V23-U23</f>
        <v>0</v>
      </c>
      <c r="X23" s="26"/>
      <c r="Y23" s="26"/>
      <c r="Z23" s="81" t="n">
        <f aca="false">Y23-X23</f>
        <v>0</v>
      </c>
      <c r="AA23" s="26"/>
      <c r="AB23" s="26"/>
      <c r="AC23" s="81" t="n">
        <f aca="false">AB23-AA23</f>
        <v>0</v>
      </c>
      <c r="AD23" s="26"/>
      <c r="AE23" s="26"/>
      <c r="AF23" s="81" t="n">
        <f aca="false">AE23-AD23</f>
        <v>0</v>
      </c>
      <c r="AG23" s="26"/>
      <c r="AH23" s="26"/>
      <c r="AI23" s="81" t="n">
        <f aca="false">AH23-AG23</f>
        <v>0</v>
      </c>
      <c r="AJ23" s="26"/>
      <c r="AK23" s="26"/>
      <c r="AL23" s="81" t="n">
        <f aca="false">AK23-AJ23</f>
        <v>0</v>
      </c>
      <c r="AM23" s="26"/>
      <c r="AN23" s="26"/>
      <c r="AO23" s="81" t="n">
        <f aca="false">AN23-AM23</f>
        <v>0</v>
      </c>
      <c r="AP23" s="26"/>
      <c r="AQ23" s="26"/>
      <c r="AR23" s="81" t="n">
        <f aca="false">AQ23-AP23</f>
        <v>0</v>
      </c>
      <c r="AS23" s="26"/>
      <c r="AT23" s="26"/>
      <c r="AU23" s="81" t="n">
        <f aca="false">AT23-AS23</f>
        <v>0</v>
      </c>
      <c r="AV23" s="26"/>
      <c r="AW23" s="26"/>
      <c r="AX23" s="81" t="n">
        <f aca="false">AW23-AV23</f>
        <v>0</v>
      </c>
      <c r="AY23" s="26"/>
      <c r="AZ23" s="26"/>
      <c r="BA23" s="81" t="n">
        <f aca="false">AZ23-AY23</f>
        <v>0</v>
      </c>
      <c r="BB23" s="26"/>
      <c r="BC23" s="26"/>
      <c r="BD23" s="81" t="n">
        <f aca="false">BC23-BB23</f>
        <v>0</v>
      </c>
      <c r="BE23" s="26"/>
      <c r="BF23" s="26"/>
      <c r="BG23" s="81" t="n">
        <f aca="false">BF23-BE23</f>
        <v>0</v>
      </c>
      <c r="BH23" s="26"/>
      <c r="BI23" s="26"/>
      <c r="BJ23" s="81" t="n">
        <f aca="false">BI23-BH23</f>
        <v>0</v>
      </c>
      <c r="BK23" s="26"/>
      <c r="BL23" s="26"/>
      <c r="BM23" s="81" t="n">
        <f aca="false">BL23-BK23</f>
        <v>0</v>
      </c>
      <c r="BN23" s="26"/>
      <c r="BO23" s="26"/>
      <c r="BP23" s="81" t="n">
        <f aca="false">BO23-BN23</f>
        <v>0</v>
      </c>
      <c r="BQ23" s="26"/>
      <c r="BR23" s="26"/>
      <c r="BS23" s="81" t="n">
        <f aca="false">BR23-BQ23</f>
        <v>0</v>
      </c>
      <c r="BT23" s="26"/>
      <c r="BU23" s="26"/>
      <c r="BV23" s="81" t="n">
        <f aca="false">BU23-BT23</f>
        <v>0</v>
      </c>
      <c r="BW23" s="26"/>
      <c r="BX23" s="26"/>
      <c r="BY23" s="81" t="n">
        <f aca="false">BX23-BW23</f>
        <v>0</v>
      </c>
      <c r="BZ23" s="26"/>
      <c r="CA23" s="26"/>
      <c r="CB23" s="81" t="n">
        <f aca="false">CA23-BZ23</f>
        <v>0</v>
      </c>
      <c r="CC23" s="26"/>
      <c r="CD23" s="26"/>
      <c r="CE23" s="81" t="n">
        <f aca="false">CD23-CC23</f>
        <v>0</v>
      </c>
      <c r="CF23" s="26"/>
      <c r="CG23" s="26"/>
      <c r="CH23" s="81" t="n">
        <f aca="false">CG23-CF23</f>
        <v>0</v>
      </c>
      <c r="CI23" s="26"/>
      <c r="CJ23" s="26"/>
      <c r="CK23" s="81" t="n">
        <f aca="false">CJ23-CI23</f>
        <v>0</v>
      </c>
      <c r="CL23" s="26"/>
      <c r="CM23" s="26"/>
      <c r="CN23" s="81" t="n">
        <f aca="false">CM23-CL23</f>
        <v>0</v>
      </c>
      <c r="CO23" s="26"/>
      <c r="CP23" s="26"/>
      <c r="CQ23" s="81" t="n">
        <f aca="false">CP23-CO23</f>
        <v>0</v>
      </c>
      <c r="CR23" s="26"/>
      <c r="CS23" s="26"/>
      <c r="CT23" s="81" t="n">
        <f aca="false">CS23-CR23</f>
        <v>0</v>
      </c>
      <c r="CU23" s="26"/>
      <c r="CV23" s="26"/>
      <c r="CW23" s="81" t="n">
        <f aca="false">CV23-CU23</f>
        <v>0</v>
      </c>
      <c r="CX23" s="26"/>
      <c r="CY23" s="26"/>
      <c r="CZ23" s="81" t="n">
        <f aca="false">CY23-CX23</f>
        <v>0</v>
      </c>
      <c r="DA23" s="26"/>
      <c r="DB23" s="26"/>
      <c r="DC23" s="81" t="n">
        <f aca="false">DB23-DA23</f>
        <v>0</v>
      </c>
      <c r="DD23" s="26"/>
      <c r="DE23" s="26"/>
      <c r="DF23" s="81" t="n">
        <f aca="false">DE23-DD23</f>
        <v>0</v>
      </c>
      <c r="DG23" s="26"/>
      <c r="DH23" s="26"/>
      <c r="DI23" s="81" t="n">
        <f aca="false">DH23-DG23</f>
        <v>0</v>
      </c>
      <c r="DJ23" s="26"/>
      <c r="DK23" s="26"/>
      <c r="DL23" s="81" t="n">
        <f aca="false">DK23-DJ23</f>
        <v>0</v>
      </c>
      <c r="DM23" s="26"/>
      <c r="DN23" s="26"/>
      <c r="DO23" s="81" t="n">
        <f aca="false">DN23-DM23</f>
        <v>0</v>
      </c>
      <c r="DP23" s="26"/>
      <c r="DQ23" s="26"/>
      <c r="DR23" s="81" t="n">
        <f aca="false">DQ23-DP23</f>
        <v>0</v>
      </c>
      <c r="DS23" s="81" t="n">
        <f aca="false">+C23+F23+I23+L23+O23+R23+U23+X23+AA23+AD23+AG23+AJ23+AM23+AP23+AS23+AV23+AY23+BB23+BE23+BH23+BK23+BN23+BQ23+BT23+BW23+BZ23+CC23+CF23+CI23+CL23+CO23+CR23+CU23+CX23+DA23+DD23+DG23+DJ23+DM23+DP23</f>
        <v>0</v>
      </c>
      <c r="DT23" s="81" t="n">
        <f aca="false">+D23+G23+J23+M23+P23+S23+V23+Y23+AB23+AE23+AH23+AK23+AN23+AQ23+AT23+AW23+AZ23+BC23+BF23+BI23+BL23+BO23+BR23+BU23+BX23+CA23+CD23+CG23+CJ23+CM23+CP23+CS23+CV23+CY23+DB23+DE23+DH23+DK23+DN23+DQ23</f>
        <v>0</v>
      </c>
      <c r="DU23" s="81" t="n">
        <f aca="false">DT23-DS23</f>
        <v>0</v>
      </c>
      <c r="DV23" s="111"/>
      <c r="DW23" s="87"/>
      <c r="DX23" s="87"/>
      <c r="DY23" s="111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</row>
    <row r="24" customFormat="false" ht="12.75" hidden="false" customHeight="false" outlineLevel="0" collapsed="false">
      <c r="A24" s="80" t="n">
        <f aca="false">+BaseloadMarkets!A24</f>
        <v>36726</v>
      </c>
      <c r="B24" s="80" t="str">
        <f aca="false">+BaseloadMarkets!B24</f>
        <v>Wed</v>
      </c>
      <c r="C24" s="26"/>
      <c r="D24" s="26"/>
      <c r="E24" s="81" t="n">
        <f aca="false">D24-C24</f>
        <v>0</v>
      </c>
      <c r="F24" s="26"/>
      <c r="G24" s="26"/>
      <c r="H24" s="81" t="n">
        <f aca="false">G24-F24</f>
        <v>0</v>
      </c>
      <c r="I24" s="26"/>
      <c r="J24" s="26"/>
      <c r="K24" s="81" t="n">
        <f aca="false">J24-I24</f>
        <v>0</v>
      </c>
      <c r="L24" s="26"/>
      <c r="M24" s="26"/>
      <c r="N24" s="81" t="n">
        <f aca="false">M24-L24</f>
        <v>0</v>
      </c>
      <c r="O24" s="26"/>
      <c r="P24" s="26"/>
      <c r="Q24" s="81" t="n">
        <f aca="false">P24-O24</f>
        <v>0</v>
      </c>
      <c r="R24" s="26"/>
      <c r="S24" s="26"/>
      <c r="T24" s="81" t="n">
        <f aca="false">S24-R24</f>
        <v>0</v>
      </c>
      <c r="U24" s="26"/>
      <c r="V24" s="26"/>
      <c r="W24" s="81" t="n">
        <f aca="false">V24-U24</f>
        <v>0</v>
      </c>
      <c r="X24" s="26"/>
      <c r="Y24" s="26"/>
      <c r="Z24" s="81" t="n">
        <f aca="false">Y24-X24</f>
        <v>0</v>
      </c>
      <c r="AA24" s="26" t="n">
        <v>100000</v>
      </c>
      <c r="AB24" s="26" t="n">
        <v>100000</v>
      </c>
      <c r="AC24" s="81" t="n">
        <f aca="false">AB24-AA24</f>
        <v>0</v>
      </c>
      <c r="AD24" s="26"/>
      <c r="AE24" s="26"/>
      <c r="AF24" s="81" t="n">
        <f aca="false">AE24-AD24</f>
        <v>0</v>
      </c>
      <c r="AG24" s="26"/>
      <c r="AH24" s="26"/>
      <c r="AI24" s="81" t="n">
        <f aca="false">AH24-AG24</f>
        <v>0</v>
      </c>
      <c r="AJ24" s="26"/>
      <c r="AK24" s="26"/>
      <c r="AL24" s="81" t="n">
        <f aca="false">AK24-AJ24</f>
        <v>0</v>
      </c>
      <c r="AM24" s="26"/>
      <c r="AN24" s="26"/>
      <c r="AO24" s="81" t="n">
        <f aca="false">AN24-AM24</f>
        <v>0</v>
      </c>
      <c r="AP24" s="26"/>
      <c r="AQ24" s="26"/>
      <c r="AR24" s="81" t="n">
        <f aca="false">AQ24-AP24</f>
        <v>0</v>
      </c>
      <c r="AS24" s="26"/>
      <c r="AT24" s="26"/>
      <c r="AU24" s="81" t="n">
        <f aca="false">AT24-AS24</f>
        <v>0</v>
      </c>
      <c r="AV24" s="26"/>
      <c r="AW24" s="26"/>
      <c r="AX24" s="81" t="n">
        <f aca="false">AW24-AV24</f>
        <v>0</v>
      </c>
      <c r="AY24" s="26"/>
      <c r="AZ24" s="26"/>
      <c r="BA24" s="81" t="n">
        <f aca="false">AZ24-AY24</f>
        <v>0</v>
      </c>
      <c r="BB24" s="26"/>
      <c r="BC24" s="26"/>
      <c r="BD24" s="81" t="n">
        <f aca="false">BC24-BB24</f>
        <v>0</v>
      </c>
      <c r="BE24" s="26"/>
      <c r="BF24" s="26"/>
      <c r="BG24" s="81" t="n">
        <f aca="false">BF24-BE24</f>
        <v>0</v>
      </c>
      <c r="BH24" s="26"/>
      <c r="BI24" s="26"/>
      <c r="BJ24" s="81" t="n">
        <f aca="false">BI24-BH24</f>
        <v>0</v>
      </c>
      <c r="BK24" s="26"/>
      <c r="BL24" s="26"/>
      <c r="BM24" s="81" t="n">
        <f aca="false">BL24-BK24</f>
        <v>0</v>
      </c>
      <c r="BN24" s="26"/>
      <c r="BO24" s="26"/>
      <c r="BP24" s="81" t="n">
        <f aca="false">BO24-BN24</f>
        <v>0</v>
      </c>
      <c r="BQ24" s="26"/>
      <c r="BR24" s="26"/>
      <c r="BS24" s="81" t="n">
        <f aca="false">BR24-BQ24</f>
        <v>0</v>
      </c>
      <c r="BT24" s="26"/>
      <c r="BU24" s="26"/>
      <c r="BV24" s="81" t="n">
        <f aca="false">BU24-BT24</f>
        <v>0</v>
      </c>
      <c r="BW24" s="26"/>
      <c r="BX24" s="26"/>
      <c r="BY24" s="81" t="n">
        <f aca="false">BX24-BW24</f>
        <v>0</v>
      </c>
      <c r="BZ24" s="26"/>
      <c r="CA24" s="26"/>
      <c r="CB24" s="81" t="n">
        <f aca="false">CA24-BZ24</f>
        <v>0</v>
      </c>
      <c r="CC24" s="26"/>
      <c r="CD24" s="26"/>
      <c r="CE24" s="81" t="n">
        <f aca="false">CD24-CC24</f>
        <v>0</v>
      </c>
      <c r="CF24" s="26"/>
      <c r="CG24" s="26"/>
      <c r="CH24" s="81" t="n">
        <f aca="false">CG24-CF24</f>
        <v>0</v>
      </c>
      <c r="CI24" s="26"/>
      <c r="CJ24" s="26"/>
      <c r="CK24" s="81" t="n">
        <f aca="false">CJ24-CI24</f>
        <v>0</v>
      </c>
      <c r="CL24" s="26"/>
      <c r="CM24" s="26"/>
      <c r="CN24" s="81" t="n">
        <f aca="false">CM24-CL24</f>
        <v>0</v>
      </c>
      <c r="CO24" s="26"/>
      <c r="CP24" s="26"/>
      <c r="CQ24" s="81" t="n">
        <f aca="false">CP24-CO24</f>
        <v>0</v>
      </c>
      <c r="CR24" s="26"/>
      <c r="CS24" s="26"/>
      <c r="CT24" s="81" t="n">
        <f aca="false">CS24-CR24</f>
        <v>0</v>
      </c>
      <c r="CU24" s="26"/>
      <c r="CV24" s="26"/>
      <c r="CW24" s="81" t="n">
        <f aca="false">CV24-CU24</f>
        <v>0</v>
      </c>
      <c r="CX24" s="26"/>
      <c r="CY24" s="26"/>
      <c r="CZ24" s="81" t="n">
        <f aca="false">CY24-CX24</f>
        <v>0</v>
      </c>
      <c r="DA24" s="26"/>
      <c r="DB24" s="26"/>
      <c r="DC24" s="81" t="n">
        <f aca="false">DB24-DA24</f>
        <v>0</v>
      </c>
      <c r="DD24" s="26"/>
      <c r="DE24" s="26"/>
      <c r="DF24" s="81" t="n">
        <f aca="false">DE24-DD24</f>
        <v>0</v>
      </c>
      <c r="DG24" s="26"/>
      <c r="DH24" s="26"/>
      <c r="DI24" s="81" t="n">
        <f aca="false">DH24-DG24</f>
        <v>0</v>
      </c>
      <c r="DJ24" s="26"/>
      <c r="DK24" s="26"/>
      <c r="DL24" s="81" t="n">
        <f aca="false">DK24-DJ24</f>
        <v>0</v>
      </c>
      <c r="DM24" s="26"/>
      <c r="DN24" s="26"/>
      <c r="DO24" s="81" t="n">
        <f aca="false">DN24-DM24</f>
        <v>0</v>
      </c>
      <c r="DP24" s="26"/>
      <c r="DQ24" s="26"/>
      <c r="DR24" s="81" t="n">
        <f aca="false">DQ24-DP24</f>
        <v>0</v>
      </c>
      <c r="DS24" s="81" t="n">
        <f aca="false">+C24+F24+I24+L24+O24+R24+U24+X24+AA24+AD24+AG24+AJ24+AM24+AP24+AS24+AV24+AY24+BB24+BE24+BH24+BK24+BN24+BQ24+BT24+BW24+BZ24+CC24+CF24+CI24+CL24+CO24+CR24+CU24+CX24+DA24+DD24+DG24+DJ24+DM24+DP24</f>
        <v>100000</v>
      </c>
      <c r="DT24" s="81" t="n">
        <f aca="false">+D24+G24+J24+M24+P24+S24+V24+Y24+AB24+AE24+AH24+AK24+AN24+AQ24+AT24+AW24+AZ24+BC24+BF24+BI24+BL24+BO24+BR24+BU24+BX24+CA24+CD24+CG24+CJ24+CM24+CP24+CS24+CV24+CY24+DB24+DE24+DH24+DK24+DN24+DQ24</f>
        <v>100000</v>
      </c>
      <c r="DU24" s="81" t="n">
        <f aca="false">DT24-DS24</f>
        <v>0</v>
      </c>
      <c r="DV24" s="111"/>
      <c r="DW24" s="87"/>
      <c r="DX24" s="87"/>
      <c r="DY24" s="111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</row>
    <row r="25" customFormat="false" ht="12.75" hidden="false" customHeight="false" outlineLevel="0" collapsed="false">
      <c r="A25" s="80" t="n">
        <f aca="false">+BaseloadMarkets!A25</f>
        <v>36727</v>
      </c>
      <c r="B25" s="80" t="str">
        <f aca="false">+BaseloadMarkets!B25</f>
        <v>Thu</v>
      </c>
      <c r="C25" s="26"/>
      <c r="D25" s="26"/>
      <c r="E25" s="81" t="n">
        <f aca="false">D25-C25</f>
        <v>0</v>
      </c>
      <c r="F25" s="26"/>
      <c r="G25" s="26"/>
      <c r="H25" s="81" t="n">
        <f aca="false">G25-F25</f>
        <v>0</v>
      </c>
      <c r="I25" s="26"/>
      <c r="J25" s="26"/>
      <c r="K25" s="81" t="n">
        <f aca="false">J25-I25</f>
        <v>0</v>
      </c>
      <c r="L25" s="26"/>
      <c r="M25" s="26"/>
      <c r="N25" s="81" t="n">
        <f aca="false">M25-L25</f>
        <v>0</v>
      </c>
      <c r="O25" s="26"/>
      <c r="P25" s="26"/>
      <c r="Q25" s="81" t="n">
        <f aca="false">P25-O25</f>
        <v>0</v>
      </c>
      <c r="R25" s="26"/>
      <c r="S25" s="26"/>
      <c r="T25" s="81" t="n">
        <f aca="false">S25-R25</f>
        <v>0</v>
      </c>
      <c r="U25" s="26"/>
      <c r="V25" s="26"/>
      <c r="W25" s="81" t="n">
        <f aca="false">V25-U25</f>
        <v>0</v>
      </c>
      <c r="X25" s="26"/>
      <c r="Y25" s="26"/>
      <c r="Z25" s="81" t="n">
        <f aca="false">Y25-X25</f>
        <v>0</v>
      </c>
      <c r="AA25" s="26"/>
      <c r="AB25" s="26"/>
      <c r="AC25" s="81" t="n">
        <f aca="false">AB25-AA25</f>
        <v>0</v>
      </c>
      <c r="AD25" s="26"/>
      <c r="AE25" s="26"/>
      <c r="AF25" s="81" t="n">
        <f aca="false">AE25-AD25</f>
        <v>0</v>
      </c>
      <c r="AG25" s="26"/>
      <c r="AH25" s="26"/>
      <c r="AI25" s="81" t="n">
        <f aca="false">AH25-AG25</f>
        <v>0</v>
      </c>
      <c r="AJ25" s="26"/>
      <c r="AK25" s="26"/>
      <c r="AL25" s="81" t="n">
        <f aca="false">AK25-AJ25</f>
        <v>0</v>
      </c>
      <c r="AM25" s="26"/>
      <c r="AN25" s="26"/>
      <c r="AO25" s="81" t="n">
        <f aca="false">AN25-AM25</f>
        <v>0</v>
      </c>
      <c r="AP25" s="26"/>
      <c r="AQ25" s="26"/>
      <c r="AR25" s="81" t="n">
        <f aca="false">AQ25-AP25</f>
        <v>0</v>
      </c>
      <c r="AS25" s="26"/>
      <c r="AT25" s="26"/>
      <c r="AU25" s="81" t="n">
        <f aca="false">AT25-AS25</f>
        <v>0</v>
      </c>
      <c r="AV25" s="26"/>
      <c r="AW25" s="26"/>
      <c r="AX25" s="81" t="n">
        <f aca="false">AW25-AV25</f>
        <v>0</v>
      </c>
      <c r="AY25" s="26"/>
      <c r="AZ25" s="26"/>
      <c r="BA25" s="81" t="n">
        <f aca="false">AZ25-AY25</f>
        <v>0</v>
      </c>
      <c r="BB25" s="26"/>
      <c r="BC25" s="26"/>
      <c r="BD25" s="81" t="n">
        <f aca="false">BC25-BB25</f>
        <v>0</v>
      </c>
      <c r="BE25" s="26"/>
      <c r="BF25" s="26"/>
      <c r="BG25" s="81" t="n">
        <f aca="false">BF25-BE25</f>
        <v>0</v>
      </c>
      <c r="BH25" s="26"/>
      <c r="BI25" s="26"/>
      <c r="BJ25" s="81" t="n">
        <f aca="false">BI25-BH25</f>
        <v>0</v>
      </c>
      <c r="BK25" s="26"/>
      <c r="BL25" s="26"/>
      <c r="BM25" s="81" t="n">
        <f aca="false">BL25-BK25</f>
        <v>0</v>
      </c>
      <c r="BN25" s="26"/>
      <c r="BO25" s="26"/>
      <c r="BP25" s="81" t="n">
        <f aca="false">BO25-BN25</f>
        <v>0</v>
      </c>
      <c r="BQ25" s="26"/>
      <c r="BR25" s="26"/>
      <c r="BS25" s="81" t="n">
        <f aca="false">BR25-BQ25</f>
        <v>0</v>
      </c>
      <c r="BT25" s="26"/>
      <c r="BU25" s="26"/>
      <c r="BV25" s="81" t="n">
        <f aca="false">BU25-BT25</f>
        <v>0</v>
      </c>
      <c r="BW25" s="26"/>
      <c r="BX25" s="26"/>
      <c r="BY25" s="81" t="n">
        <f aca="false">BX25-BW25</f>
        <v>0</v>
      </c>
      <c r="BZ25" s="26"/>
      <c r="CA25" s="26"/>
      <c r="CB25" s="81" t="n">
        <f aca="false">CA25-BZ25</f>
        <v>0</v>
      </c>
      <c r="CC25" s="26"/>
      <c r="CD25" s="26"/>
      <c r="CE25" s="81" t="n">
        <f aca="false">CD25-CC25</f>
        <v>0</v>
      </c>
      <c r="CF25" s="26"/>
      <c r="CG25" s="26"/>
      <c r="CH25" s="81" t="n">
        <f aca="false">CG25-CF25</f>
        <v>0</v>
      </c>
      <c r="CI25" s="26"/>
      <c r="CJ25" s="26"/>
      <c r="CK25" s="81" t="n">
        <f aca="false">CJ25-CI25</f>
        <v>0</v>
      </c>
      <c r="CL25" s="26"/>
      <c r="CM25" s="26"/>
      <c r="CN25" s="81" t="n">
        <f aca="false">CM25-CL25</f>
        <v>0</v>
      </c>
      <c r="CO25" s="26"/>
      <c r="CP25" s="26"/>
      <c r="CQ25" s="81" t="n">
        <f aca="false">CP25-CO25</f>
        <v>0</v>
      </c>
      <c r="CR25" s="26"/>
      <c r="CS25" s="26"/>
      <c r="CT25" s="81" t="n">
        <f aca="false">CS25-CR25</f>
        <v>0</v>
      </c>
      <c r="CU25" s="26"/>
      <c r="CV25" s="26"/>
      <c r="CW25" s="81" t="n">
        <f aca="false">CV25-CU25</f>
        <v>0</v>
      </c>
      <c r="CX25" s="26"/>
      <c r="CY25" s="26"/>
      <c r="CZ25" s="81" t="n">
        <f aca="false">CY25-CX25</f>
        <v>0</v>
      </c>
      <c r="DA25" s="26"/>
      <c r="DB25" s="26"/>
      <c r="DC25" s="81" t="n">
        <f aca="false">DB25-DA25</f>
        <v>0</v>
      </c>
      <c r="DD25" s="26"/>
      <c r="DE25" s="26"/>
      <c r="DF25" s="81" t="n">
        <f aca="false">DE25-DD25</f>
        <v>0</v>
      </c>
      <c r="DG25" s="26"/>
      <c r="DH25" s="26"/>
      <c r="DI25" s="81" t="n">
        <f aca="false">DH25-DG25</f>
        <v>0</v>
      </c>
      <c r="DJ25" s="26"/>
      <c r="DK25" s="26"/>
      <c r="DL25" s="81" t="n">
        <f aca="false">DK25-DJ25</f>
        <v>0</v>
      </c>
      <c r="DM25" s="26"/>
      <c r="DN25" s="26"/>
      <c r="DO25" s="81" t="n">
        <f aca="false">DN25-DM25</f>
        <v>0</v>
      </c>
      <c r="DP25" s="26"/>
      <c r="DQ25" s="26"/>
      <c r="DR25" s="81" t="n">
        <f aca="false">DQ25-DP25</f>
        <v>0</v>
      </c>
      <c r="DS25" s="81" t="n">
        <f aca="false">+C25+F25+I25+L25+O25+R25+U25+X25+AA25+AD25+AG25+AJ25+AM25+AP25+AS25+AV25+AY25+BB25+BE25+BH25+BK25+BN25+BQ25+BT25+BW25+BZ25+CC25+CF25+CI25+CL25+CO25+CR25+CU25+CX25+DA25+DD25+DG25+DJ25+DM25+DP25</f>
        <v>0</v>
      </c>
      <c r="DT25" s="81" t="n">
        <f aca="false">+D25+G25+J25+M25+P25+S25+V25+Y25+AB25+AE25+AH25+AK25+AN25+AQ25+AT25+AW25+AZ25+BC25+BF25+BI25+BL25+BO25+BR25+BU25+BX25+CA25+CD25+CG25+CJ25+CM25+CP25+CS25+CV25+CY25+DB25+DE25+DH25+DK25+DN25+DQ25</f>
        <v>0</v>
      </c>
      <c r="DU25" s="81" t="n">
        <f aca="false">DT25-DS25</f>
        <v>0</v>
      </c>
      <c r="DV25" s="111"/>
      <c r="DW25" s="87"/>
      <c r="DX25" s="87"/>
      <c r="DY25" s="111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</row>
    <row r="26" customFormat="false" ht="12.75" hidden="false" customHeight="false" outlineLevel="0" collapsed="false">
      <c r="A26" s="80" t="n">
        <f aca="false">+BaseloadMarkets!A26</f>
        <v>36728</v>
      </c>
      <c r="B26" s="80" t="str">
        <f aca="false">+BaseloadMarkets!B26</f>
        <v>Fri</v>
      </c>
      <c r="C26" s="26"/>
      <c r="D26" s="26"/>
      <c r="E26" s="81" t="n">
        <f aca="false">D26-C26</f>
        <v>0</v>
      </c>
      <c r="F26" s="26"/>
      <c r="G26" s="26"/>
      <c r="H26" s="81" t="n">
        <f aca="false">G26-F26</f>
        <v>0</v>
      </c>
      <c r="I26" s="26"/>
      <c r="J26" s="26"/>
      <c r="K26" s="81" t="n">
        <f aca="false">J26-I26</f>
        <v>0</v>
      </c>
      <c r="L26" s="26"/>
      <c r="M26" s="26"/>
      <c r="N26" s="81" t="n">
        <f aca="false">M26-L26</f>
        <v>0</v>
      </c>
      <c r="O26" s="26"/>
      <c r="P26" s="26"/>
      <c r="Q26" s="81" t="n">
        <f aca="false">P26-O26</f>
        <v>0</v>
      </c>
      <c r="R26" s="26"/>
      <c r="S26" s="26"/>
      <c r="T26" s="81" t="n">
        <f aca="false">S26-R26</f>
        <v>0</v>
      </c>
      <c r="U26" s="26"/>
      <c r="V26" s="26"/>
      <c r="W26" s="81" t="n">
        <f aca="false">V26-U26</f>
        <v>0</v>
      </c>
      <c r="X26" s="26"/>
      <c r="Y26" s="26"/>
      <c r="Z26" s="81" t="n">
        <f aca="false">Y26-X26</f>
        <v>0</v>
      </c>
      <c r="AA26" s="26"/>
      <c r="AB26" s="26"/>
      <c r="AC26" s="81" t="n">
        <f aca="false">AB26-AA26</f>
        <v>0</v>
      </c>
      <c r="AD26" s="26"/>
      <c r="AE26" s="26"/>
      <c r="AF26" s="81" t="n">
        <f aca="false">AE26-AD26</f>
        <v>0</v>
      </c>
      <c r="AG26" s="26"/>
      <c r="AH26" s="26"/>
      <c r="AI26" s="81" t="n">
        <f aca="false">AH26-AG26</f>
        <v>0</v>
      </c>
      <c r="AJ26" s="26"/>
      <c r="AK26" s="26"/>
      <c r="AL26" s="81" t="n">
        <f aca="false">AK26-AJ26</f>
        <v>0</v>
      </c>
      <c r="AM26" s="26"/>
      <c r="AN26" s="26"/>
      <c r="AO26" s="81" t="n">
        <f aca="false">AN26-AM26</f>
        <v>0</v>
      </c>
      <c r="AP26" s="26"/>
      <c r="AQ26" s="26"/>
      <c r="AR26" s="81" t="n">
        <f aca="false">AQ26-AP26</f>
        <v>0</v>
      </c>
      <c r="AS26" s="26"/>
      <c r="AT26" s="26"/>
      <c r="AU26" s="81" t="n">
        <f aca="false">AT26-AS26</f>
        <v>0</v>
      </c>
      <c r="AV26" s="26"/>
      <c r="AW26" s="26"/>
      <c r="AX26" s="81" t="n">
        <f aca="false">AW26-AV26</f>
        <v>0</v>
      </c>
      <c r="AY26" s="26"/>
      <c r="AZ26" s="26"/>
      <c r="BA26" s="81" t="n">
        <f aca="false">AZ26-AY26</f>
        <v>0</v>
      </c>
      <c r="BB26" s="26"/>
      <c r="BC26" s="26"/>
      <c r="BD26" s="81" t="n">
        <f aca="false">BC26-BB26</f>
        <v>0</v>
      </c>
      <c r="BE26" s="26"/>
      <c r="BF26" s="26"/>
      <c r="BG26" s="81" t="n">
        <f aca="false">BF26-BE26</f>
        <v>0</v>
      </c>
      <c r="BH26" s="26"/>
      <c r="BI26" s="26"/>
      <c r="BJ26" s="81" t="n">
        <f aca="false">BI26-BH26</f>
        <v>0</v>
      </c>
      <c r="BK26" s="26"/>
      <c r="BL26" s="26"/>
      <c r="BM26" s="81" t="n">
        <f aca="false">BL26-BK26</f>
        <v>0</v>
      </c>
      <c r="BN26" s="26"/>
      <c r="BO26" s="26"/>
      <c r="BP26" s="81" t="n">
        <f aca="false">BO26-BN26</f>
        <v>0</v>
      </c>
      <c r="BQ26" s="26"/>
      <c r="BR26" s="26"/>
      <c r="BS26" s="81" t="n">
        <f aca="false">BR26-BQ26</f>
        <v>0</v>
      </c>
      <c r="BT26" s="26"/>
      <c r="BU26" s="26"/>
      <c r="BV26" s="81" t="n">
        <f aca="false">BU26-BT26</f>
        <v>0</v>
      </c>
      <c r="BW26" s="26"/>
      <c r="BX26" s="26"/>
      <c r="BY26" s="81" t="n">
        <f aca="false">BX26-BW26</f>
        <v>0</v>
      </c>
      <c r="BZ26" s="26"/>
      <c r="CA26" s="26"/>
      <c r="CB26" s="81" t="n">
        <f aca="false">CA26-BZ26</f>
        <v>0</v>
      </c>
      <c r="CC26" s="26"/>
      <c r="CD26" s="26"/>
      <c r="CE26" s="81" t="n">
        <f aca="false">CD26-CC26</f>
        <v>0</v>
      </c>
      <c r="CF26" s="26"/>
      <c r="CG26" s="26"/>
      <c r="CH26" s="81" t="n">
        <f aca="false">CG26-CF26</f>
        <v>0</v>
      </c>
      <c r="CI26" s="26"/>
      <c r="CJ26" s="26"/>
      <c r="CK26" s="81" t="n">
        <f aca="false">CJ26-CI26</f>
        <v>0</v>
      </c>
      <c r="CL26" s="26"/>
      <c r="CM26" s="26"/>
      <c r="CN26" s="81" t="n">
        <f aca="false">CM26-CL26</f>
        <v>0</v>
      </c>
      <c r="CO26" s="26"/>
      <c r="CP26" s="26"/>
      <c r="CQ26" s="81" t="n">
        <f aca="false">CP26-CO26</f>
        <v>0</v>
      </c>
      <c r="CR26" s="26"/>
      <c r="CS26" s="26"/>
      <c r="CT26" s="81" t="n">
        <f aca="false">CS26-CR26</f>
        <v>0</v>
      </c>
      <c r="CU26" s="26"/>
      <c r="CV26" s="26"/>
      <c r="CW26" s="81" t="n">
        <f aca="false">CV26-CU26</f>
        <v>0</v>
      </c>
      <c r="CX26" s="26"/>
      <c r="CY26" s="26"/>
      <c r="CZ26" s="81" t="n">
        <f aca="false">CY26-CX26</f>
        <v>0</v>
      </c>
      <c r="DA26" s="26"/>
      <c r="DB26" s="26"/>
      <c r="DC26" s="81" t="n">
        <f aca="false">DB26-DA26</f>
        <v>0</v>
      </c>
      <c r="DD26" s="26"/>
      <c r="DE26" s="26"/>
      <c r="DF26" s="81" t="n">
        <f aca="false">DE26-DD26</f>
        <v>0</v>
      </c>
      <c r="DG26" s="26"/>
      <c r="DH26" s="26"/>
      <c r="DI26" s="81" t="n">
        <f aca="false">DH26-DG26</f>
        <v>0</v>
      </c>
      <c r="DJ26" s="26"/>
      <c r="DK26" s="26"/>
      <c r="DL26" s="81" t="n">
        <f aca="false">DK26-DJ26</f>
        <v>0</v>
      </c>
      <c r="DM26" s="26"/>
      <c r="DN26" s="26"/>
      <c r="DO26" s="81" t="n">
        <f aca="false">DN26-DM26</f>
        <v>0</v>
      </c>
      <c r="DP26" s="26"/>
      <c r="DQ26" s="26"/>
      <c r="DR26" s="81" t="n">
        <f aca="false">DQ26-DP26</f>
        <v>0</v>
      </c>
      <c r="DS26" s="81" t="n">
        <f aca="false">+C26+F26+I26+L26+O26+R26+U26+X26+AA26+AD26+AG26+AJ26+AM26+AP26+AS26+AV26+AY26+BB26+BE26+BH26+BK26+BN26+BQ26+BT26+BW26+BZ26+CC26+CF26+CI26+CL26+CO26+CR26+CU26+CX26+DA26+DD26+DG26+DJ26+DM26+DP26</f>
        <v>0</v>
      </c>
      <c r="DT26" s="81" t="n">
        <f aca="false">+D26+G26+J26+M26+P26+S26+V26+Y26+AB26+AE26+AH26+AK26+AN26+AQ26+AT26+AW26+AZ26+BC26+BF26+BI26+BL26+BO26+BR26+BU26+BX26+CA26+CD26+CG26+CJ26+CM26+CP26+CS26+CV26+CY26+DB26+DE26+DH26+DK26+DN26+DQ26</f>
        <v>0</v>
      </c>
      <c r="DU26" s="81" t="n">
        <f aca="false">DT26-DS26</f>
        <v>0</v>
      </c>
      <c r="DV26" s="111"/>
      <c r="DW26" s="87"/>
      <c r="DX26" s="87"/>
      <c r="DY26" s="111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</row>
    <row r="27" customFormat="false" ht="12.75" hidden="false" customHeight="false" outlineLevel="0" collapsed="false">
      <c r="A27" s="80" t="n">
        <f aca="false">+BaseloadMarkets!A27</f>
        <v>36729</v>
      </c>
      <c r="B27" s="80" t="str">
        <f aca="false">+BaseloadMarkets!B27</f>
        <v>Sat</v>
      </c>
      <c r="C27" s="26"/>
      <c r="D27" s="26"/>
      <c r="E27" s="81" t="n">
        <f aca="false">D27-C27</f>
        <v>0</v>
      </c>
      <c r="F27" s="26"/>
      <c r="G27" s="26"/>
      <c r="H27" s="81" t="n">
        <f aca="false">G27-F27</f>
        <v>0</v>
      </c>
      <c r="I27" s="26"/>
      <c r="J27" s="26"/>
      <c r="K27" s="81" t="n">
        <f aca="false">J27-I27</f>
        <v>0</v>
      </c>
      <c r="L27" s="26"/>
      <c r="M27" s="26"/>
      <c r="N27" s="81" t="n">
        <f aca="false">M27-L27</f>
        <v>0</v>
      </c>
      <c r="O27" s="26"/>
      <c r="P27" s="26"/>
      <c r="Q27" s="81" t="n">
        <f aca="false">P27-O27</f>
        <v>0</v>
      </c>
      <c r="R27" s="26"/>
      <c r="S27" s="26"/>
      <c r="T27" s="81" t="n">
        <f aca="false">S27-R27</f>
        <v>0</v>
      </c>
      <c r="U27" s="26"/>
      <c r="V27" s="26"/>
      <c r="W27" s="81" t="n">
        <f aca="false">V27-U27</f>
        <v>0</v>
      </c>
      <c r="X27" s="26"/>
      <c r="Y27" s="26"/>
      <c r="Z27" s="81" t="n">
        <f aca="false">Y27-X27</f>
        <v>0</v>
      </c>
      <c r="AA27" s="26" t="n">
        <v>14000</v>
      </c>
      <c r="AB27" s="26" t="n">
        <v>14000</v>
      </c>
      <c r="AC27" s="81" t="n">
        <f aca="false">AB27-AA27</f>
        <v>0</v>
      </c>
      <c r="AD27" s="26" t="n">
        <v>18000</v>
      </c>
      <c r="AE27" s="26" t="n">
        <v>18000</v>
      </c>
      <c r="AF27" s="81" t="n">
        <f aca="false">AE27-AD27</f>
        <v>0</v>
      </c>
      <c r="AG27" s="26"/>
      <c r="AH27" s="26"/>
      <c r="AI27" s="81" t="n">
        <f aca="false">AH27-AG27</f>
        <v>0</v>
      </c>
      <c r="AJ27" s="26"/>
      <c r="AK27" s="26"/>
      <c r="AL27" s="81" t="n">
        <f aca="false">AK27-AJ27</f>
        <v>0</v>
      </c>
      <c r="AM27" s="26"/>
      <c r="AN27" s="26"/>
      <c r="AO27" s="81" t="n">
        <f aca="false">AN27-AM27</f>
        <v>0</v>
      </c>
      <c r="AP27" s="26"/>
      <c r="AQ27" s="26"/>
      <c r="AR27" s="81" t="n">
        <f aca="false">AQ27-AP27</f>
        <v>0</v>
      </c>
      <c r="AS27" s="26"/>
      <c r="AT27" s="26"/>
      <c r="AU27" s="81" t="n">
        <f aca="false">AT27-AS27</f>
        <v>0</v>
      </c>
      <c r="AV27" s="26"/>
      <c r="AW27" s="26"/>
      <c r="AX27" s="81" t="n">
        <f aca="false">AW27-AV27</f>
        <v>0</v>
      </c>
      <c r="AY27" s="26"/>
      <c r="AZ27" s="26"/>
      <c r="BA27" s="81" t="n">
        <f aca="false">AZ27-AY27</f>
        <v>0</v>
      </c>
      <c r="BB27" s="26"/>
      <c r="BC27" s="26"/>
      <c r="BD27" s="81" t="n">
        <f aca="false">BC27-BB27</f>
        <v>0</v>
      </c>
      <c r="BE27" s="26"/>
      <c r="BF27" s="26"/>
      <c r="BG27" s="81" t="n">
        <f aca="false">BF27-BE27</f>
        <v>0</v>
      </c>
      <c r="BH27" s="26"/>
      <c r="BI27" s="26"/>
      <c r="BJ27" s="81" t="n">
        <f aca="false">BI27-BH27</f>
        <v>0</v>
      </c>
      <c r="BK27" s="26"/>
      <c r="BL27" s="26"/>
      <c r="BM27" s="81" t="n">
        <f aca="false">BL27-BK27</f>
        <v>0</v>
      </c>
      <c r="BN27" s="26"/>
      <c r="BO27" s="26"/>
      <c r="BP27" s="81" t="n">
        <f aca="false">BO27-BN27</f>
        <v>0</v>
      </c>
      <c r="BQ27" s="26"/>
      <c r="BR27" s="26"/>
      <c r="BS27" s="81" t="n">
        <f aca="false">BR27-BQ27</f>
        <v>0</v>
      </c>
      <c r="BT27" s="26"/>
      <c r="BU27" s="26"/>
      <c r="BV27" s="81" t="n">
        <f aca="false">BU27-BT27</f>
        <v>0</v>
      </c>
      <c r="BW27" s="26"/>
      <c r="BX27" s="26"/>
      <c r="BY27" s="81" t="n">
        <f aca="false">BX27-BW27</f>
        <v>0</v>
      </c>
      <c r="BZ27" s="26"/>
      <c r="CA27" s="26"/>
      <c r="CB27" s="81" t="n">
        <f aca="false">CA27-BZ27</f>
        <v>0</v>
      </c>
      <c r="CC27" s="26"/>
      <c r="CD27" s="26"/>
      <c r="CE27" s="81" t="n">
        <f aca="false">CD27-CC27</f>
        <v>0</v>
      </c>
      <c r="CF27" s="26"/>
      <c r="CG27" s="26"/>
      <c r="CH27" s="81" t="n">
        <f aca="false">CG27-CF27</f>
        <v>0</v>
      </c>
      <c r="CI27" s="26"/>
      <c r="CJ27" s="26"/>
      <c r="CK27" s="81" t="n">
        <f aca="false">CJ27-CI27</f>
        <v>0</v>
      </c>
      <c r="CL27" s="26"/>
      <c r="CM27" s="26"/>
      <c r="CN27" s="81" t="n">
        <f aca="false">CM27-CL27</f>
        <v>0</v>
      </c>
      <c r="CO27" s="26"/>
      <c r="CP27" s="26"/>
      <c r="CQ27" s="81" t="n">
        <f aca="false">CP27-CO27</f>
        <v>0</v>
      </c>
      <c r="CR27" s="26"/>
      <c r="CS27" s="26"/>
      <c r="CT27" s="81" t="n">
        <f aca="false">CS27-CR27</f>
        <v>0</v>
      </c>
      <c r="CU27" s="26"/>
      <c r="CV27" s="26"/>
      <c r="CW27" s="81" t="n">
        <f aca="false">CV27-CU27</f>
        <v>0</v>
      </c>
      <c r="CX27" s="26"/>
      <c r="CY27" s="26"/>
      <c r="CZ27" s="81" t="n">
        <f aca="false">CY27-CX27</f>
        <v>0</v>
      </c>
      <c r="DA27" s="26"/>
      <c r="DB27" s="26"/>
      <c r="DC27" s="81" t="n">
        <f aca="false">DB27-DA27</f>
        <v>0</v>
      </c>
      <c r="DD27" s="26"/>
      <c r="DE27" s="26"/>
      <c r="DF27" s="81" t="n">
        <f aca="false">DE27-DD27</f>
        <v>0</v>
      </c>
      <c r="DG27" s="26"/>
      <c r="DH27" s="26"/>
      <c r="DI27" s="81" t="n">
        <f aca="false">DH27-DG27</f>
        <v>0</v>
      </c>
      <c r="DJ27" s="26"/>
      <c r="DK27" s="26"/>
      <c r="DL27" s="81" t="n">
        <f aca="false">DK27-DJ27</f>
        <v>0</v>
      </c>
      <c r="DM27" s="26"/>
      <c r="DN27" s="26"/>
      <c r="DO27" s="81" t="n">
        <f aca="false">DN27-DM27</f>
        <v>0</v>
      </c>
      <c r="DP27" s="26"/>
      <c r="DQ27" s="26"/>
      <c r="DR27" s="81" t="n">
        <f aca="false">DQ27-DP27</f>
        <v>0</v>
      </c>
      <c r="DS27" s="81" t="n">
        <f aca="false">+C27+F27+I27+L27+O27+R27+U27+X27+AA27+AD27+AG27+AJ27+AM27+AP27+AS27+AV27+AY27+BB27+BE27+BH27+BK27+BN27+BQ27+BT27+BW27+BZ27+CC27+CF27+CI27+CL27+CO27+CR27+CU27+CX27+DA27+DD27+DG27+DJ27+DM27+DP27</f>
        <v>32000</v>
      </c>
      <c r="DT27" s="81" t="n">
        <f aca="false">+D27+G27+J27+M27+P27+S27+V27+Y27+AB27+AE27+AH27+AK27+AN27+AQ27+AT27+AW27+AZ27+BC27+BF27+BI27+BL27+BO27+BR27+BU27+BX27+CA27+CD27+CG27+CJ27+CM27+CP27+CS27+CV27+CY27+DB27+DE27+DH27+DK27+DN27+DQ27</f>
        <v>32000</v>
      </c>
      <c r="DU27" s="81" t="n">
        <f aca="false">DT27-DS27</f>
        <v>0</v>
      </c>
      <c r="DV27" s="111"/>
      <c r="DW27" s="87"/>
      <c r="DX27" s="87"/>
      <c r="DY27" s="111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</row>
    <row r="28" customFormat="false" ht="12.75" hidden="false" customHeight="false" outlineLevel="0" collapsed="false">
      <c r="A28" s="80" t="n">
        <f aca="false">+BaseloadMarkets!A28</f>
        <v>36730</v>
      </c>
      <c r="B28" s="80" t="str">
        <f aca="false">+BaseloadMarkets!B28</f>
        <v>Sun</v>
      </c>
      <c r="C28" s="26"/>
      <c r="D28" s="26"/>
      <c r="E28" s="81" t="n">
        <f aca="false">D28-C28</f>
        <v>0</v>
      </c>
      <c r="F28" s="26"/>
      <c r="G28" s="26"/>
      <c r="H28" s="81" t="n">
        <f aca="false">G28-F28</f>
        <v>0</v>
      </c>
      <c r="I28" s="26"/>
      <c r="J28" s="26"/>
      <c r="K28" s="81" t="n">
        <f aca="false">J28-I28</f>
        <v>0</v>
      </c>
      <c r="L28" s="26"/>
      <c r="M28" s="26"/>
      <c r="N28" s="81" t="n">
        <f aca="false">M28-L28</f>
        <v>0</v>
      </c>
      <c r="O28" s="26"/>
      <c r="P28" s="26"/>
      <c r="Q28" s="81" t="n">
        <f aca="false">P28-O28</f>
        <v>0</v>
      </c>
      <c r="R28" s="26"/>
      <c r="S28" s="26"/>
      <c r="T28" s="81" t="n">
        <f aca="false">S28-R28</f>
        <v>0</v>
      </c>
      <c r="U28" s="26"/>
      <c r="V28" s="26"/>
      <c r="W28" s="81" t="n">
        <f aca="false">V28-U28</f>
        <v>0</v>
      </c>
      <c r="X28" s="26"/>
      <c r="Y28" s="26"/>
      <c r="Z28" s="81" t="n">
        <f aca="false">Y28-X28</f>
        <v>0</v>
      </c>
      <c r="AA28" s="26" t="n">
        <v>14000</v>
      </c>
      <c r="AB28" s="26" t="n">
        <v>14000</v>
      </c>
      <c r="AC28" s="81" t="n">
        <f aca="false">AB28-AA28</f>
        <v>0</v>
      </c>
      <c r="AD28" s="26" t="n">
        <v>18000</v>
      </c>
      <c r="AE28" s="26" t="n">
        <v>18000</v>
      </c>
      <c r="AF28" s="81" t="n">
        <f aca="false">AE28-AD28</f>
        <v>0</v>
      </c>
      <c r="AG28" s="26"/>
      <c r="AH28" s="26"/>
      <c r="AI28" s="81" t="n">
        <f aca="false">AH28-AG28</f>
        <v>0</v>
      </c>
      <c r="AJ28" s="26"/>
      <c r="AK28" s="26"/>
      <c r="AL28" s="81" t="n">
        <f aca="false">AK28-AJ28</f>
        <v>0</v>
      </c>
      <c r="AM28" s="26"/>
      <c r="AN28" s="26"/>
      <c r="AO28" s="81" t="n">
        <f aca="false">AN28-AM28</f>
        <v>0</v>
      </c>
      <c r="AP28" s="26"/>
      <c r="AQ28" s="26"/>
      <c r="AR28" s="81" t="n">
        <f aca="false">AQ28-AP28</f>
        <v>0</v>
      </c>
      <c r="AS28" s="26"/>
      <c r="AT28" s="26"/>
      <c r="AU28" s="81" t="n">
        <f aca="false">AT28-AS28</f>
        <v>0</v>
      </c>
      <c r="AV28" s="26"/>
      <c r="AW28" s="26"/>
      <c r="AX28" s="81" t="n">
        <f aca="false">AW28-AV28</f>
        <v>0</v>
      </c>
      <c r="AY28" s="26"/>
      <c r="AZ28" s="26"/>
      <c r="BA28" s="81" t="n">
        <f aca="false">AZ28-AY28</f>
        <v>0</v>
      </c>
      <c r="BB28" s="26"/>
      <c r="BC28" s="26"/>
      <c r="BD28" s="81" t="n">
        <f aca="false">BC28-BB28</f>
        <v>0</v>
      </c>
      <c r="BE28" s="26"/>
      <c r="BF28" s="26"/>
      <c r="BG28" s="81" t="n">
        <f aca="false">BF28-BE28</f>
        <v>0</v>
      </c>
      <c r="BH28" s="26"/>
      <c r="BI28" s="26"/>
      <c r="BJ28" s="81" t="n">
        <f aca="false">BI28-BH28</f>
        <v>0</v>
      </c>
      <c r="BK28" s="26"/>
      <c r="BL28" s="26"/>
      <c r="BM28" s="81" t="n">
        <f aca="false">BL28-BK28</f>
        <v>0</v>
      </c>
      <c r="BN28" s="26"/>
      <c r="BO28" s="26"/>
      <c r="BP28" s="81" t="n">
        <f aca="false">BO28-BN28</f>
        <v>0</v>
      </c>
      <c r="BQ28" s="26"/>
      <c r="BR28" s="26"/>
      <c r="BS28" s="81" t="n">
        <f aca="false">BR28-BQ28</f>
        <v>0</v>
      </c>
      <c r="BT28" s="26"/>
      <c r="BU28" s="26"/>
      <c r="BV28" s="81" t="n">
        <f aca="false">BU28-BT28</f>
        <v>0</v>
      </c>
      <c r="BW28" s="26"/>
      <c r="BX28" s="26"/>
      <c r="BY28" s="81" t="n">
        <f aca="false">BX28-BW28</f>
        <v>0</v>
      </c>
      <c r="BZ28" s="26"/>
      <c r="CA28" s="26"/>
      <c r="CB28" s="81" t="n">
        <f aca="false">CA28-BZ28</f>
        <v>0</v>
      </c>
      <c r="CC28" s="26"/>
      <c r="CD28" s="26"/>
      <c r="CE28" s="81" t="n">
        <f aca="false">CD28-CC28</f>
        <v>0</v>
      </c>
      <c r="CF28" s="26"/>
      <c r="CG28" s="26"/>
      <c r="CH28" s="81" t="n">
        <f aca="false">CG28-CF28</f>
        <v>0</v>
      </c>
      <c r="CI28" s="26"/>
      <c r="CJ28" s="26"/>
      <c r="CK28" s="81" t="n">
        <f aca="false">CJ28-CI28</f>
        <v>0</v>
      </c>
      <c r="CL28" s="26"/>
      <c r="CM28" s="26"/>
      <c r="CN28" s="81" t="n">
        <f aca="false">CM28-CL28</f>
        <v>0</v>
      </c>
      <c r="CO28" s="26"/>
      <c r="CP28" s="26"/>
      <c r="CQ28" s="81" t="n">
        <f aca="false">CP28-CO28</f>
        <v>0</v>
      </c>
      <c r="CR28" s="26"/>
      <c r="CS28" s="26"/>
      <c r="CT28" s="81" t="n">
        <f aca="false">CS28-CR28</f>
        <v>0</v>
      </c>
      <c r="CU28" s="26"/>
      <c r="CV28" s="26"/>
      <c r="CW28" s="81" t="n">
        <f aca="false">CV28-CU28</f>
        <v>0</v>
      </c>
      <c r="CX28" s="26"/>
      <c r="CY28" s="26"/>
      <c r="CZ28" s="81" t="n">
        <f aca="false">CY28-CX28</f>
        <v>0</v>
      </c>
      <c r="DA28" s="26"/>
      <c r="DB28" s="26"/>
      <c r="DC28" s="81" t="n">
        <f aca="false">DB28-DA28</f>
        <v>0</v>
      </c>
      <c r="DD28" s="26"/>
      <c r="DE28" s="26"/>
      <c r="DF28" s="81" t="n">
        <f aca="false">DE28-DD28</f>
        <v>0</v>
      </c>
      <c r="DG28" s="26"/>
      <c r="DH28" s="26"/>
      <c r="DI28" s="81" t="n">
        <f aca="false">DH28-DG28</f>
        <v>0</v>
      </c>
      <c r="DJ28" s="26"/>
      <c r="DK28" s="26"/>
      <c r="DL28" s="81" t="n">
        <f aca="false">DK28-DJ28</f>
        <v>0</v>
      </c>
      <c r="DM28" s="26"/>
      <c r="DN28" s="26"/>
      <c r="DO28" s="81" t="n">
        <f aca="false">DN28-DM28</f>
        <v>0</v>
      </c>
      <c r="DP28" s="26"/>
      <c r="DQ28" s="26"/>
      <c r="DR28" s="81" t="n">
        <f aca="false">DQ28-DP28</f>
        <v>0</v>
      </c>
      <c r="DS28" s="81" t="n">
        <f aca="false">+C28+F28+I28+L28+O28+R28+U28+X28+AA28+AD28+AG28+AJ28+AM28+AP28+AS28+AV28+AY28+BB28+BE28+BH28+BK28+BN28+BQ28+BT28+BW28+BZ28+CC28+CF28+CI28+CL28+CO28+CR28+CU28+CX28+DA28+DD28+DG28+DJ28+DM28+DP28</f>
        <v>32000</v>
      </c>
      <c r="DT28" s="81" t="n">
        <f aca="false">+D28+G28+J28+M28+P28+S28+V28+Y28+AB28+AE28+AH28+AK28+AN28+AQ28+AT28+AW28+AZ28+BC28+BF28+BI28+BL28+BO28+BR28+BU28+BX28+CA28+CD28+CG28+CJ28+CM28+CP28+CS28+CV28+CY28+DB28+DE28+DH28+DK28+DN28+DQ28</f>
        <v>32000</v>
      </c>
      <c r="DU28" s="81" t="n">
        <f aca="false">DT28-DS28</f>
        <v>0</v>
      </c>
      <c r="DV28" s="111"/>
      <c r="DW28" s="87"/>
      <c r="DX28" s="87"/>
      <c r="DY28" s="111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</row>
    <row r="29" customFormat="false" ht="12.75" hidden="false" customHeight="false" outlineLevel="0" collapsed="false">
      <c r="A29" s="80" t="n">
        <f aca="false">+BaseloadMarkets!A29</f>
        <v>36731</v>
      </c>
      <c r="B29" s="80" t="str">
        <f aca="false">+BaseloadMarkets!B29</f>
        <v>Mon</v>
      </c>
      <c r="C29" s="26"/>
      <c r="D29" s="26"/>
      <c r="E29" s="81" t="n">
        <f aca="false">D29-C29</f>
        <v>0</v>
      </c>
      <c r="F29" s="26"/>
      <c r="G29" s="26"/>
      <c r="H29" s="81" t="n">
        <f aca="false">G29-F29</f>
        <v>0</v>
      </c>
      <c r="I29" s="26"/>
      <c r="J29" s="26"/>
      <c r="K29" s="81" t="n">
        <f aca="false">J29-I29</f>
        <v>0</v>
      </c>
      <c r="L29" s="26"/>
      <c r="M29" s="26"/>
      <c r="N29" s="81" t="n">
        <f aca="false">M29-L29</f>
        <v>0</v>
      </c>
      <c r="O29" s="26"/>
      <c r="P29" s="26"/>
      <c r="Q29" s="81" t="n">
        <f aca="false">P29-O29</f>
        <v>0</v>
      </c>
      <c r="R29" s="26"/>
      <c r="S29" s="26"/>
      <c r="T29" s="81" t="n">
        <f aca="false">S29-R29</f>
        <v>0</v>
      </c>
      <c r="U29" s="26"/>
      <c r="V29" s="26"/>
      <c r="W29" s="81" t="n">
        <f aca="false">V29-U29</f>
        <v>0</v>
      </c>
      <c r="X29" s="26"/>
      <c r="Y29" s="26"/>
      <c r="Z29" s="81" t="n">
        <f aca="false">Y29-X29</f>
        <v>0</v>
      </c>
      <c r="AA29" s="26" t="n">
        <v>14000</v>
      </c>
      <c r="AB29" s="26" t="n">
        <v>14000</v>
      </c>
      <c r="AC29" s="81" t="n">
        <f aca="false">AB29-AA29</f>
        <v>0</v>
      </c>
      <c r="AD29" s="26" t="n">
        <v>18000</v>
      </c>
      <c r="AE29" s="26" t="n">
        <v>18000</v>
      </c>
      <c r="AF29" s="81" t="n">
        <f aca="false">AE29-AD29</f>
        <v>0</v>
      </c>
      <c r="AG29" s="26"/>
      <c r="AH29" s="26"/>
      <c r="AI29" s="81" t="n">
        <f aca="false">AH29-AG29</f>
        <v>0</v>
      </c>
      <c r="AJ29" s="26"/>
      <c r="AK29" s="26"/>
      <c r="AL29" s="81" t="n">
        <f aca="false">AK29-AJ29</f>
        <v>0</v>
      </c>
      <c r="AM29" s="26"/>
      <c r="AN29" s="26"/>
      <c r="AO29" s="81" t="n">
        <f aca="false">AN29-AM29</f>
        <v>0</v>
      </c>
      <c r="AP29" s="26"/>
      <c r="AQ29" s="26"/>
      <c r="AR29" s="81" t="n">
        <f aca="false">AQ29-AP29</f>
        <v>0</v>
      </c>
      <c r="AS29" s="26"/>
      <c r="AT29" s="26"/>
      <c r="AU29" s="81" t="n">
        <f aca="false">AT29-AS29</f>
        <v>0</v>
      </c>
      <c r="AV29" s="26"/>
      <c r="AW29" s="26"/>
      <c r="AX29" s="81" t="n">
        <f aca="false">AW29-AV29</f>
        <v>0</v>
      </c>
      <c r="AY29" s="26"/>
      <c r="AZ29" s="26"/>
      <c r="BA29" s="81" t="n">
        <f aca="false">AZ29-AY29</f>
        <v>0</v>
      </c>
      <c r="BB29" s="26"/>
      <c r="BC29" s="26"/>
      <c r="BD29" s="81" t="n">
        <f aca="false">BC29-BB29</f>
        <v>0</v>
      </c>
      <c r="BE29" s="26"/>
      <c r="BF29" s="26"/>
      <c r="BG29" s="81" t="n">
        <f aca="false">BF29-BE29</f>
        <v>0</v>
      </c>
      <c r="BH29" s="26"/>
      <c r="BI29" s="26"/>
      <c r="BJ29" s="81" t="n">
        <f aca="false">BI29-BH29</f>
        <v>0</v>
      </c>
      <c r="BK29" s="26"/>
      <c r="BL29" s="26"/>
      <c r="BM29" s="81" t="n">
        <f aca="false">BL29-BK29</f>
        <v>0</v>
      </c>
      <c r="BN29" s="26"/>
      <c r="BO29" s="26"/>
      <c r="BP29" s="81" t="n">
        <f aca="false">BO29-BN29</f>
        <v>0</v>
      </c>
      <c r="BQ29" s="26"/>
      <c r="BR29" s="26"/>
      <c r="BS29" s="81" t="n">
        <f aca="false">BR29-BQ29</f>
        <v>0</v>
      </c>
      <c r="BT29" s="26"/>
      <c r="BU29" s="26"/>
      <c r="BV29" s="81" t="n">
        <f aca="false">BU29-BT29</f>
        <v>0</v>
      </c>
      <c r="BW29" s="26"/>
      <c r="BX29" s="26"/>
      <c r="BY29" s="81" t="n">
        <f aca="false">BX29-BW29</f>
        <v>0</v>
      </c>
      <c r="BZ29" s="26"/>
      <c r="CA29" s="26"/>
      <c r="CB29" s="81" t="n">
        <f aca="false">CA29-BZ29</f>
        <v>0</v>
      </c>
      <c r="CC29" s="26"/>
      <c r="CD29" s="26"/>
      <c r="CE29" s="81" t="n">
        <f aca="false">CD29-CC29</f>
        <v>0</v>
      </c>
      <c r="CF29" s="26"/>
      <c r="CG29" s="26"/>
      <c r="CH29" s="81" t="n">
        <f aca="false">CG29-CF29</f>
        <v>0</v>
      </c>
      <c r="CI29" s="26"/>
      <c r="CJ29" s="26"/>
      <c r="CK29" s="81" t="n">
        <f aca="false">CJ29-CI29</f>
        <v>0</v>
      </c>
      <c r="CL29" s="26"/>
      <c r="CM29" s="26"/>
      <c r="CN29" s="81" t="n">
        <f aca="false">CM29-CL29</f>
        <v>0</v>
      </c>
      <c r="CO29" s="26"/>
      <c r="CP29" s="26"/>
      <c r="CQ29" s="81" t="n">
        <f aca="false">CP29-CO29</f>
        <v>0</v>
      </c>
      <c r="CR29" s="26"/>
      <c r="CS29" s="26"/>
      <c r="CT29" s="81" t="n">
        <f aca="false">CS29-CR29</f>
        <v>0</v>
      </c>
      <c r="CU29" s="26"/>
      <c r="CV29" s="26"/>
      <c r="CW29" s="81" t="n">
        <f aca="false">CV29-CU29</f>
        <v>0</v>
      </c>
      <c r="CX29" s="26"/>
      <c r="CY29" s="26"/>
      <c r="CZ29" s="81" t="n">
        <f aca="false">CY29-CX29</f>
        <v>0</v>
      </c>
      <c r="DA29" s="26"/>
      <c r="DB29" s="26"/>
      <c r="DC29" s="81" t="n">
        <f aca="false">DB29-DA29</f>
        <v>0</v>
      </c>
      <c r="DD29" s="26"/>
      <c r="DE29" s="26"/>
      <c r="DF29" s="81" t="n">
        <f aca="false">DE29-DD29</f>
        <v>0</v>
      </c>
      <c r="DG29" s="26"/>
      <c r="DH29" s="26"/>
      <c r="DI29" s="81" t="n">
        <f aca="false">DH29-DG29</f>
        <v>0</v>
      </c>
      <c r="DJ29" s="26"/>
      <c r="DK29" s="26"/>
      <c r="DL29" s="81" t="n">
        <f aca="false">DK29-DJ29</f>
        <v>0</v>
      </c>
      <c r="DM29" s="26"/>
      <c r="DN29" s="26"/>
      <c r="DO29" s="81" t="n">
        <f aca="false">DN29-DM29</f>
        <v>0</v>
      </c>
      <c r="DP29" s="26"/>
      <c r="DQ29" s="26"/>
      <c r="DR29" s="81" t="n">
        <f aca="false">DQ29-DP29</f>
        <v>0</v>
      </c>
      <c r="DS29" s="81" t="n">
        <f aca="false">+C29+F29+I29+L29+O29+R29+U29+X29+AA29+AD29+AG29+AJ29+AM29+AP29+AS29+AV29+AY29+BB29+BE29+BH29+BK29+BN29+BQ29+BT29+BW29+BZ29+CC29+CF29+CI29+CL29+CO29+CR29+CU29+CX29+DA29+DD29+DG29+DJ29+DM29+DP29</f>
        <v>32000</v>
      </c>
      <c r="DT29" s="81" t="n">
        <f aca="false">+D29+G29+J29+M29+P29+S29+V29+Y29+AB29+AE29+AH29+AK29+AN29+AQ29+AT29+AW29+AZ29+BC29+BF29+BI29+BL29+BO29+BR29+BU29+BX29+CA29+CD29+CG29+CJ29+CM29+CP29+CS29+CV29+CY29+DB29+DE29+DH29+DK29+DN29+DQ29</f>
        <v>32000</v>
      </c>
      <c r="DU29" s="81" t="n">
        <f aca="false">DT29-DS29</f>
        <v>0</v>
      </c>
      <c r="DV29" s="111"/>
      <c r="DW29" s="87"/>
      <c r="DX29" s="87"/>
      <c r="DY29" s="111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</row>
    <row r="30" customFormat="false" ht="12.75" hidden="false" customHeight="false" outlineLevel="0" collapsed="false">
      <c r="A30" s="80" t="n">
        <f aca="false">+BaseloadMarkets!A30</f>
        <v>36732</v>
      </c>
      <c r="B30" s="80" t="str">
        <f aca="false">+BaseloadMarkets!B30</f>
        <v>Tues</v>
      </c>
      <c r="C30" s="26"/>
      <c r="D30" s="26"/>
      <c r="E30" s="81" t="n">
        <f aca="false">D30-C30</f>
        <v>0</v>
      </c>
      <c r="F30" s="26"/>
      <c r="G30" s="26"/>
      <c r="H30" s="81" t="n">
        <f aca="false">G30-F30</f>
        <v>0</v>
      </c>
      <c r="I30" s="26"/>
      <c r="J30" s="26"/>
      <c r="K30" s="81" t="n">
        <f aca="false">J30-I30</f>
        <v>0</v>
      </c>
      <c r="L30" s="26"/>
      <c r="M30" s="26"/>
      <c r="N30" s="81" t="n">
        <f aca="false">M30-L30</f>
        <v>0</v>
      </c>
      <c r="O30" s="26" t="n">
        <v>50000</v>
      </c>
      <c r="P30" s="26" t="n">
        <v>50000</v>
      </c>
      <c r="Q30" s="81" t="n">
        <f aca="false">P30-O30</f>
        <v>0</v>
      </c>
      <c r="R30" s="26"/>
      <c r="S30" s="26"/>
      <c r="T30" s="81" t="n">
        <f aca="false">S30-R30</f>
        <v>0</v>
      </c>
      <c r="U30" s="26"/>
      <c r="V30" s="26"/>
      <c r="W30" s="81" t="n">
        <f aca="false">V30-U30</f>
        <v>0</v>
      </c>
      <c r="X30" s="26"/>
      <c r="Y30" s="26"/>
      <c r="Z30" s="81" t="n">
        <f aca="false">Y30-X30</f>
        <v>0</v>
      </c>
      <c r="AA30" s="26"/>
      <c r="AB30" s="26"/>
      <c r="AC30" s="81" t="n">
        <f aca="false">AB30-AA30</f>
        <v>0</v>
      </c>
      <c r="AD30" s="26"/>
      <c r="AE30" s="26"/>
      <c r="AF30" s="81" t="n">
        <f aca="false">AE30-AD30</f>
        <v>0</v>
      </c>
      <c r="AG30" s="26" t="n">
        <v>24000</v>
      </c>
      <c r="AH30" s="26" t="n">
        <v>24000</v>
      </c>
      <c r="AI30" s="81" t="n">
        <f aca="false">AH30-AG30</f>
        <v>0</v>
      </c>
      <c r="AJ30" s="26"/>
      <c r="AK30" s="26"/>
      <c r="AL30" s="81" t="n">
        <f aca="false">AK30-AJ30</f>
        <v>0</v>
      </c>
      <c r="AM30" s="26"/>
      <c r="AN30" s="26"/>
      <c r="AO30" s="81" t="n">
        <f aca="false">AN30-AM30</f>
        <v>0</v>
      </c>
      <c r="AP30" s="26"/>
      <c r="AQ30" s="26"/>
      <c r="AR30" s="81" t="n">
        <f aca="false">AQ30-AP30</f>
        <v>0</v>
      </c>
      <c r="AS30" s="26"/>
      <c r="AT30" s="26"/>
      <c r="AU30" s="81" t="n">
        <f aca="false">AT30-AS30</f>
        <v>0</v>
      </c>
      <c r="AV30" s="26"/>
      <c r="AW30" s="26"/>
      <c r="AX30" s="81" t="n">
        <f aca="false">AW30-AV30</f>
        <v>0</v>
      </c>
      <c r="AY30" s="26"/>
      <c r="AZ30" s="26"/>
      <c r="BA30" s="81" t="n">
        <f aca="false">AZ30-AY30</f>
        <v>0</v>
      </c>
      <c r="BB30" s="26"/>
      <c r="BC30" s="26"/>
      <c r="BD30" s="81" t="n">
        <f aca="false">BC30-BB30</f>
        <v>0</v>
      </c>
      <c r="BE30" s="26"/>
      <c r="BF30" s="26"/>
      <c r="BG30" s="81" t="n">
        <f aca="false">BF30-BE30</f>
        <v>0</v>
      </c>
      <c r="BH30" s="26"/>
      <c r="BI30" s="26"/>
      <c r="BJ30" s="81" t="n">
        <f aca="false">BI30-BH30</f>
        <v>0</v>
      </c>
      <c r="BK30" s="26"/>
      <c r="BL30" s="26"/>
      <c r="BM30" s="81" t="n">
        <f aca="false">BL30-BK30</f>
        <v>0</v>
      </c>
      <c r="BN30" s="26"/>
      <c r="BO30" s="26"/>
      <c r="BP30" s="81" t="n">
        <f aca="false">BO30-BN30</f>
        <v>0</v>
      </c>
      <c r="BQ30" s="26"/>
      <c r="BR30" s="26"/>
      <c r="BS30" s="81" t="n">
        <f aca="false">BR30-BQ30</f>
        <v>0</v>
      </c>
      <c r="BT30" s="26"/>
      <c r="BU30" s="26"/>
      <c r="BV30" s="81" t="n">
        <f aca="false">BU30-BT30</f>
        <v>0</v>
      </c>
      <c r="BW30" s="26"/>
      <c r="BX30" s="26"/>
      <c r="BY30" s="81" t="n">
        <f aca="false">BX30-BW30</f>
        <v>0</v>
      </c>
      <c r="BZ30" s="26"/>
      <c r="CA30" s="26"/>
      <c r="CB30" s="81" t="n">
        <f aca="false">CA30-BZ30</f>
        <v>0</v>
      </c>
      <c r="CC30" s="26"/>
      <c r="CD30" s="26"/>
      <c r="CE30" s="81" t="n">
        <f aca="false">CD30-CC30</f>
        <v>0</v>
      </c>
      <c r="CF30" s="26"/>
      <c r="CG30" s="26"/>
      <c r="CH30" s="81" t="n">
        <f aca="false">CG30-CF30</f>
        <v>0</v>
      </c>
      <c r="CI30" s="26"/>
      <c r="CJ30" s="26"/>
      <c r="CK30" s="81" t="n">
        <f aca="false">CJ30-CI30</f>
        <v>0</v>
      </c>
      <c r="CL30" s="26"/>
      <c r="CM30" s="26"/>
      <c r="CN30" s="81" t="n">
        <f aca="false">CM30-CL30</f>
        <v>0</v>
      </c>
      <c r="CO30" s="26"/>
      <c r="CP30" s="26"/>
      <c r="CQ30" s="81" t="n">
        <f aca="false">CP30-CO30</f>
        <v>0</v>
      </c>
      <c r="CR30" s="26"/>
      <c r="CS30" s="26"/>
      <c r="CT30" s="81" t="n">
        <f aca="false">CS30-CR30</f>
        <v>0</v>
      </c>
      <c r="CU30" s="26"/>
      <c r="CV30" s="26"/>
      <c r="CW30" s="81" t="n">
        <f aca="false">CV30-CU30</f>
        <v>0</v>
      </c>
      <c r="CX30" s="26"/>
      <c r="CY30" s="26"/>
      <c r="CZ30" s="81" t="n">
        <f aca="false">CY30-CX30</f>
        <v>0</v>
      </c>
      <c r="DA30" s="26"/>
      <c r="DB30" s="26"/>
      <c r="DC30" s="81" t="n">
        <f aca="false">DB30-DA30</f>
        <v>0</v>
      </c>
      <c r="DD30" s="26"/>
      <c r="DE30" s="26"/>
      <c r="DF30" s="81" t="n">
        <f aca="false">DE30-DD30</f>
        <v>0</v>
      </c>
      <c r="DG30" s="26"/>
      <c r="DH30" s="26"/>
      <c r="DI30" s="81" t="n">
        <f aca="false">DH30-DG30</f>
        <v>0</v>
      </c>
      <c r="DJ30" s="26"/>
      <c r="DK30" s="26"/>
      <c r="DL30" s="81" t="n">
        <f aca="false">DK30-DJ30</f>
        <v>0</v>
      </c>
      <c r="DM30" s="26"/>
      <c r="DN30" s="26"/>
      <c r="DO30" s="81" t="n">
        <f aca="false">DN30-DM30</f>
        <v>0</v>
      </c>
      <c r="DP30" s="26"/>
      <c r="DQ30" s="26"/>
      <c r="DR30" s="81" t="n">
        <f aca="false">DQ30-DP30</f>
        <v>0</v>
      </c>
      <c r="DS30" s="81" t="n">
        <f aca="false">+C30+F30+I30+L30+O30+R30+U30+X30+AA30+AD30+AG30+AJ30+AM30+AP30+AS30+AV30+AY30+BB30+BE30+BH30+BK30+BN30+BQ30+BT30+BW30+BZ30+CC30+CF30+CI30+CL30+CO30+CR30+CU30+CX30+DA30+DD30+DG30+DJ30+DM30+DP30</f>
        <v>74000</v>
      </c>
      <c r="DT30" s="81" t="n">
        <f aca="false">+D30+G30+J30+M30+P30+S30+V30+Y30+AB30+AE30+AH30+AK30+AN30+AQ30+AT30+AW30+AZ30+BC30+BF30+BI30+BL30+BO30+BR30+BU30+BX30+CA30+CD30+CG30+CJ30+CM30+CP30+CS30+CV30+CY30+DB30+DE30+DH30+DK30+DN30+DQ30</f>
        <v>74000</v>
      </c>
      <c r="DU30" s="81" t="n">
        <f aca="false">DT30-DS30</f>
        <v>0</v>
      </c>
      <c r="DV30" s="111"/>
      <c r="DW30" s="87"/>
      <c r="DX30" s="87"/>
      <c r="DY30" s="111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</row>
    <row r="31" customFormat="false" ht="12.75" hidden="false" customHeight="false" outlineLevel="0" collapsed="false">
      <c r="A31" s="80" t="n">
        <f aca="false">+BaseloadMarkets!A31</f>
        <v>36733</v>
      </c>
      <c r="B31" s="80" t="str">
        <f aca="false">+BaseloadMarkets!B31</f>
        <v>Wed</v>
      </c>
      <c r="C31" s="26"/>
      <c r="D31" s="26"/>
      <c r="E31" s="81" t="n">
        <f aca="false">D31-C31</f>
        <v>0</v>
      </c>
      <c r="F31" s="26"/>
      <c r="G31" s="26"/>
      <c r="H31" s="81" t="n">
        <f aca="false">G31-F31</f>
        <v>0</v>
      </c>
      <c r="I31" s="26"/>
      <c r="J31" s="26"/>
      <c r="K31" s="81" t="n">
        <f aca="false">J31-I31</f>
        <v>0</v>
      </c>
      <c r="L31" s="26"/>
      <c r="M31" s="26"/>
      <c r="N31" s="81" t="n">
        <f aca="false">M31-L31</f>
        <v>0</v>
      </c>
      <c r="O31" s="26" t="n">
        <f aca="false">30000+20000+15000</f>
        <v>65000</v>
      </c>
      <c r="P31" s="26" t="n">
        <v>65000</v>
      </c>
      <c r="Q31" s="81" t="n">
        <f aca="false">P31-O31</f>
        <v>0</v>
      </c>
      <c r="R31" s="26"/>
      <c r="S31" s="26"/>
      <c r="T31" s="81" t="n">
        <f aca="false">S31-R31</f>
        <v>0</v>
      </c>
      <c r="U31" s="26"/>
      <c r="V31" s="26"/>
      <c r="W31" s="81" t="n">
        <f aca="false">V31-U31</f>
        <v>0</v>
      </c>
      <c r="X31" s="26"/>
      <c r="Y31" s="26"/>
      <c r="Z31" s="81" t="n">
        <f aca="false">Y31-X31</f>
        <v>0</v>
      </c>
      <c r="AA31" s="26"/>
      <c r="AB31" s="26"/>
      <c r="AC31" s="81" t="n">
        <f aca="false">AB31-AA31</f>
        <v>0</v>
      </c>
      <c r="AD31" s="26"/>
      <c r="AE31" s="26"/>
      <c r="AF31" s="81" t="n">
        <f aca="false">AE31-AD31</f>
        <v>0</v>
      </c>
      <c r="AG31" s="26"/>
      <c r="AH31" s="26"/>
      <c r="AI31" s="81" t="n">
        <f aca="false">AH31-AG31</f>
        <v>0</v>
      </c>
      <c r="AJ31" s="26"/>
      <c r="AK31" s="26"/>
      <c r="AL31" s="81" t="n">
        <f aca="false">AK31-AJ31</f>
        <v>0</v>
      </c>
      <c r="AM31" s="26"/>
      <c r="AN31" s="26"/>
      <c r="AO31" s="81" t="n">
        <f aca="false">AN31-AM31</f>
        <v>0</v>
      </c>
      <c r="AP31" s="26"/>
      <c r="AQ31" s="26"/>
      <c r="AR31" s="81" t="n">
        <f aca="false">AQ31-AP31</f>
        <v>0</v>
      </c>
      <c r="AS31" s="26"/>
      <c r="AT31" s="26"/>
      <c r="AU31" s="81" t="n">
        <f aca="false">AT31-AS31</f>
        <v>0</v>
      </c>
      <c r="AV31" s="26"/>
      <c r="AW31" s="26"/>
      <c r="AX31" s="81" t="n">
        <f aca="false">AW31-AV31</f>
        <v>0</v>
      </c>
      <c r="AY31" s="26"/>
      <c r="AZ31" s="26"/>
      <c r="BA31" s="81" t="n">
        <f aca="false">AZ31-AY31</f>
        <v>0</v>
      </c>
      <c r="BB31" s="26"/>
      <c r="BC31" s="26"/>
      <c r="BD31" s="81" t="n">
        <f aca="false">BC31-BB31</f>
        <v>0</v>
      </c>
      <c r="BE31" s="26"/>
      <c r="BF31" s="26"/>
      <c r="BG31" s="81" t="n">
        <f aca="false">BF31-BE31</f>
        <v>0</v>
      </c>
      <c r="BH31" s="26"/>
      <c r="BI31" s="26"/>
      <c r="BJ31" s="81" t="n">
        <f aca="false">BI31-BH31</f>
        <v>0</v>
      </c>
      <c r="BK31" s="26"/>
      <c r="BL31" s="26"/>
      <c r="BM31" s="81" t="n">
        <f aca="false">BL31-BK31</f>
        <v>0</v>
      </c>
      <c r="BN31" s="26"/>
      <c r="BO31" s="26"/>
      <c r="BP31" s="81" t="n">
        <f aca="false">BO31-BN31</f>
        <v>0</v>
      </c>
      <c r="BQ31" s="26"/>
      <c r="BR31" s="26"/>
      <c r="BS31" s="81" t="n">
        <f aca="false">BR31-BQ31</f>
        <v>0</v>
      </c>
      <c r="BT31" s="26"/>
      <c r="BU31" s="26"/>
      <c r="BV31" s="81" t="n">
        <f aca="false">BU31-BT31</f>
        <v>0</v>
      </c>
      <c r="BW31" s="26"/>
      <c r="BX31" s="26"/>
      <c r="BY31" s="81" t="n">
        <f aca="false">BX31-BW31</f>
        <v>0</v>
      </c>
      <c r="BZ31" s="26"/>
      <c r="CA31" s="26"/>
      <c r="CB31" s="81" t="n">
        <f aca="false">CA31-BZ31</f>
        <v>0</v>
      </c>
      <c r="CC31" s="26"/>
      <c r="CD31" s="26"/>
      <c r="CE31" s="81" t="n">
        <f aca="false">CD31-CC31</f>
        <v>0</v>
      </c>
      <c r="CF31" s="26"/>
      <c r="CG31" s="26"/>
      <c r="CH31" s="81" t="n">
        <f aca="false">CG31-CF31</f>
        <v>0</v>
      </c>
      <c r="CI31" s="26"/>
      <c r="CJ31" s="26"/>
      <c r="CK31" s="81" t="n">
        <f aca="false">CJ31-CI31</f>
        <v>0</v>
      </c>
      <c r="CL31" s="26"/>
      <c r="CM31" s="26"/>
      <c r="CN31" s="81" t="n">
        <f aca="false">CM31-CL31</f>
        <v>0</v>
      </c>
      <c r="CO31" s="26"/>
      <c r="CP31" s="26"/>
      <c r="CQ31" s="81" t="n">
        <f aca="false">CP31-CO31</f>
        <v>0</v>
      </c>
      <c r="CR31" s="26"/>
      <c r="CS31" s="26"/>
      <c r="CT31" s="81" t="n">
        <f aca="false">CS31-CR31</f>
        <v>0</v>
      </c>
      <c r="CU31" s="26"/>
      <c r="CV31" s="26"/>
      <c r="CW31" s="81" t="n">
        <f aca="false">CV31-CU31</f>
        <v>0</v>
      </c>
      <c r="CX31" s="26"/>
      <c r="CY31" s="26"/>
      <c r="CZ31" s="81" t="n">
        <f aca="false">CY31-CX31</f>
        <v>0</v>
      </c>
      <c r="DA31" s="26"/>
      <c r="DB31" s="26"/>
      <c r="DC31" s="81" t="n">
        <f aca="false">DB31-DA31</f>
        <v>0</v>
      </c>
      <c r="DD31" s="26"/>
      <c r="DE31" s="26"/>
      <c r="DF31" s="81" t="n">
        <f aca="false">DE31-DD31</f>
        <v>0</v>
      </c>
      <c r="DG31" s="26"/>
      <c r="DH31" s="26"/>
      <c r="DI31" s="81" t="n">
        <f aca="false">DH31-DG31</f>
        <v>0</v>
      </c>
      <c r="DJ31" s="26"/>
      <c r="DK31" s="26"/>
      <c r="DL31" s="81" t="n">
        <f aca="false">DK31-DJ31</f>
        <v>0</v>
      </c>
      <c r="DM31" s="26"/>
      <c r="DN31" s="26"/>
      <c r="DO31" s="81" t="n">
        <f aca="false">DN31-DM31</f>
        <v>0</v>
      </c>
      <c r="DP31" s="26"/>
      <c r="DQ31" s="26"/>
      <c r="DR31" s="81" t="n">
        <f aca="false">DQ31-DP31</f>
        <v>0</v>
      </c>
      <c r="DS31" s="81" t="n">
        <f aca="false">+C31+F31+I31+L31+O31+R31+U31+X31+AA31+AD31+AG31+AJ31+AM31+AP31+AS31+AV31+AY31+BB31+BE31+BH31+BK31+BN31+BQ31+BT31+BW31+BZ31+CC31+CF31+CI31+CL31+CO31+CR31+CU31+CX31+DA31+DD31+DG31+DJ31+DM31+DP31</f>
        <v>65000</v>
      </c>
      <c r="DT31" s="81" t="n">
        <f aca="false">+D31+G31+J31+M31+P31+S31+V31+Y31+AB31+AE31+AH31+AK31+AN31+AQ31+AT31+AW31+AZ31+BC31+BF31+BI31+BL31+BO31+BR31+BU31+BX31+CA31+CD31+CG31+CJ31+CM31+CP31+CS31+CV31+CY31+DB31+DE31+DH31+DK31+DN31+DQ31</f>
        <v>65000</v>
      </c>
      <c r="DU31" s="81" t="n">
        <f aca="false">DT31-DS31</f>
        <v>0</v>
      </c>
      <c r="DV31" s="111"/>
      <c r="DW31" s="87"/>
      <c r="DX31" s="87"/>
      <c r="DY31" s="111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</row>
    <row r="32" customFormat="false" ht="12.75" hidden="false" customHeight="false" outlineLevel="0" collapsed="false">
      <c r="A32" s="80" t="n">
        <f aca="false">+BaseloadMarkets!A32</f>
        <v>36734</v>
      </c>
      <c r="B32" s="80" t="str">
        <f aca="false">+BaseloadMarkets!B32</f>
        <v>Thu</v>
      </c>
      <c r="C32" s="26"/>
      <c r="D32" s="26"/>
      <c r="E32" s="81" t="n">
        <f aca="false">D32-C32</f>
        <v>0</v>
      </c>
      <c r="F32" s="26"/>
      <c r="G32" s="26"/>
      <c r="H32" s="81" t="n">
        <f aca="false">G32-F32</f>
        <v>0</v>
      </c>
      <c r="I32" s="26"/>
      <c r="J32" s="26"/>
      <c r="K32" s="81" t="n">
        <f aca="false">J32-I32</f>
        <v>0</v>
      </c>
      <c r="L32" s="26"/>
      <c r="M32" s="26"/>
      <c r="N32" s="81" t="n">
        <f aca="false">M32-L32</f>
        <v>0</v>
      </c>
      <c r="O32" s="26"/>
      <c r="P32" s="26"/>
      <c r="Q32" s="81" t="n">
        <f aca="false">P32-O32</f>
        <v>0</v>
      </c>
      <c r="R32" s="26"/>
      <c r="S32" s="26"/>
      <c r="T32" s="81" t="n">
        <f aca="false">S32-R32</f>
        <v>0</v>
      </c>
      <c r="U32" s="26"/>
      <c r="V32" s="26"/>
      <c r="W32" s="81" t="n">
        <f aca="false">V32-U32</f>
        <v>0</v>
      </c>
      <c r="X32" s="26"/>
      <c r="Y32" s="26"/>
      <c r="Z32" s="81" t="n">
        <f aca="false">Y32-X32</f>
        <v>0</v>
      </c>
      <c r="AA32" s="26"/>
      <c r="AB32" s="26"/>
      <c r="AC32" s="81" t="n">
        <f aca="false">AB32-AA32</f>
        <v>0</v>
      </c>
      <c r="AD32" s="26"/>
      <c r="AE32" s="26"/>
      <c r="AF32" s="81" t="n">
        <f aca="false">AE32-AD32</f>
        <v>0</v>
      </c>
      <c r="AG32" s="26"/>
      <c r="AH32" s="26"/>
      <c r="AI32" s="81" t="n">
        <f aca="false">AH32-AG32</f>
        <v>0</v>
      </c>
      <c r="AJ32" s="26" t="n">
        <v>20000</v>
      </c>
      <c r="AK32" s="26" t="n">
        <v>20000</v>
      </c>
      <c r="AL32" s="81" t="n">
        <f aca="false">AK32-AJ32</f>
        <v>0</v>
      </c>
      <c r="AM32" s="26"/>
      <c r="AN32" s="26"/>
      <c r="AO32" s="81" t="n">
        <f aca="false">AN32-AM32</f>
        <v>0</v>
      </c>
      <c r="AP32" s="26"/>
      <c r="AQ32" s="26"/>
      <c r="AR32" s="81" t="n">
        <f aca="false">AQ32-AP32</f>
        <v>0</v>
      </c>
      <c r="AS32" s="26"/>
      <c r="AT32" s="26"/>
      <c r="AU32" s="81" t="n">
        <f aca="false">AT32-AS32</f>
        <v>0</v>
      </c>
      <c r="AV32" s="26"/>
      <c r="AW32" s="26"/>
      <c r="AX32" s="81" t="n">
        <f aca="false">AW32-AV32</f>
        <v>0</v>
      </c>
      <c r="AY32" s="26"/>
      <c r="AZ32" s="26"/>
      <c r="BA32" s="81" t="n">
        <f aca="false">AZ32-AY32</f>
        <v>0</v>
      </c>
      <c r="BB32" s="26"/>
      <c r="BC32" s="26"/>
      <c r="BD32" s="81" t="n">
        <f aca="false">BC32-BB32</f>
        <v>0</v>
      </c>
      <c r="BE32" s="26"/>
      <c r="BF32" s="26"/>
      <c r="BG32" s="81" t="n">
        <f aca="false">BF32-BE32</f>
        <v>0</v>
      </c>
      <c r="BH32" s="26"/>
      <c r="BI32" s="26"/>
      <c r="BJ32" s="81" t="n">
        <f aca="false">BI32-BH32</f>
        <v>0</v>
      </c>
      <c r="BK32" s="26"/>
      <c r="BL32" s="26"/>
      <c r="BM32" s="81" t="n">
        <f aca="false">BL32-BK32</f>
        <v>0</v>
      </c>
      <c r="BN32" s="26"/>
      <c r="BO32" s="26"/>
      <c r="BP32" s="81" t="n">
        <f aca="false">BO32-BN32</f>
        <v>0</v>
      </c>
      <c r="BQ32" s="26"/>
      <c r="BR32" s="26"/>
      <c r="BS32" s="81" t="n">
        <f aca="false">BR32-BQ32</f>
        <v>0</v>
      </c>
      <c r="BT32" s="26"/>
      <c r="BU32" s="26"/>
      <c r="BV32" s="81" t="n">
        <f aca="false">BU32-BT32</f>
        <v>0</v>
      </c>
      <c r="BW32" s="26"/>
      <c r="BX32" s="26"/>
      <c r="BY32" s="81" t="n">
        <f aca="false">BX32-BW32</f>
        <v>0</v>
      </c>
      <c r="BZ32" s="26"/>
      <c r="CA32" s="26"/>
      <c r="CB32" s="81" t="n">
        <f aca="false">CA32-BZ32</f>
        <v>0</v>
      </c>
      <c r="CC32" s="26"/>
      <c r="CD32" s="26"/>
      <c r="CE32" s="81" t="n">
        <f aca="false">CD32-CC32</f>
        <v>0</v>
      </c>
      <c r="CF32" s="26"/>
      <c r="CG32" s="26"/>
      <c r="CH32" s="81" t="n">
        <f aca="false">CG32-CF32</f>
        <v>0</v>
      </c>
      <c r="CI32" s="26"/>
      <c r="CJ32" s="26"/>
      <c r="CK32" s="81" t="n">
        <f aca="false">CJ32-CI32</f>
        <v>0</v>
      </c>
      <c r="CL32" s="26"/>
      <c r="CM32" s="26"/>
      <c r="CN32" s="81" t="n">
        <f aca="false">CM32-CL32</f>
        <v>0</v>
      </c>
      <c r="CO32" s="26"/>
      <c r="CP32" s="26"/>
      <c r="CQ32" s="81" t="n">
        <f aca="false">CP32-CO32</f>
        <v>0</v>
      </c>
      <c r="CR32" s="26"/>
      <c r="CS32" s="26"/>
      <c r="CT32" s="81" t="n">
        <f aca="false">CS32-CR32</f>
        <v>0</v>
      </c>
      <c r="CU32" s="26"/>
      <c r="CV32" s="26"/>
      <c r="CW32" s="81" t="n">
        <f aca="false">CV32-CU32</f>
        <v>0</v>
      </c>
      <c r="CX32" s="26"/>
      <c r="CY32" s="26"/>
      <c r="CZ32" s="81" t="n">
        <f aca="false">CY32-CX32</f>
        <v>0</v>
      </c>
      <c r="DA32" s="26"/>
      <c r="DB32" s="26"/>
      <c r="DC32" s="81" t="n">
        <f aca="false">DB32-DA32</f>
        <v>0</v>
      </c>
      <c r="DD32" s="26"/>
      <c r="DE32" s="26"/>
      <c r="DF32" s="81" t="n">
        <f aca="false">DE32-DD32</f>
        <v>0</v>
      </c>
      <c r="DG32" s="26"/>
      <c r="DH32" s="26"/>
      <c r="DI32" s="81" t="n">
        <f aca="false">DH32-DG32</f>
        <v>0</v>
      </c>
      <c r="DJ32" s="26"/>
      <c r="DK32" s="26"/>
      <c r="DL32" s="81" t="n">
        <f aca="false">DK32-DJ32</f>
        <v>0</v>
      </c>
      <c r="DM32" s="26"/>
      <c r="DN32" s="26"/>
      <c r="DO32" s="81" t="n">
        <f aca="false">DN32-DM32</f>
        <v>0</v>
      </c>
      <c r="DP32" s="26"/>
      <c r="DQ32" s="26"/>
      <c r="DR32" s="81" t="n">
        <f aca="false">DQ32-DP32</f>
        <v>0</v>
      </c>
      <c r="DS32" s="81" t="n">
        <f aca="false">+C32+F32+I32+L32+O32+R32+U32+X32+AA32+AD32+AG32+AJ32+AM32+AP32+AS32+AV32+AY32+BB32+BE32+BH32+BK32+BN32+BQ32+BT32+BW32+BZ32+CC32+CF32+CI32+CL32+CO32+CR32+CU32+CX32+DA32+DD32+DG32+DJ32+DM32+DP32</f>
        <v>20000</v>
      </c>
      <c r="DT32" s="81" t="n">
        <f aca="false">+D32+G32+J32+M32+P32+S32+V32+Y32+AB32+AE32+AH32+AK32+AN32+AQ32+AT32+AW32+AZ32+BC32+BF32+BI32+BL32+BO32+BR32+BU32+BX32+CA32+CD32+CG32+CJ32+CM32+CP32+CS32+CV32+CY32+DB32+DE32+DH32+DK32+DN32+DQ32</f>
        <v>20000</v>
      </c>
      <c r="DU32" s="81" t="n">
        <f aca="false">DT32-DS32</f>
        <v>0</v>
      </c>
      <c r="DV32" s="111"/>
      <c r="DW32" s="87"/>
      <c r="DX32" s="87"/>
      <c r="DY32" s="111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</row>
    <row r="33" customFormat="false" ht="12.75" hidden="false" customHeight="false" outlineLevel="0" collapsed="false">
      <c r="A33" s="80" t="n">
        <f aca="false">+BaseloadMarkets!A33</f>
        <v>36735</v>
      </c>
      <c r="B33" s="80" t="str">
        <f aca="false">+BaseloadMarkets!B33</f>
        <v>Fri</v>
      </c>
      <c r="C33" s="26"/>
      <c r="D33" s="26"/>
      <c r="E33" s="81" t="n">
        <f aca="false">D33-C33</f>
        <v>0</v>
      </c>
      <c r="F33" s="26"/>
      <c r="G33" s="26"/>
      <c r="H33" s="81" t="n">
        <f aca="false">G33-F33</f>
        <v>0</v>
      </c>
      <c r="I33" s="26"/>
      <c r="J33" s="26"/>
      <c r="K33" s="81" t="n">
        <f aca="false">J33-I33</f>
        <v>0</v>
      </c>
      <c r="L33" s="26"/>
      <c r="M33" s="26"/>
      <c r="N33" s="81" t="n">
        <f aca="false">M33-L33</f>
        <v>0</v>
      </c>
      <c r="O33" s="26" t="n">
        <v>30000</v>
      </c>
      <c r="P33" s="26" t="n">
        <v>19500</v>
      </c>
      <c r="Q33" s="81" t="n">
        <f aca="false">P33-O33</f>
        <v>-10500</v>
      </c>
      <c r="R33" s="26"/>
      <c r="S33" s="26"/>
      <c r="T33" s="81" t="n">
        <f aca="false">S33-R33</f>
        <v>0</v>
      </c>
      <c r="U33" s="26"/>
      <c r="V33" s="26"/>
      <c r="W33" s="81" t="n">
        <f aca="false">V33-U33</f>
        <v>0</v>
      </c>
      <c r="X33" s="26"/>
      <c r="Y33" s="26"/>
      <c r="Z33" s="81" t="n">
        <f aca="false">Y33-X33</f>
        <v>0</v>
      </c>
      <c r="AA33" s="26"/>
      <c r="AB33" s="26"/>
      <c r="AC33" s="81" t="n">
        <f aca="false">AB33-AA33</f>
        <v>0</v>
      </c>
      <c r="AD33" s="26"/>
      <c r="AE33" s="26"/>
      <c r="AF33" s="81" t="n">
        <f aca="false">AE33-AD33</f>
        <v>0</v>
      </c>
      <c r="AG33" s="26"/>
      <c r="AH33" s="26"/>
      <c r="AI33" s="81" t="n">
        <f aca="false">AH33-AG33</f>
        <v>0</v>
      </c>
      <c r="AJ33" s="26"/>
      <c r="AK33" s="26"/>
      <c r="AL33" s="81" t="n">
        <f aca="false">AK33-AJ33</f>
        <v>0</v>
      </c>
      <c r="AM33" s="26" t="n">
        <v>15000</v>
      </c>
      <c r="AN33" s="26" t="n">
        <v>15000</v>
      </c>
      <c r="AO33" s="81" t="n">
        <f aca="false">AN33-AM33</f>
        <v>0</v>
      </c>
      <c r="AP33" s="26"/>
      <c r="AQ33" s="26"/>
      <c r="AR33" s="81" t="n">
        <f aca="false">AQ33-AP33</f>
        <v>0</v>
      </c>
      <c r="AS33" s="26"/>
      <c r="AT33" s="26"/>
      <c r="AU33" s="81" t="n">
        <f aca="false">AT33-AS33</f>
        <v>0</v>
      </c>
      <c r="AV33" s="26"/>
      <c r="AW33" s="26"/>
      <c r="AX33" s="81" t="n">
        <f aca="false">AW33-AV33</f>
        <v>0</v>
      </c>
      <c r="AY33" s="26"/>
      <c r="AZ33" s="26"/>
      <c r="BA33" s="81" t="n">
        <f aca="false">AZ33-AY33</f>
        <v>0</v>
      </c>
      <c r="BB33" s="26"/>
      <c r="BC33" s="26"/>
      <c r="BD33" s="81" t="n">
        <f aca="false">BC33-BB33</f>
        <v>0</v>
      </c>
      <c r="BE33" s="26"/>
      <c r="BF33" s="26"/>
      <c r="BG33" s="81" t="n">
        <f aca="false">BF33-BE33</f>
        <v>0</v>
      </c>
      <c r="BH33" s="26"/>
      <c r="BI33" s="26"/>
      <c r="BJ33" s="81" t="n">
        <f aca="false">BI33-BH33</f>
        <v>0</v>
      </c>
      <c r="BK33" s="26"/>
      <c r="BL33" s="26"/>
      <c r="BM33" s="81" t="n">
        <f aca="false">BL33-BK33</f>
        <v>0</v>
      </c>
      <c r="BN33" s="26"/>
      <c r="BO33" s="26"/>
      <c r="BP33" s="81" t="n">
        <f aca="false">BO33-BN33</f>
        <v>0</v>
      </c>
      <c r="BQ33" s="26"/>
      <c r="BR33" s="26"/>
      <c r="BS33" s="81" t="n">
        <f aca="false">BR33-BQ33</f>
        <v>0</v>
      </c>
      <c r="BT33" s="26"/>
      <c r="BU33" s="26"/>
      <c r="BV33" s="81" t="n">
        <f aca="false">BU33-BT33</f>
        <v>0</v>
      </c>
      <c r="BW33" s="26"/>
      <c r="BX33" s="26"/>
      <c r="BY33" s="81" t="n">
        <f aca="false">BX33-BW33</f>
        <v>0</v>
      </c>
      <c r="BZ33" s="26"/>
      <c r="CA33" s="26"/>
      <c r="CB33" s="81" t="n">
        <f aca="false">CA33-BZ33</f>
        <v>0</v>
      </c>
      <c r="CC33" s="26"/>
      <c r="CD33" s="26"/>
      <c r="CE33" s="81" t="n">
        <f aca="false">CD33-CC33</f>
        <v>0</v>
      </c>
      <c r="CF33" s="26"/>
      <c r="CG33" s="26"/>
      <c r="CH33" s="81" t="n">
        <f aca="false">CG33-CF33</f>
        <v>0</v>
      </c>
      <c r="CI33" s="26"/>
      <c r="CJ33" s="26"/>
      <c r="CK33" s="81" t="n">
        <f aca="false">CJ33-CI33</f>
        <v>0</v>
      </c>
      <c r="CL33" s="26"/>
      <c r="CM33" s="26"/>
      <c r="CN33" s="81" t="n">
        <f aca="false">CM33-CL33</f>
        <v>0</v>
      </c>
      <c r="CO33" s="26"/>
      <c r="CP33" s="26"/>
      <c r="CQ33" s="81" t="n">
        <f aca="false">CP33-CO33</f>
        <v>0</v>
      </c>
      <c r="CR33" s="26"/>
      <c r="CS33" s="26"/>
      <c r="CT33" s="81" t="n">
        <f aca="false">CS33-CR33</f>
        <v>0</v>
      </c>
      <c r="CU33" s="26"/>
      <c r="CV33" s="26"/>
      <c r="CW33" s="81" t="n">
        <f aca="false">CV33-CU33</f>
        <v>0</v>
      </c>
      <c r="CX33" s="26"/>
      <c r="CY33" s="26"/>
      <c r="CZ33" s="81" t="n">
        <f aca="false">CY33-CX33</f>
        <v>0</v>
      </c>
      <c r="DA33" s="26"/>
      <c r="DB33" s="26"/>
      <c r="DC33" s="81" t="n">
        <f aca="false">DB33-DA33</f>
        <v>0</v>
      </c>
      <c r="DD33" s="26"/>
      <c r="DE33" s="26"/>
      <c r="DF33" s="81" t="n">
        <f aca="false">DE33-DD33</f>
        <v>0</v>
      </c>
      <c r="DG33" s="26"/>
      <c r="DH33" s="26"/>
      <c r="DI33" s="81" t="n">
        <f aca="false">DH33-DG33</f>
        <v>0</v>
      </c>
      <c r="DJ33" s="26"/>
      <c r="DK33" s="26"/>
      <c r="DL33" s="81" t="n">
        <f aca="false">DK33-DJ33</f>
        <v>0</v>
      </c>
      <c r="DM33" s="26"/>
      <c r="DN33" s="26"/>
      <c r="DO33" s="81" t="n">
        <f aca="false">DN33-DM33</f>
        <v>0</v>
      </c>
      <c r="DP33" s="26"/>
      <c r="DQ33" s="26"/>
      <c r="DR33" s="81" t="n">
        <f aca="false">DQ33-DP33</f>
        <v>0</v>
      </c>
      <c r="DS33" s="81" t="n">
        <f aca="false">+C33+F33+I33+L33+O33+R33+U33+X33+AA33+AD33+AG33+AJ33+AM33+AP33+AS33+AV33+AY33+BB33+BE33+BH33+BK33+BN33+BQ33+BT33+BW33+BZ33+CC33+CF33+CI33+CL33+CO33+CR33+CU33+CX33+DA33+DD33+DG33+DJ33+DM33+DP33</f>
        <v>45000</v>
      </c>
      <c r="DT33" s="81" t="n">
        <f aca="false">+D33+G33+J33+M33+P33+S33+V33+Y33+AB33+AE33+AH33+AK33+AN33+AQ33+AT33+AW33+AZ33+BC33+BF33+BI33+BL33+BO33+BR33+BU33+BX33+CA33+CD33+CG33+CJ33+CM33+CP33+CS33+CV33+CY33+DB33+DE33+DH33+DK33+DN33+DQ33</f>
        <v>34500</v>
      </c>
      <c r="DU33" s="81" t="n">
        <f aca="false">DT33-DS33</f>
        <v>-10500</v>
      </c>
      <c r="DV33" s="111"/>
      <c r="DW33" s="87"/>
      <c r="DX33" s="87"/>
      <c r="DY33" s="111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</row>
    <row r="34" customFormat="false" ht="12.75" hidden="false" customHeight="false" outlineLevel="0" collapsed="false">
      <c r="A34" s="80" t="n">
        <f aca="false">+BaseloadMarkets!A34</f>
        <v>36736</v>
      </c>
      <c r="B34" s="80" t="str">
        <f aca="false">+BaseloadMarkets!B34</f>
        <v>Sat</v>
      </c>
      <c r="C34" s="26"/>
      <c r="D34" s="26"/>
      <c r="E34" s="81" t="n">
        <f aca="false">D34-C34</f>
        <v>0</v>
      </c>
      <c r="F34" s="26"/>
      <c r="G34" s="26"/>
      <c r="H34" s="81" t="n">
        <f aca="false">G34-F34</f>
        <v>0</v>
      </c>
      <c r="I34" s="26"/>
      <c r="J34" s="26"/>
      <c r="K34" s="81" t="n">
        <f aca="false">J34-I34</f>
        <v>0</v>
      </c>
      <c r="L34" s="26"/>
      <c r="M34" s="26"/>
      <c r="N34" s="81" t="n">
        <f aca="false">M34-L34</f>
        <v>0</v>
      </c>
      <c r="O34" s="26"/>
      <c r="P34" s="26"/>
      <c r="Q34" s="81" t="n">
        <f aca="false">P34-O34</f>
        <v>0</v>
      </c>
      <c r="R34" s="26"/>
      <c r="S34" s="26"/>
      <c r="T34" s="81" t="n">
        <f aca="false">S34-R34</f>
        <v>0</v>
      </c>
      <c r="U34" s="26"/>
      <c r="V34" s="26"/>
      <c r="W34" s="81" t="n">
        <f aca="false">V34-U34</f>
        <v>0</v>
      </c>
      <c r="X34" s="26"/>
      <c r="Y34" s="26"/>
      <c r="Z34" s="81" t="n">
        <f aca="false">Y34-X34</f>
        <v>0</v>
      </c>
      <c r="AA34" s="26"/>
      <c r="AB34" s="26"/>
      <c r="AC34" s="81" t="n">
        <f aca="false">AB34-AA34</f>
        <v>0</v>
      </c>
      <c r="AD34" s="26"/>
      <c r="AE34" s="26"/>
      <c r="AF34" s="81" t="n">
        <f aca="false">AE34-AD34</f>
        <v>0</v>
      </c>
      <c r="AG34" s="26"/>
      <c r="AH34" s="26"/>
      <c r="AI34" s="81" t="n">
        <f aca="false">AH34-AG34</f>
        <v>0</v>
      </c>
      <c r="AJ34" s="26"/>
      <c r="AK34" s="26"/>
      <c r="AL34" s="81" t="n">
        <f aca="false">AK34-AJ34</f>
        <v>0</v>
      </c>
      <c r="AM34" s="26"/>
      <c r="AN34" s="26"/>
      <c r="AO34" s="81" t="n">
        <f aca="false">AN34-AM34</f>
        <v>0</v>
      </c>
      <c r="AP34" s="26"/>
      <c r="AQ34" s="26"/>
      <c r="AR34" s="81" t="n">
        <f aca="false">AQ34-AP34</f>
        <v>0</v>
      </c>
      <c r="AS34" s="26"/>
      <c r="AT34" s="26"/>
      <c r="AU34" s="81" t="n">
        <f aca="false">AT34-AS34</f>
        <v>0</v>
      </c>
      <c r="AV34" s="26"/>
      <c r="AW34" s="26"/>
      <c r="AX34" s="81" t="n">
        <f aca="false">AW34-AV34</f>
        <v>0</v>
      </c>
      <c r="AY34" s="26"/>
      <c r="AZ34" s="26"/>
      <c r="BA34" s="81" t="n">
        <f aca="false">AZ34-AY34</f>
        <v>0</v>
      </c>
      <c r="BB34" s="26"/>
      <c r="BC34" s="26"/>
      <c r="BD34" s="81" t="n">
        <f aca="false">BC34-BB34</f>
        <v>0</v>
      </c>
      <c r="BE34" s="26"/>
      <c r="BF34" s="26"/>
      <c r="BG34" s="81" t="n">
        <f aca="false">BF34-BE34</f>
        <v>0</v>
      </c>
      <c r="BH34" s="26"/>
      <c r="BI34" s="26"/>
      <c r="BJ34" s="81" t="n">
        <f aca="false">BI34-BH34</f>
        <v>0</v>
      </c>
      <c r="BK34" s="26"/>
      <c r="BL34" s="26"/>
      <c r="BM34" s="81" t="n">
        <f aca="false">BL34-BK34</f>
        <v>0</v>
      </c>
      <c r="BN34" s="26"/>
      <c r="BO34" s="26"/>
      <c r="BP34" s="81" t="n">
        <f aca="false">BO34-BN34</f>
        <v>0</v>
      </c>
      <c r="BQ34" s="26"/>
      <c r="BR34" s="26"/>
      <c r="BS34" s="81" t="n">
        <f aca="false">BR34-BQ34</f>
        <v>0</v>
      </c>
      <c r="BT34" s="26"/>
      <c r="BU34" s="26"/>
      <c r="BV34" s="81" t="n">
        <f aca="false">BU34-BT34</f>
        <v>0</v>
      </c>
      <c r="BW34" s="26"/>
      <c r="BX34" s="26"/>
      <c r="BY34" s="81" t="n">
        <f aca="false">BX34-BW34</f>
        <v>0</v>
      </c>
      <c r="BZ34" s="26"/>
      <c r="CA34" s="26"/>
      <c r="CB34" s="81" t="n">
        <f aca="false">CA34-BZ34</f>
        <v>0</v>
      </c>
      <c r="CC34" s="26"/>
      <c r="CD34" s="26"/>
      <c r="CE34" s="81" t="n">
        <f aca="false">CD34-CC34</f>
        <v>0</v>
      </c>
      <c r="CF34" s="26"/>
      <c r="CG34" s="26"/>
      <c r="CH34" s="81" t="n">
        <f aca="false">CG34-CF34</f>
        <v>0</v>
      </c>
      <c r="CI34" s="26"/>
      <c r="CJ34" s="26"/>
      <c r="CK34" s="81" t="n">
        <f aca="false">CJ34-CI34</f>
        <v>0</v>
      </c>
      <c r="CL34" s="26"/>
      <c r="CM34" s="26"/>
      <c r="CN34" s="81" t="n">
        <f aca="false">CM34-CL34</f>
        <v>0</v>
      </c>
      <c r="CO34" s="26"/>
      <c r="CP34" s="26"/>
      <c r="CQ34" s="81" t="n">
        <f aca="false">CP34-CO34</f>
        <v>0</v>
      </c>
      <c r="CR34" s="26"/>
      <c r="CS34" s="26"/>
      <c r="CT34" s="81" t="n">
        <f aca="false">CS34-CR34</f>
        <v>0</v>
      </c>
      <c r="CU34" s="26"/>
      <c r="CV34" s="26"/>
      <c r="CW34" s="81" t="n">
        <f aca="false">CV34-CU34</f>
        <v>0</v>
      </c>
      <c r="CX34" s="26"/>
      <c r="CY34" s="26"/>
      <c r="CZ34" s="81" t="n">
        <f aca="false">CY34-CX34</f>
        <v>0</v>
      </c>
      <c r="DA34" s="26"/>
      <c r="DB34" s="26"/>
      <c r="DC34" s="81" t="n">
        <f aca="false">DB34-DA34</f>
        <v>0</v>
      </c>
      <c r="DD34" s="26"/>
      <c r="DE34" s="26"/>
      <c r="DF34" s="81" t="n">
        <f aca="false">DE34-DD34</f>
        <v>0</v>
      </c>
      <c r="DG34" s="26"/>
      <c r="DH34" s="26"/>
      <c r="DI34" s="81" t="n">
        <f aca="false">DH34-DG34</f>
        <v>0</v>
      </c>
      <c r="DJ34" s="26"/>
      <c r="DK34" s="26"/>
      <c r="DL34" s="81" t="n">
        <f aca="false">DK34-DJ34</f>
        <v>0</v>
      </c>
      <c r="DM34" s="26"/>
      <c r="DN34" s="26"/>
      <c r="DO34" s="81" t="n">
        <f aca="false">DN34-DM34</f>
        <v>0</v>
      </c>
      <c r="DP34" s="26"/>
      <c r="DQ34" s="26"/>
      <c r="DR34" s="81" t="n">
        <f aca="false">DQ34-DP34</f>
        <v>0</v>
      </c>
      <c r="DS34" s="81" t="n">
        <f aca="false">+C34+F34+I34+L34+O34+R34+U34+X34+AA34+AD34+AG34+AJ34+AM34+AP34+AS34+AV34+AY34+BB34+BE34+BH34+BK34+BN34+BQ34+BT34+BW34+BZ34+CC34+CF34+CI34+CL34+CO34+CR34+CU34+CX34+DA34+DD34+DG34+DJ34+DM34+DP34</f>
        <v>0</v>
      </c>
      <c r="DT34" s="81" t="n">
        <f aca="false">+D34+G34+J34+M34+P34+S34+V34+Y34+AB34+AE34+AH34+AK34+AN34+AQ34+AT34+AW34+AZ34+BC34+BF34+BI34+BL34+BO34+BR34+BU34+BX34+CA34+CD34+CG34+CJ34+CM34+CP34+CS34+CV34+CY34+DB34+DE34+DH34+DK34+DN34+DQ34</f>
        <v>0</v>
      </c>
      <c r="DU34" s="81" t="n">
        <f aca="false">DT34-DS34</f>
        <v>0</v>
      </c>
      <c r="DV34" s="111"/>
      <c r="DW34" s="87"/>
      <c r="DX34" s="87"/>
      <c r="DY34" s="111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</row>
    <row r="35" customFormat="false" ht="12.75" hidden="false" customHeight="false" outlineLevel="0" collapsed="false">
      <c r="A35" s="80" t="n">
        <f aca="false">+BaseloadMarkets!A35</f>
        <v>36737</v>
      </c>
      <c r="B35" s="80" t="str">
        <f aca="false">+BaseloadMarkets!B35</f>
        <v>Sun</v>
      </c>
      <c r="C35" s="26"/>
      <c r="D35" s="26"/>
      <c r="E35" s="81" t="n">
        <f aca="false">D35-C35</f>
        <v>0</v>
      </c>
      <c r="F35" s="26"/>
      <c r="G35" s="26"/>
      <c r="H35" s="81" t="n">
        <f aca="false">G35-F35</f>
        <v>0</v>
      </c>
      <c r="I35" s="26"/>
      <c r="J35" s="26"/>
      <c r="K35" s="81" t="n">
        <f aca="false">J35-I35</f>
        <v>0</v>
      </c>
      <c r="L35" s="26"/>
      <c r="M35" s="26"/>
      <c r="N35" s="81" t="n">
        <f aca="false">M35-L35</f>
        <v>0</v>
      </c>
      <c r="O35" s="26"/>
      <c r="P35" s="26"/>
      <c r="Q35" s="81" t="n">
        <f aca="false">P35-O35</f>
        <v>0</v>
      </c>
      <c r="R35" s="26"/>
      <c r="S35" s="26"/>
      <c r="T35" s="81" t="n">
        <f aca="false">S35-R35</f>
        <v>0</v>
      </c>
      <c r="U35" s="26"/>
      <c r="V35" s="26"/>
      <c r="W35" s="81" t="n">
        <f aca="false">V35-U35</f>
        <v>0</v>
      </c>
      <c r="X35" s="26"/>
      <c r="Y35" s="26"/>
      <c r="Z35" s="81" t="n">
        <f aca="false">Y35-X35</f>
        <v>0</v>
      </c>
      <c r="AA35" s="26"/>
      <c r="AB35" s="26"/>
      <c r="AC35" s="81" t="n">
        <f aca="false">AB35-AA35</f>
        <v>0</v>
      </c>
      <c r="AD35" s="26"/>
      <c r="AE35" s="26"/>
      <c r="AF35" s="81" t="n">
        <f aca="false">AE35-AD35</f>
        <v>0</v>
      </c>
      <c r="AG35" s="26"/>
      <c r="AH35" s="26"/>
      <c r="AI35" s="81" t="n">
        <f aca="false">AH35-AG35</f>
        <v>0</v>
      </c>
      <c r="AJ35" s="26"/>
      <c r="AK35" s="26"/>
      <c r="AL35" s="81" t="n">
        <f aca="false">AK35-AJ35</f>
        <v>0</v>
      </c>
      <c r="AM35" s="26"/>
      <c r="AN35" s="26"/>
      <c r="AO35" s="81" t="n">
        <f aca="false">AN35-AM35</f>
        <v>0</v>
      </c>
      <c r="AP35" s="26"/>
      <c r="AQ35" s="26"/>
      <c r="AR35" s="81" t="n">
        <f aca="false">AQ35-AP35</f>
        <v>0</v>
      </c>
      <c r="AS35" s="26"/>
      <c r="AT35" s="26"/>
      <c r="AU35" s="81" t="n">
        <f aca="false">AT35-AS35</f>
        <v>0</v>
      </c>
      <c r="AV35" s="26"/>
      <c r="AW35" s="26"/>
      <c r="AX35" s="81" t="n">
        <f aca="false">AW35-AV35</f>
        <v>0</v>
      </c>
      <c r="AY35" s="26"/>
      <c r="AZ35" s="26"/>
      <c r="BA35" s="81" t="n">
        <f aca="false">AZ35-AY35</f>
        <v>0</v>
      </c>
      <c r="BB35" s="26"/>
      <c r="BC35" s="26"/>
      <c r="BD35" s="81" t="n">
        <f aca="false">BC35-BB35</f>
        <v>0</v>
      </c>
      <c r="BE35" s="26"/>
      <c r="BF35" s="26"/>
      <c r="BG35" s="81" t="n">
        <f aca="false">BF35-BE35</f>
        <v>0</v>
      </c>
      <c r="BH35" s="26"/>
      <c r="BI35" s="26"/>
      <c r="BJ35" s="81" t="n">
        <f aca="false">BI35-BH35</f>
        <v>0</v>
      </c>
      <c r="BK35" s="26"/>
      <c r="BL35" s="26"/>
      <c r="BM35" s="81" t="n">
        <f aca="false">BL35-BK35</f>
        <v>0</v>
      </c>
      <c r="BN35" s="26"/>
      <c r="BO35" s="26"/>
      <c r="BP35" s="81" t="n">
        <f aca="false">BO35-BN35</f>
        <v>0</v>
      </c>
      <c r="BQ35" s="26"/>
      <c r="BR35" s="26"/>
      <c r="BS35" s="81" t="n">
        <f aca="false">BR35-BQ35</f>
        <v>0</v>
      </c>
      <c r="BT35" s="26"/>
      <c r="BU35" s="26"/>
      <c r="BV35" s="81" t="n">
        <f aca="false">BU35-BT35</f>
        <v>0</v>
      </c>
      <c r="BW35" s="26"/>
      <c r="BX35" s="26"/>
      <c r="BY35" s="81" t="n">
        <f aca="false">BX35-BW35</f>
        <v>0</v>
      </c>
      <c r="BZ35" s="26"/>
      <c r="CA35" s="26"/>
      <c r="CB35" s="81" t="n">
        <f aca="false">CA35-BZ35</f>
        <v>0</v>
      </c>
      <c r="CC35" s="26"/>
      <c r="CD35" s="26"/>
      <c r="CE35" s="81" t="n">
        <f aca="false">CD35-CC35</f>
        <v>0</v>
      </c>
      <c r="CF35" s="26"/>
      <c r="CG35" s="26"/>
      <c r="CH35" s="81" t="n">
        <f aca="false">CG35-CF35</f>
        <v>0</v>
      </c>
      <c r="CI35" s="26"/>
      <c r="CJ35" s="26"/>
      <c r="CK35" s="81" t="n">
        <f aca="false">CJ35-CI35</f>
        <v>0</v>
      </c>
      <c r="CL35" s="26"/>
      <c r="CM35" s="26"/>
      <c r="CN35" s="81" t="n">
        <f aca="false">CM35-CL35</f>
        <v>0</v>
      </c>
      <c r="CO35" s="26"/>
      <c r="CP35" s="26"/>
      <c r="CQ35" s="81" t="n">
        <f aca="false">CP35-CO35</f>
        <v>0</v>
      </c>
      <c r="CR35" s="26"/>
      <c r="CS35" s="26"/>
      <c r="CT35" s="81" t="n">
        <f aca="false">CS35-CR35</f>
        <v>0</v>
      </c>
      <c r="CU35" s="26"/>
      <c r="CV35" s="26"/>
      <c r="CW35" s="81" t="n">
        <f aca="false">CV35-CU35</f>
        <v>0</v>
      </c>
      <c r="CX35" s="26"/>
      <c r="CY35" s="26"/>
      <c r="CZ35" s="81" t="n">
        <f aca="false">CY35-CX35</f>
        <v>0</v>
      </c>
      <c r="DA35" s="26"/>
      <c r="DB35" s="26"/>
      <c r="DC35" s="81" t="n">
        <f aca="false">DB35-DA35</f>
        <v>0</v>
      </c>
      <c r="DD35" s="26"/>
      <c r="DE35" s="26"/>
      <c r="DF35" s="81" t="n">
        <f aca="false">DE35-DD35</f>
        <v>0</v>
      </c>
      <c r="DG35" s="26"/>
      <c r="DH35" s="26"/>
      <c r="DI35" s="81" t="n">
        <f aca="false">DH35-DG35</f>
        <v>0</v>
      </c>
      <c r="DJ35" s="26"/>
      <c r="DK35" s="26"/>
      <c r="DL35" s="81" t="n">
        <f aca="false">DK35-DJ35</f>
        <v>0</v>
      </c>
      <c r="DM35" s="26"/>
      <c r="DN35" s="26"/>
      <c r="DO35" s="81" t="n">
        <f aca="false">DN35-DM35</f>
        <v>0</v>
      </c>
      <c r="DP35" s="26"/>
      <c r="DQ35" s="26"/>
      <c r="DR35" s="81" t="n">
        <f aca="false">DQ35-DP35</f>
        <v>0</v>
      </c>
      <c r="DS35" s="81" t="n">
        <f aca="false">+C35+F35+I35+L35+O35+R35+U35+X35+AA35+AD35+AG35+AJ35+AM35+AP35+AS35+AV35+AY35+BB35+BE35+BH35+BK35+BN35+BQ35+BT35+BW35+BZ35+CC35+CF35+CI35+CL35+CO35+CR35+CU35+CX35+DA35+DD35+DG35+DJ35+DM35+DP35</f>
        <v>0</v>
      </c>
      <c r="DT35" s="81" t="n">
        <f aca="false">+D35+G35+J35+M35+P35+S35+V35+Y35+AB35+AE35+AH35+AK35+AN35+AQ35+AT35+AW35+AZ35+BC35+BF35+BI35+BL35+BO35+BR35+BU35+BX35+CA35+CD35+CG35+CJ35+CM35+CP35+CS35+CV35+CY35+DB35+DE35+DH35+DK35+DN35+DQ35</f>
        <v>0</v>
      </c>
      <c r="DU35" s="81" t="n">
        <f aca="false">DT35-DS35</f>
        <v>0</v>
      </c>
      <c r="DV35" s="111"/>
      <c r="DW35" s="87"/>
      <c r="DX35" s="87"/>
      <c r="DY35" s="111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</row>
    <row r="36" customFormat="false" ht="12.75" hidden="false" customHeight="false" outlineLevel="0" collapsed="false">
      <c r="A36" s="80" t="n">
        <f aca="false">+BaseloadMarkets!A36</f>
        <v>36738</v>
      </c>
      <c r="B36" s="80" t="str">
        <f aca="false">+BaseloadMarkets!B36</f>
        <v>Mon</v>
      </c>
      <c r="C36" s="26"/>
      <c r="D36" s="26"/>
      <c r="E36" s="81" t="n">
        <f aca="false">D36-C36</f>
        <v>0</v>
      </c>
      <c r="F36" s="26"/>
      <c r="G36" s="26"/>
      <c r="H36" s="81" t="n">
        <f aca="false">G36-F36</f>
        <v>0</v>
      </c>
      <c r="I36" s="26"/>
      <c r="J36" s="26"/>
      <c r="K36" s="81" t="n">
        <f aca="false">J36-I36</f>
        <v>0</v>
      </c>
      <c r="L36" s="26"/>
      <c r="M36" s="26"/>
      <c r="N36" s="81" t="n">
        <f aca="false">M36-L36</f>
        <v>0</v>
      </c>
      <c r="O36" s="26"/>
      <c r="P36" s="26"/>
      <c r="Q36" s="81" t="n">
        <f aca="false">P36-O36</f>
        <v>0</v>
      </c>
      <c r="R36" s="26"/>
      <c r="S36" s="26"/>
      <c r="T36" s="81" t="n">
        <f aca="false">S36-R36</f>
        <v>0</v>
      </c>
      <c r="U36" s="26"/>
      <c r="V36" s="26"/>
      <c r="W36" s="81" t="n">
        <f aca="false">V36-U36</f>
        <v>0</v>
      </c>
      <c r="X36" s="26"/>
      <c r="Y36" s="26"/>
      <c r="Z36" s="81" t="n">
        <f aca="false">Y36-X36</f>
        <v>0</v>
      </c>
      <c r="AA36" s="26"/>
      <c r="AB36" s="26"/>
      <c r="AC36" s="81" t="n">
        <f aca="false">AB36-AA36</f>
        <v>0</v>
      </c>
      <c r="AD36" s="26"/>
      <c r="AE36" s="26"/>
      <c r="AF36" s="81" t="n">
        <f aca="false">AE36-AD36</f>
        <v>0</v>
      </c>
      <c r="AG36" s="26"/>
      <c r="AH36" s="26"/>
      <c r="AI36" s="81" t="n">
        <f aca="false">AH36-AG36</f>
        <v>0</v>
      </c>
      <c r="AJ36" s="26"/>
      <c r="AK36" s="26"/>
      <c r="AL36" s="81" t="n">
        <f aca="false">AK36-AJ36</f>
        <v>0</v>
      </c>
      <c r="AM36" s="26"/>
      <c r="AN36" s="26"/>
      <c r="AO36" s="81" t="n">
        <f aca="false">AN36-AM36</f>
        <v>0</v>
      </c>
      <c r="AP36" s="26"/>
      <c r="AQ36" s="26"/>
      <c r="AR36" s="81" t="n">
        <f aca="false">AQ36-AP36</f>
        <v>0</v>
      </c>
      <c r="AS36" s="26"/>
      <c r="AT36" s="26"/>
      <c r="AU36" s="81" t="n">
        <f aca="false">AT36-AS36</f>
        <v>0</v>
      </c>
      <c r="AV36" s="26"/>
      <c r="AW36" s="26"/>
      <c r="AX36" s="81" t="n">
        <f aca="false">AW36-AV36</f>
        <v>0</v>
      </c>
      <c r="AY36" s="26"/>
      <c r="AZ36" s="26"/>
      <c r="BA36" s="81" t="n">
        <f aca="false">AZ36-AY36</f>
        <v>0</v>
      </c>
      <c r="BB36" s="26"/>
      <c r="BC36" s="26"/>
      <c r="BD36" s="81" t="n">
        <f aca="false">BC36-BB36</f>
        <v>0</v>
      </c>
      <c r="BE36" s="26"/>
      <c r="BF36" s="26"/>
      <c r="BG36" s="81" t="n">
        <f aca="false">BF36-BE36</f>
        <v>0</v>
      </c>
      <c r="BH36" s="26"/>
      <c r="BI36" s="26"/>
      <c r="BJ36" s="81" t="n">
        <f aca="false">BI36-BH36</f>
        <v>0</v>
      </c>
      <c r="BK36" s="26"/>
      <c r="BL36" s="26"/>
      <c r="BM36" s="81" t="n">
        <f aca="false">BL36-BK36</f>
        <v>0</v>
      </c>
      <c r="BN36" s="26"/>
      <c r="BO36" s="26"/>
      <c r="BP36" s="81" t="n">
        <f aca="false">BO36-BN36</f>
        <v>0</v>
      </c>
      <c r="BQ36" s="26"/>
      <c r="BR36" s="26"/>
      <c r="BS36" s="81" t="n">
        <f aca="false">BR36-BQ36</f>
        <v>0</v>
      </c>
      <c r="BT36" s="26"/>
      <c r="BU36" s="26"/>
      <c r="BV36" s="81" t="n">
        <f aca="false">BU36-BT36</f>
        <v>0</v>
      </c>
      <c r="BW36" s="26"/>
      <c r="BX36" s="26"/>
      <c r="BY36" s="81" t="n">
        <f aca="false">BX36-BW36</f>
        <v>0</v>
      </c>
      <c r="BZ36" s="26"/>
      <c r="CA36" s="26"/>
      <c r="CB36" s="81" t="n">
        <f aca="false">CA36-BZ36</f>
        <v>0</v>
      </c>
      <c r="CC36" s="26"/>
      <c r="CD36" s="26"/>
      <c r="CE36" s="81" t="n">
        <f aca="false">CD36-CC36</f>
        <v>0</v>
      </c>
      <c r="CF36" s="26"/>
      <c r="CG36" s="26"/>
      <c r="CH36" s="81" t="n">
        <f aca="false">CG36-CF36</f>
        <v>0</v>
      </c>
      <c r="CI36" s="26"/>
      <c r="CJ36" s="26"/>
      <c r="CK36" s="81" t="n">
        <f aca="false">CJ36-CI36</f>
        <v>0</v>
      </c>
      <c r="CL36" s="26"/>
      <c r="CM36" s="26"/>
      <c r="CN36" s="81" t="n">
        <f aca="false">CM36-CL36</f>
        <v>0</v>
      </c>
      <c r="CO36" s="26"/>
      <c r="CP36" s="26"/>
      <c r="CQ36" s="81" t="n">
        <f aca="false">CP36-CO36</f>
        <v>0</v>
      </c>
      <c r="CR36" s="26"/>
      <c r="CS36" s="26"/>
      <c r="CT36" s="81" t="n">
        <f aca="false">CS36-CR36</f>
        <v>0</v>
      </c>
      <c r="CU36" s="26"/>
      <c r="CV36" s="26"/>
      <c r="CW36" s="81" t="n">
        <f aca="false">CV36-CU36</f>
        <v>0</v>
      </c>
      <c r="CX36" s="26"/>
      <c r="CY36" s="26"/>
      <c r="CZ36" s="81" t="n">
        <f aca="false">CY36-CX36</f>
        <v>0</v>
      </c>
      <c r="DA36" s="26"/>
      <c r="DB36" s="26"/>
      <c r="DC36" s="81" t="n">
        <f aca="false">DB36-DA36</f>
        <v>0</v>
      </c>
      <c r="DD36" s="26"/>
      <c r="DE36" s="26"/>
      <c r="DF36" s="81" t="n">
        <f aca="false">DE36-DD36</f>
        <v>0</v>
      </c>
      <c r="DG36" s="26"/>
      <c r="DH36" s="26"/>
      <c r="DI36" s="81" t="n">
        <f aca="false">DH36-DG36</f>
        <v>0</v>
      </c>
      <c r="DJ36" s="26"/>
      <c r="DK36" s="26"/>
      <c r="DL36" s="81" t="n">
        <f aca="false">DK36-DJ36</f>
        <v>0</v>
      </c>
      <c r="DM36" s="26"/>
      <c r="DN36" s="26"/>
      <c r="DO36" s="81" t="n">
        <f aca="false">DN36-DM36</f>
        <v>0</v>
      </c>
      <c r="DP36" s="26"/>
      <c r="DQ36" s="26"/>
      <c r="DR36" s="81" t="n">
        <f aca="false">DQ36-DP36</f>
        <v>0</v>
      </c>
      <c r="DS36" s="81" t="n">
        <f aca="false">+C36+F36+I36+L36+O36+R36+U36+X36+AA36+AD36+AG36+AJ36+AM36+AP36+AS36+AV36+AY36+BB36+BE36+BH36+BK36+BN36+BQ36+BT36+BW36+BZ36+CC36+CF36+CI36+CL36+CO36+CR36+CU36+CX36+DA36+DD36+DG36+DJ36+DM36+DP36</f>
        <v>0</v>
      </c>
      <c r="DT36" s="81" t="n">
        <f aca="false">+D36+G36+J36+M36+P36+S36+V36+Y36+AB36+AE36+AH36+AK36+AN36+AQ36+AT36+AW36+AZ36+BC36+BF36+BI36+BL36+BO36+BR36+BU36+BX36+CA36+CD36+CG36+CJ36+CM36+CP36+CS36+CV36+CY36+DB36+DE36+DH36+DK36+DN36+DQ36</f>
        <v>0</v>
      </c>
      <c r="DU36" s="81" t="n">
        <f aca="false">DT36-DS36</f>
        <v>0</v>
      </c>
      <c r="DV36" s="111"/>
      <c r="DW36" s="87"/>
      <c r="DX36" s="87"/>
      <c r="DY36" s="111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</row>
    <row r="37" customFormat="false" ht="12.75" hidden="false" customHeight="false" outlineLevel="0" collapsed="false">
      <c r="A37" s="88" t="s">
        <v>62</v>
      </c>
      <c r="C37" s="32" t="n">
        <f aca="false">SUM(C6:C36)</f>
        <v>17459</v>
      </c>
      <c r="D37" s="32" t="n">
        <f aca="false">SUM(D6:D36)</f>
        <v>17459</v>
      </c>
      <c r="E37" s="32" t="n">
        <f aca="false">SUM(E6:E36)</f>
        <v>0</v>
      </c>
      <c r="F37" s="32" t="n">
        <f aca="false">SUM(F6:F36)</f>
        <v>56076</v>
      </c>
      <c r="G37" s="32" t="n">
        <f aca="false">SUM(G6:G36)</f>
        <v>56076</v>
      </c>
      <c r="H37" s="32" t="n">
        <f aca="false">SUM(H6:H36)</f>
        <v>0</v>
      </c>
      <c r="I37" s="32" t="n">
        <f aca="false">SUM(I6:I36)</f>
        <v>20000</v>
      </c>
      <c r="J37" s="32" t="n">
        <f aca="false">SUM(J6:J36)</f>
        <v>20000</v>
      </c>
      <c r="K37" s="89" t="n">
        <f aca="false">SUM(K10:K36)</f>
        <v>0</v>
      </c>
      <c r="L37" s="32" t="n">
        <f aca="false">SUM(L6:L36)</f>
        <v>33346</v>
      </c>
      <c r="M37" s="32" t="n">
        <f aca="false">SUM(M6:M36)</f>
        <v>33346</v>
      </c>
      <c r="N37" s="89" t="n">
        <f aca="false">SUM(N6:N36)</f>
        <v>0</v>
      </c>
      <c r="O37" s="32" t="n">
        <f aca="false">SUM(O6:O36)</f>
        <v>868028</v>
      </c>
      <c r="P37" s="32" t="n">
        <f aca="false">SUM(P6:P36)</f>
        <v>857528</v>
      </c>
      <c r="Q37" s="89" t="n">
        <f aca="false">SUM(Q6:Q36)</f>
        <v>-10500</v>
      </c>
      <c r="R37" s="32" t="n">
        <f aca="false">SUM(R6:R36)</f>
        <v>60000</v>
      </c>
      <c r="S37" s="32" t="n">
        <f aca="false">SUM(S6:S36)</f>
        <v>60000</v>
      </c>
      <c r="T37" s="89" t="n">
        <f aca="false">SUM(T6:T36)</f>
        <v>0</v>
      </c>
      <c r="U37" s="32" t="n">
        <f aca="false">SUM(U6:U36)</f>
        <v>0</v>
      </c>
      <c r="V37" s="32" t="n">
        <f aca="false">SUM(V6:V36)</f>
        <v>0</v>
      </c>
      <c r="W37" s="89" t="n">
        <f aca="false">SUM(W6:W36)</f>
        <v>0</v>
      </c>
      <c r="X37" s="32" t="n">
        <f aca="false">SUM(X6:X36)</f>
        <v>8974</v>
      </c>
      <c r="Y37" s="32" t="n">
        <f aca="false">SUM(Y6:Y36)</f>
        <v>8974</v>
      </c>
      <c r="Z37" s="89" t="n">
        <f aca="false">SUM(Z6:Z36)</f>
        <v>0</v>
      </c>
      <c r="AA37" s="32" t="n">
        <f aca="false">SUM(AA6:AA36)</f>
        <v>172000</v>
      </c>
      <c r="AB37" s="32" t="n">
        <f aca="false">SUM(AB6:AB36)</f>
        <v>172000</v>
      </c>
      <c r="AC37" s="89" t="n">
        <f aca="false">SUM(AC6:AC36)</f>
        <v>0</v>
      </c>
      <c r="AD37" s="32" t="n">
        <f aca="false">SUM(AD6:AD36)</f>
        <v>54000</v>
      </c>
      <c r="AE37" s="32" t="n">
        <f aca="false">SUM(AE6:AE36)</f>
        <v>54000</v>
      </c>
      <c r="AF37" s="89" t="n">
        <f aca="false">SUM(AF6:AF36)</f>
        <v>0</v>
      </c>
      <c r="AG37" s="32" t="n">
        <f aca="false">SUM(AG6:AG36)</f>
        <v>24000</v>
      </c>
      <c r="AH37" s="32" t="n">
        <f aca="false">SUM(AH6:AH36)</f>
        <v>24000</v>
      </c>
      <c r="AI37" s="89" t="n">
        <f aca="false">SUM(AI6:AI36)</f>
        <v>0</v>
      </c>
      <c r="AJ37" s="32" t="n">
        <f aca="false">SUM(AJ6:AJ36)</f>
        <v>20000</v>
      </c>
      <c r="AK37" s="32" t="n">
        <f aca="false">SUM(AK6:AK36)</f>
        <v>20000</v>
      </c>
      <c r="AL37" s="89" t="n">
        <f aca="false">SUM(AL6:AL36)</f>
        <v>0</v>
      </c>
      <c r="AM37" s="32" t="n">
        <f aca="false">SUM(AM6:AM36)</f>
        <v>15000</v>
      </c>
      <c r="AN37" s="32" t="n">
        <f aca="false">SUM(AN6:AN36)</f>
        <v>15000</v>
      </c>
      <c r="AO37" s="89" t="n">
        <f aca="false">SUM(AO6:AO36)</f>
        <v>0</v>
      </c>
      <c r="AP37" s="32" t="n">
        <f aca="false">SUM(AP6:AP36)</f>
        <v>0</v>
      </c>
      <c r="AQ37" s="32" t="n">
        <f aca="false">SUM(AQ6:AQ36)</f>
        <v>0</v>
      </c>
      <c r="AR37" s="89" t="n">
        <f aca="false">SUM(AR6:AR36)</f>
        <v>0</v>
      </c>
      <c r="AS37" s="32" t="n">
        <f aca="false">SUM(AS6:AS36)</f>
        <v>0</v>
      </c>
      <c r="AT37" s="32" t="n">
        <f aca="false">SUM(AT6:AT36)</f>
        <v>0</v>
      </c>
      <c r="AU37" s="89" t="n">
        <f aca="false">SUM(AU6:AU36)</f>
        <v>0</v>
      </c>
      <c r="AV37" s="32" t="n">
        <f aca="false">SUM(AV6:AV36)</f>
        <v>0</v>
      </c>
      <c r="AW37" s="32" t="n">
        <f aca="false">SUM(AW6:AW36)</f>
        <v>0</v>
      </c>
      <c r="AX37" s="89" t="n">
        <f aca="false">SUM(AX6:AX36)</f>
        <v>0</v>
      </c>
      <c r="AY37" s="32" t="n">
        <f aca="false">SUM(AY6:AY36)</f>
        <v>0</v>
      </c>
      <c r="AZ37" s="32" t="n">
        <f aca="false">SUM(AZ6:AZ36)</f>
        <v>0</v>
      </c>
      <c r="BA37" s="89" t="n">
        <f aca="false">SUM(BA6:BA36)</f>
        <v>0</v>
      </c>
      <c r="BB37" s="32" t="n">
        <f aca="false">SUM(BB6:BB36)</f>
        <v>0</v>
      </c>
      <c r="BC37" s="32" t="n">
        <f aca="false">SUM(BC6:BC36)</f>
        <v>0</v>
      </c>
      <c r="BD37" s="89" t="n">
        <f aca="false">SUM(BD6:BD36)</f>
        <v>0</v>
      </c>
      <c r="BE37" s="32" t="n">
        <f aca="false">SUM(BE6:BE36)</f>
        <v>0</v>
      </c>
      <c r="BF37" s="32" t="n">
        <f aca="false">SUM(BF6:BF36)</f>
        <v>0</v>
      </c>
      <c r="BG37" s="32" t="n">
        <f aca="false">SUM(BG6:BG36)</f>
        <v>0</v>
      </c>
      <c r="BH37" s="32" t="n">
        <f aca="false">SUM(BH6:BH36)</f>
        <v>0</v>
      </c>
      <c r="BI37" s="32" t="n">
        <f aca="false">SUM(BI6:BI36)</f>
        <v>0</v>
      </c>
      <c r="BJ37" s="89" t="n">
        <f aca="false">SUM(BJ6:BJ36)</f>
        <v>0</v>
      </c>
      <c r="BK37" s="32" t="n">
        <f aca="false">SUM(BK6:BK36)</f>
        <v>0</v>
      </c>
      <c r="BL37" s="32" t="n">
        <f aca="false">SUM(BL6:BL36)</f>
        <v>0</v>
      </c>
      <c r="BM37" s="89" t="n">
        <f aca="false">SUM(BM6:BM36)</f>
        <v>0</v>
      </c>
      <c r="BN37" s="32" t="n">
        <f aca="false">SUM(BN6:BN36)</f>
        <v>0</v>
      </c>
      <c r="BO37" s="32" t="n">
        <f aca="false">SUM(BO6:BO36)</f>
        <v>0</v>
      </c>
      <c r="BP37" s="89" t="n">
        <f aca="false">SUM(BP6:BP36)</f>
        <v>0</v>
      </c>
      <c r="BQ37" s="32" t="n">
        <f aca="false">SUM(BQ6:BQ36)</f>
        <v>0</v>
      </c>
      <c r="BR37" s="32" t="n">
        <f aca="false">SUM(BR6:BR36)</f>
        <v>0</v>
      </c>
      <c r="BS37" s="89" t="n">
        <f aca="false">SUM(BS6:BS36)</f>
        <v>0</v>
      </c>
      <c r="BT37" s="32" t="n">
        <f aca="false">SUM(BT6:BT36)</f>
        <v>0</v>
      </c>
      <c r="BU37" s="32" t="n">
        <f aca="false">SUM(BU6:BU36)</f>
        <v>0</v>
      </c>
      <c r="BV37" s="89" t="n">
        <f aca="false">SUM(BV6:BV36)</f>
        <v>0</v>
      </c>
      <c r="BW37" s="32" t="n">
        <f aca="false">SUM(BW6:BW36)</f>
        <v>0</v>
      </c>
      <c r="BX37" s="32" t="n">
        <f aca="false">SUM(BX6:BX36)</f>
        <v>0</v>
      </c>
      <c r="BY37" s="89" t="n">
        <f aca="false">SUM(BY6:BY36)</f>
        <v>0</v>
      </c>
      <c r="BZ37" s="32" t="n">
        <f aca="false">SUM(BZ6:BZ36)</f>
        <v>0</v>
      </c>
      <c r="CA37" s="32" t="n">
        <f aca="false">SUM(CA6:CA36)</f>
        <v>0</v>
      </c>
      <c r="CB37" s="89" t="n">
        <f aca="false">SUM(CB6:CB36)</f>
        <v>0</v>
      </c>
      <c r="CC37" s="32" t="n">
        <f aca="false">SUM(CC6:CC36)</f>
        <v>0</v>
      </c>
      <c r="CD37" s="32" t="n">
        <f aca="false">SUM(CD6:CD36)</f>
        <v>0</v>
      </c>
      <c r="CE37" s="89" t="n">
        <f aca="false">SUM(CE6:CE36)</f>
        <v>0</v>
      </c>
      <c r="CF37" s="32" t="n">
        <f aca="false">SUM(CF6:CF36)</f>
        <v>0</v>
      </c>
      <c r="CG37" s="32" t="n">
        <f aca="false">SUM(CG6:CG36)</f>
        <v>0</v>
      </c>
      <c r="CH37" s="89" t="n">
        <f aca="false">SUM(CH6:CH36)</f>
        <v>0</v>
      </c>
      <c r="CI37" s="32" t="n">
        <f aca="false">SUM(CI6:CI36)</f>
        <v>0</v>
      </c>
      <c r="CJ37" s="32" t="n">
        <f aca="false">SUM(CJ6:CJ36)</f>
        <v>0</v>
      </c>
      <c r="CK37" s="89" t="n">
        <f aca="false">SUM(CK6:CK36)</f>
        <v>0</v>
      </c>
      <c r="CL37" s="32" t="n">
        <f aca="false">SUM(CL6:CL36)</f>
        <v>0</v>
      </c>
      <c r="CM37" s="32" t="n">
        <f aca="false">SUM(CM6:CM36)</f>
        <v>0</v>
      </c>
      <c r="CN37" s="89" t="n">
        <f aca="false">SUM(CN6:CN36)</f>
        <v>0</v>
      </c>
      <c r="CO37" s="32" t="n">
        <f aca="false">SUM(CO6:CO36)</f>
        <v>0</v>
      </c>
      <c r="CP37" s="32" t="n">
        <f aca="false">SUM(CP6:CP36)</f>
        <v>0</v>
      </c>
      <c r="CQ37" s="89" t="n">
        <f aca="false">SUM(CQ6:CQ36)</f>
        <v>0</v>
      </c>
      <c r="CR37" s="32" t="n">
        <f aca="false">SUM(CR6:CR36)</f>
        <v>0</v>
      </c>
      <c r="CS37" s="32" t="n">
        <f aca="false">SUM(CS6:CS36)</f>
        <v>0</v>
      </c>
      <c r="CT37" s="89" t="n">
        <f aca="false">SUM(CT6:CT36)</f>
        <v>0</v>
      </c>
      <c r="CU37" s="32" t="n">
        <f aca="false">SUM(CU6:CU36)</f>
        <v>0</v>
      </c>
      <c r="CV37" s="32" t="n">
        <f aca="false">SUM(CV6:CV36)</f>
        <v>0</v>
      </c>
      <c r="CW37" s="89" t="n">
        <f aca="false">SUM(CW6:CW36)</f>
        <v>0</v>
      </c>
      <c r="CX37" s="32" t="n">
        <f aca="false">SUM(CX6:CX36)</f>
        <v>0</v>
      </c>
      <c r="CY37" s="32" t="n">
        <f aca="false">SUM(CY6:CY36)</f>
        <v>0</v>
      </c>
      <c r="CZ37" s="89" t="n">
        <f aca="false">SUM(CZ6:CZ36)</f>
        <v>0</v>
      </c>
      <c r="DA37" s="32" t="n">
        <f aca="false">SUM(DA6:DA36)</f>
        <v>0</v>
      </c>
      <c r="DB37" s="32" t="n">
        <f aca="false">SUM(DB6:DB36)</f>
        <v>0</v>
      </c>
      <c r="DC37" s="89" t="n">
        <f aca="false">SUM(DC6:DC36)</f>
        <v>0</v>
      </c>
      <c r="DD37" s="32" t="n">
        <f aca="false">SUM(DD6:DD36)</f>
        <v>0</v>
      </c>
      <c r="DE37" s="32" t="n">
        <f aca="false">SUM(DE6:DE36)</f>
        <v>0</v>
      </c>
      <c r="DF37" s="89" t="n">
        <f aca="false">SUM(DF6:DF36)</f>
        <v>0</v>
      </c>
      <c r="DG37" s="32" t="n">
        <f aca="false">SUM(DG6:DG36)</f>
        <v>0</v>
      </c>
      <c r="DH37" s="32" t="n">
        <f aca="false">SUM(DH6:DH36)</f>
        <v>0</v>
      </c>
      <c r="DI37" s="89" t="n">
        <f aca="false">SUM(DI6:DI36)</f>
        <v>0</v>
      </c>
      <c r="DJ37" s="32" t="n">
        <f aca="false">SUM(DJ6:DJ36)</f>
        <v>0</v>
      </c>
      <c r="DK37" s="32" t="n">
        <f aca="false">SUM(DK6:DK36)</f>
        <v>0</v>
      </c>
      <c r="DL37" s="89" t="n">
        <f aca="false">SUM(DL6:DL36)</f>
        <v>0</v>
      </c>
      <c r="DM37" s="32" t="n">
        <f aca="false">SUM(DM6:DM36)</f>
        <v>0</v>
      </c>
      <c r="DN37" s="32" t="n">
        <f aca="false">SUM(DN6:DN36)</f>
        <v>0</v>
      </c>
      <c r="DO37" s="89" t="n">
        <f aca="false">SUM(DO6:DO36)</f>
        <v>0</v>
      </c>
      <c r="DP37" s="32" t="n">
        <f aca="false">SUM(DP6:DP36)</f>
        <v>0</v>
      </c>
      <c r="DQ37" s="32" t="n">
        <f aca="false">SUM(DQ6:DQ36)</f>
        <v>0</v>
      </c>
      <c r="DR37" s="89" t="n">
        <f aca="false">SUM(DR6:DR36)</f>
        <v>0</v>
      </c>
      <c r="DS37" s="91" t="n">
        <f aca="false">SUM(DS6:DS36)</f>
        <v>1348883</v>
      </c>
      <c r="DT37" s="89" t="n">
        <f aca="false">SUM(DT6:DT36)</f>
        <v>1338383</v>
      </c>
      <c r="DU37" s="89" t="n">
        <f aca="false">SUM(DU6:DU36)</f>
        <v>-10500</v>
      </c>
      <c r="DV37" s="32"/>
      <c r="DW37" s="32"/>
      <c r="DX37" s="32"/>
      <c r="DY37" s="9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93"/>
      <c r="EM37" s="93"/>
      <c r="EN37" s="93"/>
      <c r="EO37" s="93"/>
      <c r="EP37" s="93"/>
      <c r="EQ37" s="93"/>
      <c r="ER37" s="93"/>
      <c r="ES37" s="93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5"/>
      <c r="FQ37" s="95"/>
      <c r="FR37" s="95"/>
      <c r="FS37" s="95"/>
      <c r="FT37" s="95"/>
      <c r="FU37" s="95"/>
      <c r="FV37" s="95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12.75" hidden="false" customHeight="false" outlineLevel="0" collapsed="false">
      <c r="A38" s="97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4"/>
      <c r="AD38" s="35"/>
      <c r="AE38" s="35"/>
      <c r="AF38" s="44"/>
      <c r="AG38" s="35"/>
      <c r="AH38" s="35"/>
      <c r="AI38" s="44"/>
      <c r="AJ38" s="35"/>
      <c r="AK38" s="35"/>
      <c r="AL38" s="44"/>
      <c r="AM38" s="35"/>
      <c r="AN38" s="35"/>
      <c r="AO38" s="44"/>
      <c r="AP38" s="35"/>
      <c r="AQ38" s="35"/>
      <c r="AR38" s="44"/>
      <c r="AS38" s="35"/>
      <c r="AT38" s="35"/>
      <c r="AU38" s="44"/>
      <c r="AV38" s="35"/>
      <c r="AW38" s="35"/>
      <c r="AX38" s="35"/>
      <c r="AY38" s="35"/>
      <c r="AZ38" s="35"/>
      <c r="BA38" s="44"/>
      <c r="BB38" s="35"/>
      <c r="BC38" s="35"/>
      <c r="BD38" s="44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44"/>
      <c r="BZ38" s="35"/>
      <c r="CA38" s="35"/>
      <c r="CB38" s="44"/>
      <c r="CC38" s="35"/>
      <c r="CD38" s="35"/>
      <c r="CE38" s="44"/>
      <c r="CF38" s="35"/>
      <c r="CG38" s="35"/>
      <c r="CH38" s="44"/>
      <c r="CI38" s="35"/>
      <c r="CJ38" s="35"/>
      <c r="CK38" s="44"/>
      <c r="CL38" s="35"/>
      <c r="CM38" s="35"/>
      <c r="CN38" s="44"/>
      <c r="CO38" s="35"/>
      <c r="CP38" s="35"/>
      <c r="CQ38" s="44"/>
      <c r="CR38" s="35"/>
      <c r="CS38" s="35"/>
      <c r="CT38" s="44"/>
      <c r="CU38" s="35"/>
      <c r="CV38" s="35"/>
      <c r="CW38" s="44"/>
      <c r="CX38" s="35"/>
      <c r="CY38" s="35"/>
      <c r="CZ38" s="44"/>
      <c r="DA38" s="35"/>
      <c r="DB38" s="35"/>
      <c r="DC38" s="44"/>
      <c r="DD38" s="35"/>
      <c r="DE38" s="35"/>
      <c r="DF38" s="44"/>
      <c r="DG38" s="35"/>
      <c r="DH38" s="35"/>
      <c r="DI38" s="35"/>
      <c r="DJ38" s="35"/>
      <c r="DK38" s="35"/>
      <c r="DL38" s="44"/>
      <c r="DM38" s="35"/>
      <c r="DN38" s="35"/>
      <c r="DO38" s="44"/>
      <c r="DP38" s="35"/>
      <c r="DQ38" s="35"/>
      <c r="DR38" s="44"/>
      <c r="DS38" s="44"/>
      <c r="DT38" s="35"/>
      <c r="DU38" s="35"/>
      <c r="DV38" s="35"/>
      <c r="DW38" s="35"/>
      <c r="DX38" s="35"/>
      <c r="DY38" s="99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100"/>
      <c r="EM38" s="100"/>
      <c r="EN38" s="100"/>
      <c r="EO38" s="100"/>
      <c r="EP38" s="100"/>
      <c r="EQ38" s="100"/>
      <c r="ER38" s="100"/>
      <c r="ES38" s="100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2"/>
      <c r="FQ38" s="102"/>
      <c r="FR38" s="102"/>
      <c r="FS38" s="102"/>
      <c r="FT38" s="102"/>
      <c r="FU38" s="102"/>
      <c r="FV38" s="102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</row>
    <row r="39" customFormat="false" ht="12.75" hidden="false" customHeight="false" outlineLevel="0" collapsed="false">
      <c r="A39" s="46"/>
      <c r="C39" s="41"/>
      <c r="F39" s="41"/>
      <c r="I39" s="41"/>
      <c r="L39" s="41"/>
      <c r="O39" s="41"/>
      <c r="R39" s="41"/>
      <c r="U39" s="41"/>
      <c r="X39" s="41"/>
      <c r="AA39" s="41"/>
      <c r="AD39" s="41"/>
      <c r="AG39" s="41"/>
      <c r="AJ39" s="41"/>
      <c r="AM39" s="41"/>
      <c r="AP39" s="41"/>
      <c r="AS39" s="41"/>
      <c r="AV39" s="41"/>
      <c r="AY39" s="41"/>
      <c r="BB39" s="41"/>
      <c r="BE39" s="41"/>
      <c r="BH39" s="41"/>
      <c r="BK39" s="41"/>
      <c r="BN39" s="41"/>
      <c r="BQ39" s="41"/>
      <c r="BT39" s="41"/>
      <c r="BW39" s="41"/>
      <c r="BZ39" s="41"/>
      <c r="CC39" s="41"/>
      <c r="CF39" s="41"/>
      <c r="CI39" s="41"/>
      <c r="CL39" s="41"/>
      <c r="CO39" s="41"/>
      <c r="CR39" s="41"/>
      <c r="CU39" s="41"/>
      <c r="CX39" s="41"/>
      <c r="DA39" s="41"/>
      <c r="DD39" s="41"/>
      <c r="DG39" s="41"/>
      <c r="DJ39" s="41"/>
      <c r="DM39" s="41"/>
      <c r="DP39" s="41"/>
      <c r="DS39" s="44"/>
    </row>
    <row r="40" customFormat="false" ht="12.75" hidden="false" customHeight="false" outlineLevel="0" collapsed="false">
      <c r="A40" s="46"/>
      <c r="C40" s="41"/>
      <c r="F40" s="41"/>
      <c r="I40" s="41"/>
      <c r="L40" s="41"/>
      <c r="O40" s="41"/>
      <c r="R40" s="41"/>
      <c r="U40" s="41"/>
      <c r="X40" s="41"/>
      <c r="AA40" s="41"/>
      <c r="AD40" s="41"/>
      <c r="AG40" s="41"/>
      <c r="AJ40" s="41"/>
      <c r="AM40" s="41"/>
      <c r="AP40" s="41"/>
      <c r="AS40" s="41"/>
      <c r="AV40" s="41"/>
      <c r="AY40" s="41"/>
      <c r="BB40" s="41"/>
      <c r="BE40" s="41"/>
      <c r="BH40" s="41"/>
      <c r="BK40" s="41"/>
      <c r="BN40" s="41"/>
      <c r="BQ40" s="41"/>
      <c r="BT40" s="41"/>
      <c r="BW40" s="41"/>
      <c r="BZ40" s="41"/>
      <c r="CC40" s="41"/>
      <c r="CF40" s="41"/>
      <c r="CI40" s="41"/>
      <c r="CL40" s="41"/>
      <c r="CO40" s="41"/>
      <c r="CR40" s="41"/>
      <c r="CU40" s="41"/>
      <c r="CX40" s="41"/>
      <c r="DA40" s="41"/>
      <c r="DD40" s="41"/>
      <c r="DG40" s="41"/>
      <c r="DJ40" s="41"/>
      <c r="DM40" s="41"/>
      <c r="DP40" s="41"/>
      <c r="DS40" s="44"/>
    </row>
    <row r="41" customFormat="false" ht="12.75" hidden="false" customHeight="false" outlineLevel="0" collapsed="false">
      <c r="A41" s="46"/>
      <c r="C41" s="41"/>
      <c r="F41" s="41"/>
      <c r="I41" s="41"/>
      <c r="L41" s="41"/>
      <c r="O41" s="41"/>
      <c r="R41" s="41"/>
      <c r="U41" s="41"/>
      <c r="X41" s="41"/>
      <c r="AA41" s="41"/>
      <c r="AD41" s="41"/>
      <c r="AG41" s="41"/>
      <c r="AJ41" s="41"/>
      <c r="AM41" s="41"/>
      <c r="AP41" s="41"/>
      <c r="AS41" s="41"/>
      <c r="AV41" s="41"/>
      <c r="AY41" s="41"/>
      <c r="BB41" s="41"/>
      <c r="BE41" s="41"/>
      <c r="BH41" s="41"/>
      <c r="BK41" s="41"/>
      <c r="BN41" s="41"/>
      <c r="BQ41" s="41"/>
      <c r="BT41" s="41"/>
      <c r="BW41" s="41"/>
      <c r="BZ41" s="41"/>
      <c r="CC41" s="41"/>
      <c r="CF41" s="41"/>
      <c r="CI41" s="41"/>
      <c r="CL41" s="41"/>
      <c r="CO41" s="41"/>
      <c r="CR41" s="41"/>
      <c r="CU41" s="41"/>
      <c r="CX41" s="41"/>
      <c r="DA41" s="41"/>
      <c r="DD41" s="41"/>
      <c r="DG41" s="41"/>
      <c r="DJ41" s="41"/>
      <c r="DM41" s="41"/>
      <c r="DP41" s="41"/>
    </row>
    <row r="42" customFormat="false" ht="12.75" hidden="false" customHeight="false" outlineLevel="0" collapsed="false">
      <c r="A42" s="46"/>
      <c r="C42" s="41"/>
      <c r="F42" s="41"/>
      <c r="I42" s="41"/>
      <c r="L42" s="41"/>
      <c r="O42" s="41"/>
      <c r="R42" s="41"/>
      <c r="U42" s="41"/>
      <c r="X42" s="41"/>
      <c r="AA42" s="41"/>
      <c r="AD42" s="41"/>
      <c r="AG42" s="41"/>
      <c r="AJ42" s="41"/>
      <c r="AM42" s="41"/>
      <c r="AP42" s="41"/>
      <c r="AS42" s="41"/>
      <c r="AV42" s="41"/>
      <c r="AY42" s="41"/>
      <c r="BB42" s="41"/>
      <c r="BE42" s="41"/>
      <c r="BH42" s="41"/>
      <c r="BK42" s="41"/>
      <c r="BN42" s="41"/>
      <c r="BQ42" s="41"/>
      <c r="BT42" s="41"/>
      <c r="BW42" s="41"/>
      <c r="BZ42" s="41"/>
      <c r="CC42" s="41"/>
      <c r="CF42" s="41"/>
      <c r="CI42" s="41"/>
      <c r="CL42" s="41"/>
      <c r="CO42" s="41"/>
      <c r="CR42" s="41"/>
      <c r="CU42" s="41"/>
      <c r="CX42" s="41"/>
      <c r="DA42" s="41"/>
      <c r="DD42" s="41"/>
      <c r="DG42" s="41"/>
      <c r="DJ42" s="41"/>
      <c r="DM42" s="41"/>
      <c r="DP42" s="41"/>
    </row>
    <row r="43" customFormat="false" ht="12.75" hidden="false" customHeight="false" outlineLevel="0" collapsed="false">
      <c r="A43" s="46"/>
      <c r="C43" s="41"/>
      <c r="F43" s="41"/>
      <c r="I43" s="41"/>
      <c r="L43" s="41"/>
      <c r="O43" s="41"/>
      <c r="R43" s="41"/>
      <c r="U43" s="41"/>
      <c r="X43" s="41"/>
      <c r="AA43" s="41"/>
      <c r="AD43" s="41"/>
      <c r="AG43" s="41"/>
      <c r="AJ43" s="41"/>
      <c r="AM43" s="41"/>
      <c r="AP43" s="41"/>
      <c r="AS43" s="41"/>
      <c r="AV43" s="41"/>
      <c r="AY43" s="41"/>
      <c r="BB43" s="41"/>
      <c r="BE43" s="41"/>
      <c r="BH43" s="41"/>
      <c r="BK43" s="41"/>
      <c r="BN43" s="41"/>
      <c r="BQ43" s="41"/>
      <c r="BT43" s="41"/>
      <c r="BW43" s="41"/>
      <c r="BZ43" s="41"/>
      <c r="CC43" s="41"/>
      <c r="CF43" s="41"/>
      <c r="CI43" s="41"/>
      <c r="CL43" s="41"/>
      <c r="CO43" s="41"/>
      <c r="CR43" s="41"/>
      <c r="CU43" s="41"/>
      <c r="CX43" s="41"/>
      <c r="DA43" s="41"/>
      <c r="DD43" s="41"/>
      <c r="DG43" s="41"/>
      <c r="DJ43" s="41"/>
      <c r="DM43" s="41"/>
      <c r="DP43" s="41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6"/>
    </row>
    <row r="46" customFormat="false" ht="12.75" hidden="false" customHeight="false" outlineLevel="0" collapsed="false">
      <c r="A46" s="46"/>
    </row>
    <row r="47" customFormat="false" ht="12.75" hidden="false" customHeight="false" outlineLevel="0" collapsed="false">
      <c r="A47" s="46"/>
    </row>
    <row r="48" customFormat="false" ht="12.75" hidden="false" customHeight="false" outlineLevel="0" collapsed="false">
      <c r="A48" s="46"/>
    </row>
    <row r="49" customFormat="false" ht="12.75" hidden="false" customHeight="false" outlineLevel="0" collapsed="false">
      <c r="A49" s="46"/>
    </row>
    <row r="50" customFormat="false" ht="12.75" hidden="false" customHeight="false" outlineLevel="0" collapsed="false">
      <c r="A50" s="46"/>
    </row>
    <row r="51" customFormat="false" ht="12.75" hidden="false" customHeight="false" outlineLevel="0" collapsed="false">
      <c r="A51" s="46"/>
    </row>
    <row r="52" customFormat="false" ht="12.75" hidden="false" customHeight="false" outlineLevel="0" collapsed="false">
      <c r="A52" s="46"/>
    </row>
    <row r="53" customFormat="false" ht="12.75" hidden="false" customHeight="false" outlineLevel="0" collapsed="false">
      <c r="A53" s="46"/>
    </row>
    <row r="54" customFormat="false" ht="12.75" hidden="false" customHeight="false" outlineLevel="0" collapsed="false">
      <c r="A54" s="46"/>
    </row>
    <row r="55" customFormat="false" ht="12.75" hidden="false" customHeight="false" outlineLevel="0" collapsed="false">
      <c r="A55" s="46"/>
    </row>
    <row r="56" customFormat="false" ht="12.75" hidden="false" customHeight="false" outlineLevel="0" collapsed="false">
      <c r="A56" s="46"/>
    </row>
    <row r="57" customFormat="false" ht="12.75" hidden="false" customHeight="false" outlineLevel="0" collapsed="false">
      <c r="A57" s="46"/>
    </row>
    <row r="58" customFormat="false" ht="12.75" hidden="false" customHeight="false" outlineLevel="0" collapsed="false">
      <c r="A58" s="46"/>
    </row>
    <row r="59" customFormat="false" ht="12.75" hidden="false" customHeight="false" outlineLevel="0" collapsed="false">
      <c r="A59" s="46"/>
    </row>
    <row r="60" customFormat="false" ht="12.75" hidden="false" customHeight="false" outlineLevel="0" collapsed="false">
      <c r="A60" s="46"/>
    </row>
    <row r="61" customFormat="false" ht="12.75" hidden="false" customHeight="false" outlineLevel="0" collapsed="false">
      <c r="A61" s="46"/>
    </row>
    <row r="62" customFormat="false" ht="12.75" hidden="false" customHeight="false" outlineLevel="0" collapsed="false">
      <c r="A62" s="46"/>
    </row>
    <row r="63" customFormat="false" ht="12.75" hidden="false" customHeight="false" outlineLevel="0" collapsed="false">
      <c r="A63" s="46"/>
    </row>
    <row r="64" customFormat="false" ht="12.75" hidden="false" customHeight="false" outlineLevel="0" collapsed="false">
      <c r="A64" s="46"/>
    </row>
    <row r="65" customFormat="false" ht="12.75" hidden="false" customHeight="false" outlineLevel="0" collapsed="false">
      <c r="A65" s="46"/>
    </row>
    <row r="66" customFormat="false" ht="12.75" hidden="false" customHeight="false" outlineLevel="0" collapsed="false">
      <c r="A66" s="46"/>
    </row>
    <row r="67" customFormat="false" ht="12.75" hidden="false" customHeight="false" outlineLevel="0" collapsed="false">
      <c r="A67" s="46"/>
    </row>
    <row r="68" customFormat="false" ht="12.75" hidden="false" customHeight="false" outlineLevel="0" collapsed="false">
      <c r="A68" s="46"/>
    </row>
    <row r="69" customFormat="false" ht="12.75" hidden="false" customHeight="false" outlineLevel="0" collapsed="false">
      <c r="A69" s="46"/>
    </row>
    <row r="70" customFormat="false" ht="12.75" hidden="false" customHeight="false" outlineLevel="0" collapsed="false">
      <c r="A70" s="46"/>
    </row>
    <row r="71" customFormat="false" ht="12.75" hidden="false" customHeight="false" outlineLevel="0" collapsed="false">
      <c r="A71" s="46"/>
    </row>
    <row r="72" customFormat="false" ht="12.75" hidden="false" customHeight="false" outlineLevel="0" collapsed="false">
      <c r="A72" s="46"/>
    </row>
    <row r="73" customFormat="false" ht="12.75" hidden="false" customHeight="false" outlineLevel="0" collapsed="false">
      <c r="A73" s="46"/>
    </row>
    <row r="74" customFormat="false" ht="12.75" hidden="false" customHeight="false" outlineLevel="0" collapsed="false">
      <c r="A74" s="46"/>
    </row>
    <row r="75" customFormat="false" ht="12.75" hidden="false" customHeight="false" outlineLevel="0" collapsed="false">
      <c r="A75" s="46"/>
    </row>
    <row r="76" customFormat="false" ht="12.75" hidden="false" customHeight="false" outlineLevel="0" collapsed="false">
      <c r="A76" s="46"/>
    </row>
    <row r="77" customFormat="false" ht="12.75" hidden="false" customHeight="false" outlineLevel="0" collapsed="false">
      <c r="A77" s="46"/>
    </row>
    <row r="78" customFormat="false" ht="12.75" hidden="false" customHeight="false" outlineLevel="0" collapsed="false">
      <c r="A78" s="46"/>
    </row>
    <row r="79" customFormat="false" ht="12.75" hidden="false" customHeight="false" outlineLevel="0" collapsed="false">
      <c r="A79" s="46"/>
    </row>
    <row r="80" customFormat="false" ht="12.75" hidden="false" customHeight="false" outlineLevel="0" collapsed="false">
      <c r="A80" s="46"/>
    </row>
    <row r="81" customFormat="false" ht="12.75" hidden="false" customHeight="false" outlineLevel="0" collapsed="false">
      <c r="A81" s="46"/>
    </row>
    <row r="82" customFormat="false" ht="12.75" hidden="false" customHeight="false" outlineLevel="0" collapsed="false">
      <c r="A82" s="46"/>
    </row>
    <row r="83" customFormat="false" ht="12.75" hidden="false" customHeight="false" outlineLevel="0" collapsed="false">
      <c r="A83" s="46"/>
    </row>
    <row r="84" customFormat="false" ht="12.75" hidden="false" customHeight="false" outlineLevel="0" collapsed="false">
      <c r="A84" s="46"/>
    </row>
    <row r="85" customFormat="false" ht="12.75" hidden="false" customHeight="false" outlineLevel="0" collapsed="false">
      <c r="A85" s="46"/>
    </row>
    <row r="86" customFormat="false" ht="12.75" hidden="false" customHeight="false" outlineLevel="0" collapsed="false">
      <c r="A86" s="46"/>
    </row>
    <row r="87" customFormat="false" ht="12.75" hidden="false" customHeight="false" outlineLevel="0" collapsed="false">
      <c r="A87" s="46"/>
    </row>
    <row r="88" customFormat="false" ht="12.75" hidden="false" customHeight="false" outlineLevel="0" collapsed="false">
      <c r="A88" s="46"/>
    </row>
    <row r="89" customFormat="false" ht="12.75" hidden="false" customHeight="false" outlineLevel="0" collapsed="false">
      <c r="A89" s="46"/>
    </row>
    <row r="90" customFormat="false" ht="12.75" hidden="false" customHeight="false" outlineLevel="0" collapsed="false">
      <c r="A90" s="46"/>
    </row>
    <row r="91" customFormat="false" ht="12.75" hidden="false" customHeight="false" outlineLevel="0" collapsed="false">
      <c r="A91" s="46"/>
    </row>
    <row r="92" customFormat="false" ht="12.75" hidden="false" customHeight="false" outlineLevel="0" collapsed="false">
      <c r="A92" s="46"/>
    </row>
    <row r="93" customFormat="false" ht="12.75" hidden="false" customHeight="false" outlineLevel="0" collapsed="false">
      <c r="A93" s="46"/>
    </row>
    <row r="94" customFormat="false" ht="12.75" hidden="false" customHeight="false" outlineLevel="0" collapsed="false">
      <c r="A94" s="46"/>
    </row>
    <row r="95" customFormat="false" ht="12.75" hidden="false" customHeight="false" outlineLevel="0" collapsed="false">
      <c r="A95" s="46"/>
    </row>
    <row r="96" customFormat="false" ht="12.75" hidden="false" customHeight="false" outlineLevel="0" collapsed="false">
      <c r="A96" s="46"/>
    </row>
    <row r="97" customFormat="false" ht="12.75" hidden="false" customHeight="false" outlineLevel="0" collapsed="false">
      <c r="A97" s="46"/>
    </row>
    <row r="98" customFormat="false" ht="12.75" hidden="false" customHeight="false" outlineLevel="0" collapsed="false">
      <c r="A98" s="46"/>
    </row>
    <row r="99" customFormat="false" ht="12.75" hidden="false" customHeight="false" outlineLevel="0" collapsed="false">
      <c r="A99" s="46"/>
    </row>
    <row r="100" customFormat="false" ht="12.75" hidden="false" customHeight="false" outlineLevel="0" collapsed="false">
      <c r="A100" s="46"/>
    </row>
    <row r="101" customFormat="false" ht="12.75" hidden="false" customHeight="false" outlineLevel="0" collapsed="false">
      <c r="A101" s="46"/>
    </row>
    <row r="102" customFormat="false" ht="12.75" hidden="false" customHeight="false" outlineLevel="0" collapsed="false">
      <c r="A102" s="46"/>
    </row>
    <row r="103" customFormat="false" ht="12.75" hidden="false" customHeight="false" outlineLevel="0" collapsed="false">
      <c r="A103" s="46"/>
    </row>
    <row r="104" customFormat="false" ht="12.75" hidden="false" customHeight="false" outlineLevel="0" collapsed="false">
      <c r="A104" s="46"/>
    </row>
    <row r="105" customFormat="false" ht="12.75" hidden="false" customHeight="false" outlineLevel="0" collapsed="false">
      <c r="A105" s="46"/>
    </row>
    <row r="106" customFormat="false" ht="12.75" hidden="false" customHeight="false" outlineLevel="0" collapsed="false">
      <c r="A106" s="46"/>
    </row>
    <row r="107" customFormat="false" ht="12.75" hidden="false" customHeight="false" outlineLevel="0" collapsed="false">
      <c r="A107" s="46"/>
    </row>
    <row r="108" customFormat="false" ht="12.75" hidden="false" customHeight="false" outlineLevel="0" collapsed="false">
      <c r="A108" s="46"/>
    </row>
    <row r="109" customFormat="false" ht="12.75" hidden="false" customHeight="false" outlineLevel="0" collapsed="false">
      <c r="A109" s="46"/>
    </row>
    <row r="110" customFormat="false" ht="12.75" hidden="false" customHeight="false" outlineLevel="0" collapsed="false">
      <c r="A110" s="46"/>
    </row>
    <row r="111" customFormat="false" ht="12.75" hidden="false" customHeight="false" outlineLevel="0" collapsed="false">
      <c r="A111" s="46"/>
    </row>
    <row r="112" customFormat="false" ht="12.75" hidden="false" customHeight="false" outlineLevel="0" collapsed="false">
      <c r="A112" s="46"/>
    </row>
    <row r="113" customFormat="false" ht="12.75" hidden="false" customHeight="false" outlineLevel="0" collapsed="false">
      <c r="A113" s="46"/>
    </row>
    <row r="114" customFormat="false" ht="12.75" hidden="false" customHeight="false" outlineLevel="0" collapsed="false">
      <c r="A114" s="46"/>
    </row>
    <row r="115" customFormat="false" ht="12.75" hidden="false" customHeight="false" outlineLevel="0" collapsed="false">
      <c r="A115" s="46"/>
    </row>
    <row r="116" customFormat="false" ht="12.75" hidden="false" customHeight="false" outlineLevel="0" collapsed="false">
      <c r="A116" s="46"/>
    </row>
    <row r="117" customFormat="false" ht="12.75" hidden="false" customHeight="false" outlineLevel="0" collapsed="false">
      <c r="A117" s="46"/>
    </row>
    <row r="118" customFormat="false" ht="12.75" hidden="false" customHeight="false" outlineLevel="0" collapsed="false">
      <c r="A118" s="46"/>
    </row>
    <row r="119" customFormat="false" ht="12.75" hidden="false" customHeight="false" outlineLevel="0" collapsed="false">
      <c r="A119" s="46"/>
    </row>
    <row r="120" customFormat="false" ht="12.75" hidden="false" customHeight="false" outlineLevel="0" collapsed="false">
      <c r="A120" s="46"/>
    </row>
    <row r="121" customFormat="false" ht="12.75" hidden="false" customHeight="false" outlineLevel="0" collapsed="false">
      <c r="A121" s="46"/>
    </row>
    <row r="122" customFormat="false" ht="12.75" hidden="false" customHeight="false" outlineLevel="0" collapsed="false">
      <c r="A122" s="46"/>
    </row>
    <row r="123" customFormat="false" ht="12.75" hidden="false" customHeight="false" outlineLevel="0" collapsed="false">
      <c r="A123" s="46"/>
    </row>
    <row r="124" customFormat="false" ht="12.75" hidden="false" customHeight="false" outlineLevel="0" collapsed="false">
      <c r="A124" s="46"/>
    </row>
    <row r="125" customFormat="false" ht="12.75" hidden="false" customHeight="false" outlineLevel="0" collapsed="false">
      <c r="A125" s="46"/>
    </row>
    <row r="126" customFormat="false" ht="12.75" hidden="false" customHeight="false" outlineLevel="0" collapsed="false">
      <c r="A126" s="46"/>
    </row>
    <row r="127" customFormat="false" ht="12.75" hidden="false" customHeight="false" outlineLevel="0" collapsed="false">
      <c r="A127" s="46"/>
    </row>
    <row r="128" customFormat="false" ht="12.75" hidden="false" customHeight="false" outlineLevel="0" collapsed="false">
      <c r="A128" s="46"/>
    </row>
    <row r="129" customFormat="false" ht="12.75" hidden="false" customHeight="false" outlineLevel="0" collapsed="false">
      <c r="A129" s="46"/>
    </row>
    <row r="130" customFormat="false" ht="12.75" hidden="false" customHeight="false" outlineLevel="0" collapsed="false">
      <c r="A130" s="46"/>
    </row>
    <row r="131" customFormat="false" ht="12.75" hidden="false" customHeight="false" outlineLevel="0" collapsed="false">
      <c r="A131" s="46"/>
    </row>
    <row r="132" customFormat="false" ht="12.75" hidden="false" customHeight="false" outlineLevel="0" collapsed="false">
      <c r="A132" s="46"/>
    </row>
    <row r="133" customFormat="false" ht="12.75" hidden="false" customHeight="false" outlineLevel="0" collapsed="false">
      <c r="A133" s="46"/>
    </row>
    <row r="134" customFormat="false" ht="12.75" hidden="false" customHeight="false" outlineLevel="0" collapsed="false">
      <c r="A134" s="46"/>
    </row>
    <row r="135" customFormat="false" ht="12.75" hidden="false" customHeight="false" outlineLevel="0" collapsed="false">
      <c r="A135" s="46"/>
    </row>
    <row r="136" customFormat="false" ht="12.75" hidden="false" customHeight="false" outlineLevel="0" collapsed="false">
      <c r="A136" s="46"/>
    </row>
    <row r="137" customFormat="false" ht="12.75" hidden="false" customHeight="false" outlineLevel="0" collapsed="false">
      <c r="A137" s="46"/>
    </row>
    <row r="138" customFormat="false" ht="12.75" hidden="false" customHeight="false" outlineLevel="0" collapsed="false">
      <c r="A138" s="46"/>
    </row>
    <row r="139" customFormat="false" ht="12.75" hidden="false" customHeight="false" outlineLevel="0" collapsed="false">
      <c r="A139" s="46"/>
    </row>
    <row r="140" customFormat="false" ht="12.75" hidden="false" customHeight="false" outlineLevel="0" collapsed="false">
      <c r="A140" s="46"/>
    </row>
    <row r="141" customFormat="false" ht="12.75" hidden="false" customHeight="false" outlineLevel="0" collapsed="false">
      <c r="A141" s="46"/>
    </row>
    <row r="142" customFormat="false" ht="12.75" hidden="false" customHeight="false" outlineLevel="0" collapsed="false">
      <c r="A142" s="46"/>
    </row>
    <row r="143" customFormat="false" ht="12.75" hidden="false" customHeight="false" outlineLevel="0" collapsed="false">
      <c r="A143" s="46"/>
    </row>
    <row r="144" customFormat="false" ht="12.75" hidden="false" customHeight="false" outlineLevel="0" collapsed="false">
      <c r="A144" s="46"/>
    </row>
    <row r="145" customFormat="false" ht="12.75" hidden="false" customHeight="false" outlineLevel="0" collapsed="false">
      <c r="A145" s="46"/>
    </row>
    <row r="146" customFormat="false" ht="12.75" hidden="false" customHeight="false" outlineLevel="0" collapsed="false">
      <c r="A146" s="46"/>
    </row>
    <row r="147" customFormat="false" ht="12.75" hidden="false" customHeight="false" outlineLevel="0" collapsed="false">
      <c r="A147" s="46"/>
    </row>
    <row r="148" customFormat="false" ht="12.75" hidden="false" customHeight="false" outlineLevel="0" collapsed="false">
      <c r="A148" s="46"/>
    </row>
    <row r="149" customFormat="false" ht="12.75" hidden="false" customHeight="false" outlineLevel="0" collapsed="false">
      <c r="A149" s="46"/>
    </row>
    <row r="150" customFormat="false" ht="12.75" hidden="false" customHeight="false" outlineLevel="0" collapsed="false">
      <c r="A150" s="46"/>
    </row>
    <row r="151" customFormat="false" ht="12.75" hidden="false" customHeight="false" outlineLevel="0" collapsed="false">
      <c r="A151" s="46"/>
    </row>
    <row r="152" customFormat="false" ht="12.75" hidden="false" customHeight="false" outlineLevel="0" collapsed="false">
      <c r="A152" s="46"/>
    </row>
    <row r="153" customFormat="false" ht="12.75" hidden="false" customHeight="false" outlineLevel="0" collapsed="false">
      <c r="A153" s="46"/>
    </row>
    <row r="154" customFormat="false" ht="12.75" hidden="false" customHeight="false" outlineLevel="0" collapsed="false">
      <c r="A154" s="46"/>
    </row>
    <row r="155" customFormat="false" ht="12.75" hidden="false" customHeight="false" outlineLevel="0" collapsed="false">
      <c r="A155" s="46"/>
    </row>
    <row r="156" customFormat="false" ht="12.75" hidden="false" customHeight="false" outlineLevel="0" collapsed="false">
      <c r="A156" s="46"/>
    </row>
    <row r="157" customFormat="false" ht="12.75" hidden="false" customHeight="false" outlineLevel="0" collapsed="false">
      <c r="A157" s="46"/>
    </row>
    <row r="158" customFormat="false" ht="12.75" hidden="false" customHeight="false" outlineLevel="0" collapsed="false">
      <c r="A158" s="46"/>
    </row>
    <row r="159" customFormat="false" ht="12.75" hidden="false" customHeight="false" outlineLevel="0" collapsed="false">
      <c r="A159" s="46"/>
    </row>
    <row r="160" customFormat="false" ht="12.75" hidden="false" customHeight="false" outlineLevel="0" collapsed="false">
      <c r="A160" s="46"/>
    </row>
    <row r="161" customFormat="false" ht="12.75" hidden="false" customHeight="false" outlineLevel="0" collapsed="false">
      <c r="A161" s="46"/>
    </row>
    <row r="162" customFormat="false" ht="12.75" hidden="false" customHeight="false" outlineLevel="0" collapsed="false">
      <c r="A162" s="46"/>
    </row>
    <row r="163" customFormat="false" ht="12.75" hidden="false" customHeight="false" outlineLevel="0" collapsed="false">
      <c r="A163" s="46"/>
    </row>
    <row r="164" customFormat="false" ht="12.75" hidden="false" customHeight="false" outlineLevel="0" collapsed="false">
      <c r="A164" s="46"/>
    </row>
    <row r="165" customFormat="false" ht="12.75" hidden="false" customHeight="false" outlineLevel="0" collapsed="false">
      <c r="A165" s="46"/>
    </row>
    <row r="166" customFormat="false" ht="12.75" hidden="false" customHeight="false" outlineLevel="0" collapsed="false">
      <c r="A166" s="46"/>
    </row>
    <row r="167" customFormat="false" ht="12.75" hidden="false" customHeight="false" outlineLevel="0" collapsed="false">
      <c r="A167" s="46"/>
    </row>
    <row r="168" customFormat="false" ht="12.75" hidden="false" customHeight="false" outlineLevel="0" collapsed="false">
      <c r="A168" s="46"/>
    </row>
    <row r="169" customFormat="false" ht="12.75" hidden="false" customHeight="false" outlineLevel="0" collapsed="false">
      <c r="A169" s="46"/>
    </row>
    <row r="170" customFormat="false" ht="12.75" hidden="false" customHeight="false" outlineLevel="0" collapsed="false">
      <c r="A170" s="46"/>
    </row>
    <row r="171" customFormat="false" ht="12.75" hidden="false" customHeight="false" outlineLevel="0" collapsed="false">
      <c r="A171" s="46"/>
    </row>
    <row r="172" customFormat="false" ht="12.75" hidden="false" customHeight="false" outlineLevel="0" collapsed="false">
      <c r="A172" s="46"/>
    </row>
    <row r="173" customFormat="false" ht="12.75" hidden="false" customHeight="false" outlineLevel="0" collapsed="false">
      <c r="A173" s="46"/>
    </row>
    <row r="174" customFormat="false" ht="12.75" hidden="false" customHeight="false" outlineLevel="0" collapsed="false">
      <c r="A174" s="46"/>
    </row>
    <row r="175" customFormat="false" ht="12.75" hidden="false" customHeight="false" outlineLevel="0" collapsed="false">
      <c r="A175" s="46"/>
    </row>
    <row r="176" customFormat="false" ht="12.75" hidden="false" customHeight="false" outlineLevel="0" collapsed="false">
      <c r="A176" s="46"/>
    </row>
    <row r="177" customFormat="false" ht="12.75" hidden="false" customHeight="false" outlineLevel="0" collapsed="false">
      <c r="A177" s="46"/>
    </row>
    <row r="178" customFormat="false" ht="12.75" hidden="false" customHeight="false" outlineLevel="0" collapsed="false">
      <c r="A178" s="46"/>
    </row>
    <row r="179" customFormat="false" ht="12.75" hidden="false" customHeight="false" outlineLevel="0" collapsed="false">
      <c r="A179" s="46"/>
    </row>
    <row r="180" customFormat="false" ht="12.75" hidden="false" customHeight="false" outlineLevel="0" collapsed="false">
      <c r="A180" s="46"/>
    </row>
    <row r="181" customFormat="false" ht="12.75" hidden="false" customHeight="false" outlineLevel="0" collapsed="false">
      <c r="A181" s="46"/>
    </row>
    <row r="182" customFormat="false" ht="12.75" hidden="false" customHeight="false" outlineLevel="0" collapsed="false">
      <c r="A182" s="46"/>
    </row>
    <row r="183" customFormat="false" ht="12.75" hidden="false" customHeight="false" outlineLevel="0" collapsed="false">
      <c r="A183" s="46"/>
    </row>
    <row r="184" customFormat="false" ht="12.75" hidden="false" customHeight="false" outlineLevel="0" collapsed="false">
      <c r="A184" s="46"/>
    </row>
    <row r="185" customFormat="false" ht="12.75" hidden="false" customHeight="false" outlineLevel="0" collapsed="false">
      <c r="A185" s="46"/>
    </row>
    <row r="186" customFormat="false" ht="12.75" hidden="false" customHeight="false" outlineLevel="0" collapsed="false">
      <c r="A186" s="46"/>
    </row>
    <row r="187" customFormat="false" ht="12.75" hidden="false" customHeight="false" outlineLevel="0" collapsed="false">
      <c r="A187" s="46"/>
    </row>
    <row r="188" customFormat="false" ht="12.75" hidden="false" customHeight="false" outlineLevel="0" collapsed="false">
      <c r="A188" s="46"/>
    </row>
    <row r="189" customFormat="false" ht="12.75" hidden="false" customHeight="false" outlineLevel="0" collapsed="false">
      <c r="A189" s="46"/>
    </row>
    <row r="190" customFormat="false" ht="12.75" hidden="false" customHeight="false" outlineLevel="0" collapsed="false">
      <c r="A190" s="46"/>
    </row>
    <row r="191" customFormat="false" ht="12.75" hidden="false" customHeight="false" outlineLevel="0" collapsed="false">
      <c r="A191" s="46"/>
    </row>
    <row r="192" customFormat="false" ht="12.75" hidden="false" customHeight="false" outlineLevel="0" collapsed="false">
      <c r="A192" s="46"/>
    </row>
    <row r="193" customFormat="false" ht="12.75" hidden="false" customHeight="false" outlineLevel="0" collapsed="false">
      <c r="A193" s="46"/>
    </row>
    <row r="194" customFormat="false" ht="12.75" hidden="false" customHeight="false" outlineLevel="0" collapsed="false">
      <c r="A194" s="46"/>
    </row>
    <row r="195" customFormat="false" ht="12.75" hidden="false" customHeight="false" outlineLevel="0" collapsed="false">
      <c r="A195" s="46"/>
    </row>
    <row r="196" customFormat="false" ht="12.75" hidden="false" customHeight="false" outlineLevel="0" collapsed="false">
      <c r="A196" s="46"/>
    </row>
    <row r="197" customFormat="false" ht="12.75" hidden="false" customHeight="false" outlineLevel="0" collapsed="false">
      <c r="A197" s="46"/>
    </row>
    <row r="198" customFormat="false" ht="12.75" hidden="false" customHeight="false" outlineLevel="0" collapsed="false">
      <c r="A198" s="46"/>
    </row>
    <row r="199" customFormat="false" ht="12.75" hidden="false" customHeight="false" outlineLevel="0" collapsed="false">
      <c r="A199" s="46"/>
    </row>
    <row r="200" customFormat="false" ht="12.75" hidden="false" customHeight="false" outlineLevel="0" collapsed="false">
      <c r="A200" s="46"/>
    </row>
    <row r="201" customFormat="false" ht="12.75" hidden="false" customHeight="false" outlineLevel="0" collapsed="false">
      <c r="A201" s="46"/>
    </row>
    <row r="202" customFormat="false" ht="12.75" hidden="false" customHeight="false" outlineLevel="0" collapsed="false">
      <c r="A202" s="46"/>
    </row>
    <row r="203" customFormat="false" ht="12.75" hidden="false" customHeight="false" outlineLevel="0" collapsed="false">
      <c r="A203" s="46"/>
    </row>
    <row r="204" customFormat="false" ht="12.75" hidden="false" customHeight="false" outlineLevel="0" collapsed="false">
      <c r="A204" s="46"/>
    </row>
    <row r="205" customFormat="false" ht="12.75" hidden="false" customHeight="false" outlineLevel="0" collapsed="false">
      <c r="A205" s="46"/>
    </row>
    <row r="206" customFormat="false" ht="12.75" hidden="false" customHeight="false" outlineLevel="0" collapsed="false">
      <c r="A206" s="46"/>
    </row>
    <row r="207" customFormat="false" ht="12.75" hidden="false" customHeight="false" outlineLevel="0" collapsed="false">
      <c r="A207" s="46"/>
    </row>
    <row r="208" customFormat="false" ht="12.75" hidden="false" customHeight="false" outlineLevel="0" collapsed="false">
      <c r="A208" s="46"/>
    </row>
    <row r="209" customFormat="false" ht="12.75" hidden="false" customHeight="false" outlineLevel="0" collapsed="false">
      <c r="A209" s="46"/>
    </row>
    <row r="210" customFormat="false" ht="12.75" hidden="false" customHeight="false" outlineLevel="0" collapsed="false">
      <c r="A210" s="46"/>
    </row>
    <row r="211" customFormat="false" ht="12.75" hidden="false" customHeight="false" outlineLevel="0" collapsed="false">
      <c r="A211" s="46"/>
    </row>
    <row r="212" customFormat="false" ht="12.75" hidden="false" customHeight="false" outlineLevel="0" collapsed="false">
      <c r="A212" s="46"/>
    </row>
    <row r="213" customFormat="false" ht="12.75" hidden="false" customHeight="false" outlineLevel="0" collapsed="false">
      <c r="A213" s="46"/>
    </row>
    <row r="214" customFormat="false" ht="12.75" hidden="false" customHeight="false" outlineLevel="0" collapsed="false">
      <c r="A214" s="46"/>
    </row>
    <row r="215" customFormat="false" ht="12.75" hidden="false" customHeight="false" outlineLevel="0" collapsed="false">
      <c r="A215" s="46"/>
    </row>
    <row r="216" customFormat="false" ht="12.75" hidden="false" customHeight="false" outlineLevel="0" collapsed="false">
      <c r="A216" s="46"/>
    </row>
    <row r="217" customFormat="false" ht="12.75" hidden="false" customHeight="false" outlineLevel="0" collapsed="false">
      <c r="A217" s="46"/>
    </row>
    <row r="218" customFormat="false" ht="12.75" hidden="false" customHeight="false" outlineLevel="0" collapsed="false">
      <c r="A218" s="46"/>
    </row>
    <row r="219" customFormat="false" ht="12.75" hidden="false" customHeight="false" outlineLevel="0" collapsed="false">
      <c r="A219" s="46"/>
    </row>
    <row r="220" customFormat="false" ht="12.75" hidden="false" customHeight="false" outlineLevel="0" collapsed="false">
      <c r="A220" s="46"/>
    </row>
    <row r="221" customFormat="false" ht="12.75" hidden="false" customHeight="false" outlineLevel="0" collapsed="false">
      <c r="A221" s="46"/>
    </row>
    <row r="222" customFormat="false" ht="12.75" hidden="false" customHeight="false" outlineLevel="0" collapsed="false">
      <c r="A222" s="46"/>
    </row>
    <row r="223" customFormat="false" ht="12.75" hidden="false" customHeight="false" outlineLevel="0" collapsed="false">
      <c r="A223" s="46"/>
    </row>
    <row r="224" customFormat="false" ht="12.75" hidden="false" customHeight="false" outlineLevel="0" collapsed="false">
      <c r="A224" s="46"/>
    </row>
    <row r="225" customFormat="false" ht="12.75" hidden="false" customHeight="false" outlineLevel="0" collapsed="false">
      <c r="A225" s="46"/>
    </row>
    <row r="226" customFormat="false" ht="12.75" hidden="false" customHeight="false" outlineLevel="0" collapsed="false">
      <c r="A226" s="46"/>
    </row>
    <row r="227" customFormat="false" ht="12.75" hidden="false" customHeight="false" outlineLevel="0" collapsed="false">
      <c r="A227" s="46"/>
    </row>
    <row r="228" customFormat="false" ht="12.75" hidden="false" customHeight="false" outlineLevel="0" collapsed="false">
      <c r="A228" s="46"/>
    </row>
    <row r="229" customFormat="false" ht="12.75" hidden="false" customHeight="false" outlineLevel="0" collapsed="false">
      <c r="A229" s="46"/>
    </row>
    <row r="230" customFormat="false" ht="12.75" hidden="false" customHeight="false" outlineLevel="0" collapsed="false">
      <c r="A230" s="46"/>
    </row>
    <row r="231" customFormat="false" ht="12.75" hidden="false" customHeight="false" outlineLevel="0" collapsed="false">
      <c r="A231" s="46"/>
    </row>
    <row r="232" customFormat="false" ht="12.75" hidden="false" customHeight="false" outlineLevel="0" collapsed="false">
      <c r="A232" s="46"/>
    </row>
    <row r="233" customFormat="false" ht="12.75" hidden="false" customHeight="false" outlineLevel="0" collapsed="false">
      <c r="A233" s="46"/>
    </row>
    <row r="234" customFormat="false" ht="12.75" hidden="false" customHeight="false" outlineLevel="0" collapsed="false">
      <c r="A234" s="46"/>
    </row>
    <row r="235" customFormat="false" ht="12.75" hidden="false" customHeight="false" outlineLevel="0" collapsed="false">
      <c r="A235" s="46"/>
    </row>
    <row r="236" customFormat="false" ht="12.75" hidden="false" customHeight="false" outlineLevel="0" collapsed="false">
      <c r="A236" s="46"/>
    </row>
    <row r="237" customFormat="false" ht="12.75" hidden="false" customHeight="false" outlineLevel="0" collapsed="false">
      <c r="A237" s="46"/>
    </row>
    <row r="238" customFormat="false" ht="12.75" hidden="false" customHeight="false" outlineLevel="0" collapsed="false">
      <c r="A238" s="46"/>
    </row>
    <row r="239" customFormat="false" ht="12.75" hidden="false" customHeight="false" outlineLevel="0" collapsed="false">
      <c r="A239" s="46"/>
    </row>
    <row r="240" customFormat="false" ht="12.75" hidden="false" customHeight="false" outlineLevel="0" collapsed="false">
      <c r="A240" s="46"/>
    </row>
    <row r="241" customFormat="false" ht="12.75" hidden="false" customHeight="false" outlineLevel="0" collapsed="false">
      <c r="A241" s="46"/>
    </row>
    <row r="242" customFormat="false" ht="12.75" hidden="false" customHeight="false" outlineLevel="0" collapsed="false">
      <c r="A242" s="46"/>
    </row>
    <row r="243" customFormat="false" ht="12.75" hidden="false" customHeight="false" outlineLevel="0" collapsed="false">
      <c r="A243" s="46"/>
    </row>
    <row r="244" customFormat="false" ht="12.75" hidden="false" customHeight="false" outlineLevel="0" collapsed="false">
      <c r="A244" s="46"/>
    </row>
    <row r="245" customFormat="false" ht="12.75" hidden="false" customHeight="false" outlineLevel="0" collapsed="false">
      <c r="A245" s="46"/>
    </row>
    <row r="246" customFormat="false" ht="12.75" hidden="false" customHeight="false" outlineLevel="0" collapsed="false">
      <c r="A246" s="46"/>
    </row>
    <row r="247" customFormat="false" ht="12.75" hidden="false" customHeight="false" outlineLevel="0" collapsed="false">
      <c r="A247" s="46"/>
    </row>
    <row r="248" customFormat="false" ht="12.75" hidden="false" customHeight="false" outlineLevel="0" collapsed="false">
      <c r="A248" s="46"/>
    </row>
    <row r="249" customFormat="false" ht="12.75" hidden="false" customHeight="false" outlineLevel="0" collapsed="false">
      <c r="A249" s="46"/>
    </row>
    <row r="250" customFormat="false" ht="12.75" hidden="false" customHeight="false" outlineLevel="0" collapsed="false">
      <c r="A250" s="46"/>
    </row>
    <row r="251" customFormat="false" ht="12.75" hidden="false" customHeight="false" outlineLevel="0" collapsed="false">
      <c r="A251" s="46"/>
    </row>
    <row r="252" customFormat="false" ht="12.75" hidden="false" customHeight="false" outlineLevel="0" collapsed="false">
      <c r="A252" s="46"/>
    </row>
    <row r="253" customFormat="false" ht="12.75" hidden="false" customHeight="false" outlineLevel="0" collapsed="false">
      <c r="A253" s="46"/>
    </row>
    <row r="254" customFormat="false" ht="12.75" hidden="false" customHeight="false" outlineLevel="0" collapsed="false">
      <c r="A254" s="46"/>
    </row>
    <row r="255" customFormat="false" ht="12.75" hidden="false" customHeight="false" outlineLevel="0" collapsed="false">
      <c r="A255" s="46"/>
    </row>
    <row r="256" customFormat="false" ht="12.75" hidden="false" customHeight="false" outlineLevel="0" collapsed="false">
      <c r="A256" s="46"/>
    </row>
    <row r="257" customFormat="false" ht="12.75" hidden="false" customHeight="false" outlineLevel="0" collapsed="false">
      <c r="A257" s="46"/>
    </row>
    <row r="258" customFormat="false" ht="12.75" hidden="false" customHeight="false" outlineLevel="0" collapsed="false">
      <c r="A258" s="46"/>
    </row>
    <row r="259" customFormat="false" ht="12.75" hidden="false" customHeight="false" outlineLevel="0" collapsed="false">
      <c r="A259" s="46"/>
    </row>
    <row r="260" customFormat="false" ht="12.75" hidden="false" customHeight="false" outlineLevel="0" collapsed="false">
      <c r="A260" s="46"/>
    </row>
    <row r="261" customFormat="false" ht="12.75" hidden="false" customHeight="false" outlineLevel="0" collapsed="false">
      <c r="A261" s="46"/>
    </row>
    <row r="262" customFormat="false" ht="12.75" hidden="false" customHeight="false" outlineLevel="0" collapsed="false">
      <c r="A262" s="46"/>
    </row>
    <row r="263" customFormat="false" ht="12.75" hidden="false" customHeight="false" outlineLevel="0" collapsed="false">
      <c r="A263" s="46"/>
    </row>
    <row r="264" customFormat="false" ht="12.75" hidden="false" customHeight="false" outlineLevel="0" collapsed="false">
      <c r="A264" s="46"/>
    </row>
    <row r="265" customFormat="false" ht="12.75" hidden="false" customHeight="false" outlineLevel="0" collapsed="false">
      <c r="A265" s="46"/>
    </row>
    <row r="266" customFormat="false" ht="12.75" hidden="false" customHeight="false" outlineLevel="0" collapsed="false">
      <c r="A266" s="46"/>
    </row>
    <row r="267" customFormat="false" ht="12.75" hidden="false" customHeight="false" outlineLevel="0" collapsed="false">
      <c r="A267" s="46"/>
    </row>
    <row r="268" customFormat="false" ht="12.75" hidden="false" customHeight="false" outlineLevel="0" collapsed="false">
      <c r="A268" s="46"/>
    </row>
    <row r="269" customFormat="false" ht="12.75" hidden="false" customHeight="false" outlineLevel="0" collapsed="false">
      <c r="A269" s="46"/>
    </row>
    <row r="270" customFormat="false" ht="12.75" hidden="false" customHeight="false" outlineLevel="0" collapsed="false">
      <c r="A270" s="46"/>
    </row>
    <row r="271" customFormat="false" ht="12.75" hidden="false" customHeight="false" outlineLevel="0" collapsed="false">
      <c r="A271" s="46"/>
    </row>
    <row r="272" customFormat="false" ht="12.75" hidden="false" customHeight="false" outlineLevel="0" collapsed="false">
      <c r="A272" s="46"/>
    </row>
    <row r="273" customFormat="false" ht="12.75" hidden="false" customHeight="false" outlineLevel="0" collapsed="false">
      <c r="A273" s="46"/>
    </row>
    <row r="274" customFormat="false" ht="12.75" hidden="false" customHeight="false" outlineLevel="0" collapsed="false">
      <c r="A274" s="46"/>
    </row>
    <row r="275" customFormat="false" ht="12.75" hidden="false" customHeight="false" outlineLevel="0" collapsed="false">
      <c r="A275" s="46"/>
    </row>
    <row r="276" customFormat="false" ht="12.75" hidden="false" customHeight="false" outlineLevel="0" collapsed="false">
      <c r="A276" s="46"/>
    </row>
    <row r="277" customFormat="false" ht="12.75" hidden="false" customHeight="false" outlineLevel="0" collapsed="false">
      <c r="A277" s="46"/>
    </row>
    <row r="278" customFormat="false" ht="12.75" hidden="false" customHeight="false" outlineLevel="0" collapsed="false">
      <c r="A278" s="46"/>
    </row>
    <row r="279" customFormat="false" ht="12.75" hidden="false" customHeight="false" outlineLevel="0" collapsed="false">
      <c r="A279" s="46"/>
    </row>
    <row r="280" customFormat="false" ht="12.75" hidden="false" customHeight="false" outlineLevel="0" collapsed="false">
      <c r="A280" s="46"/>
    </row>
    <row r="281" customFormat="false" ht="12.75" hidden="false" customHeight="false" outlineLevel="0" collapsed="false">
      <c r="A281" s="46"/>
    </row>
    <row r="282" customFormat="false" ht="12.75" hidden="false" customHeight="false" outlineLevel="0" collapsed="false">
      <c r="A282" s="46"/>
    </row>
    <row r="283" customFormat="false" ht="12.75" hidden="false" customHeight="false" outlineLevel="0" collapsed="false">
      <c r="A283" s="46"/>
    </row>
    <row r="284" customFormat="false" ht="12.75" hidden="false" customHeight="false" outlineLevel="0" collapsed="false">
      <c r="A284" s="46"/>
    </row>
    <row r="285" customFormat="false" ht="12.75" hidden="false" customHeight="false" outlineLevel="0" collapsed="false">
      <c r="A285" s="46"/>
    </row>
    <row r="286" customFormat="false" ht="12.75" hidden="false" customHeight="false" outlineLevel="0" collapsed="false">
      <c r="A286" s="46"/>
    </row>
    <row r="287" customFormat="false" ht="12.75" hidden="false" customHeight="false" outlineLevel="0" collapsed="false">
      <c r="A287" s="46"/>
    </row>
    <row r="288" customFormat="false" ht="12.75" hidden="false" customHeight="false" outlineLevel="0" collapsed="false">
      <c r="A288" s="46"/>
    </row>
    <row r="289" customFormat="false" ht="12.75" hidden="false" customHeight="false" outlineLevel="0" collapsed="false">
      <c r="A289" s="46"/>
    </row>
    <row r="290" customFormat="false" ht="12.75" hidden="false" customHeight="false" outlineLevel="0" collapsed="false">
      <c r="A290" s="46"/>
    </row>
    <row r="291" customFormat="false" ht="12.75" hidden="false" customHeight="false" outlineLevel="0" collapsed="false">
      <c r="A291" s="46"/>
    </row>
    <row r="292" customFormat="false" ht="12.75" hidden="false" customHeight="false" outlineLevel="0" collapsed="false">
      <c r="A292" s="46"/>
    </row>
    <row r="293" customFormat="false" ht="12.75" hidden="false" customHeight="false" outlineLevel="0" collapsed="false">
      <c r="A293" s="46"/>
    </row>
    <row r="294" customFormat="false" ht="12.75" hidden="false" customHeight="false" outlineLevel="0" collapsed="false">
      <c r="A294" s="46"/>
    </row>
    <row r="295" customFormat="false" ht="12.75" hidden="false" customHeight="false" outlineLevel="0" collapsed="false">
      <c r="A295" s="46"/>
    </row>
    <row r="296" customFormat="false" ht="12.75" hidden="false" customHeight="false" outlineLevel="0" collapsed="false">
      <c r="A296" s="46"/>
    </row>
    <row r="297" customFormat="false" ht="12.75" hidden="false" customHeight="false" outlineLevel="0" collapsed="false">
      <c r="A297" s="46"/>
    </row>
    <row r="298" customFormat="false" ht="12.75" hidden="false" customHeight="false" outlineLevel="0" collapsed="false">
      <c r="A298" s="46"/>
    </row>
    <row r="299" customFormat="false" ht="12.75" hidden="false" customHeight="false" outlineLevel="0" collapsed="false">
      <c r="A299" s="46"/>
    </row>
    <row r="300" customFormat="false" ht="12.75" hidden="false" customHeight="false" outlineLevel="0" collapsed="false">
      <c r="A300" s="46"/>
    </row>
    <row r="301" customFormat="false" ht="12.75" hidden="false" customHeight="false" outlineLevel="0" collapsed="false">
      <c r="A301" s="46"/>
    </row>
    <row r="302" customFormat="false" ht="12.75" hidden="false" customHeight="false" outlineLevel="0" collapsed="false">
      <c r="A302" s="46"/>
    </row>
    <row r="303" customFormat="false" ht="12.75" hidden="false" customHeight="false" outlineLevel="0" collapsed="false">
      <c r="A303" s="46"/>
    </row>
    <row r="304" customFormat="false" ht="12.75" hidden="false" customHeight="false" outlineLevel="0" collapsed="false">
      <c r="A304" s="46"/>
    </row>
    <row r="305" customFormat="false" ht="12.75" hidden="false" customHeight="false" outlineLevel="0" collapsed="false">
      <c r="A305" s="46"/>
    </row>
    <row r="306" customFormat="false" ht="12.75" hidden="false" customHeight="false" outlineLevel="0" collapsed="false">
      <c r="A306" s="46"/>
    </row>
    <row r="307" customFormat="false" ht="12.75" hidden="false" customHeight="false" outlineLevel="0" collapsed="false">
      <c r="A307" s="46"/>
    </row>
    <row r="308" customFormat="false" ht="12.75" hidden="false" customHeight="false" outlineLevel="0" collapsed="false">
      <c r="A308" s="46"/>
    </row>
    <row r="309" customFormat="false" ht="12.75" hidden="false" customHeight="false" outlineLevel="0" collapsed="false">
      <c r="A309" s="46"/>
    </row>
    <row r="310" customFormat="false" ht="12.75" hidden="false" customHeight="false" outlineLevel="0" collapsed="false">
      <c r="A310" s="46"/>
    </row>
    <row r="311" customFormat="false" ht="12.75" hidden="false" customHeight="false" outlineLevel="0" collapsed="false">
      <c r="A311" s="46"/>
    </row>
    <row r="312" customFormat="false" ht="12.75" hidden="false" customHeight="false" outlineLevel="0" collapsed="false">
      <c r="A312" s="46"/>
    </row>
    <row r="313" customFormat="false" ht="12.75" hidden="false" customHeight="false" outlineLevel="0" collapsed="false">
      <c r="A313" s="46"/>
    </row>
    <row r="314" customFormat="false" ht="12.75" hidden="false" customHeight="false" outlineLevel="0" collapsed="false">
      <c r="A314" s="46"/>
    </row>
    <row r="315" customFormat="false" ht="12.75" hidden="false" customHeight="false" outlineLevel="0" collapsed="false">
      <c r="A315" s="46"/>
    </row>
    <row r="316" customFormat="false" ht="12.75" hidden="false" customHeight="false" outlineLevel="0" collapsed="false">
      <c r="A316" s="46"/>
    </row>
    <row r="317" customFormat="false" ht="12.75" hidden="false" customHeight="false" outlineLevel="0" collapsed="false">
      <c r="A317" s="46"/>
    </row>
    <row r="318" customFormat="false" ht="12.75" hidden="false" customHeight="false" outlineLevel="0" collapsed="false">
      <c r="A318" s="46"/>
    </row>
    <row r="319" customFormat="false" ht="12.75" hidden="false" customHeight="false" outlineLevel="0" collapsed="false">
      <c r="A319" s="46"/>
    </row>
    <row r="320" customFormat="false" ht="12.75" hidden="false" customHeight="false" outlineLevel="0" collapsed="false">
      <c r="A320" s="46"/>
    </row>
    <row r="321" customFormat="false" ht="12.75" hidden="false" customHeight="false" outlineLevel="0" collapsed="false">
      <c r="A321" s="46"/>
    </row>
    <row r="322" customFormat="false" ht="12.75" hidden="false" customHeight="false" outlineLevel="0" collapsed="false">
      <c r="A322" s="46"/>
    </row>
    <row r="323" customFormat="false" ht="12.75" hidden="false" customHeight="false" outlineLevel="0" collapsed="false">
      <c r="A323" s="46"/>
    </row>
    <row r="324" customFormat="false" ht="12.75" hidden="false" customHeight="false" outlineLevel="0" collapsed="false">
      <c r="A324" s="46"/>
    </row>
    <row r="325" customFormat="false" ht="12.75" hidden="false" customHeight="false" outlineLevel="0" collapsed="false">
      <c r="A325" s="46"/>
    </row>
    <row r="326" customFormat="false" ht="12.75" hidden="false" customHeight="false" outlineLevel="0" collapsed="false">
      <c r="A326" s="46"/>
    </row>
    <row r="327" customFormat="false" ht="12.75" hidden="false" customHeight="false" outlineLevel="0" collapsed="false">
      <c r="A327" s="46"/>
    </row>
    <row r="328" customFormat="false" ht="12.75" hidden="false" customHeight="false" outlineLevel="0" collapsed="false">
      <c r="A328" s="46"/>
    </row>
    <row r="329" customFormat="false" ht="12.75" hidden="false" customHeight="false" outlineLevel="0" collapsed="false">
      <c r="A329" s="46"/>
    </row>
    <row r="330" customFormat="false" ht="12.75" hidden="false" customHeight="false" outlineLevel="0" collapsed="false">
      <c r="A330" s="46"/>
    </row>
    <row r="331" customFormat="false" ht="12.75" hidden="false" customHeight="false" outlineLevel="0" collapsed="false">
      <c r="A331" s="46"/>
    </row>
    <row r="332" customFormat="false" ht="12.75" hidden="false" customHeight="false" outlineLevel="0" collapsed="false">
      <c r="A332" s="46"/>
    </row>
    <row r="333" customFormat="false" ht="12.75" hidden="false" customHeight="false" outlineLevel="0" collapsed="false">
      <c r="A333" s="46"/>
    </row>
    <row r="334" customFormat="false" ht="12.75" hidden="false" customHeight="false" outlineLevel="0" collapsed="false">
      <c r="A334" s="46"/>
    </row>
    <row r="335" customFormat="false" ht="12.75" hidden="false" customHeight="false" outlineLevel="0" collapsed="false">
      <c r="A335" s="46"/>
    </row>
    <row r="336" customFormat="false" ht="12.75" hidden="false" customHeight="false" outlineLevel="0" collapsed="false">
      <c r="A336" s="46"/>
    </row>
    <row r="337" customFormat="false" ht="12.75" hidden="false" customHeight="false" outlineLevel="0" collapsed="false">
      <c r="A337" s="46"/>
    </row>
    <row r="338" customFormat="false" ht="12.75" hidden="false" customHeight="false" outlineLevel="0" collapsed="false">
      <c r="A338" s="46"/>
    </row>
    <row r="339" customFormat="false" ht="12.75" hidden="false" customHeight="false" outlineLevel="0" collapsed="false">
      <c r="A339" s="46"/>
    </row>
    <row r="340" customFormat="false" ht="12.75" hidden="false" customHeight="false" outlineLevel="0" collapsed="false">
      <c r="A340" s="46"/>
    </row>
    <row r="341" customFormat="false" ht="12.75" hidden="false" customHeight="false" outlineLevel="0" collapsed="false">
      <c r="A341" s="46"/>
    </row>
    <row r="342" customFormat="false" ht="12.75" hidden="false" customHeight="false" outlineLevel="0" collapsed="false">
      <c r="A342" s="46"/>
    </row>
    <row r="343" customFormat="false" ht="12.75" hidden="false" customHeight="false" outlineLevel="0" collapsed="false">
      <c r="A343" s="46"/>
    </row>
    <row r="344" customFormat="false" ht="12.75" hidden="false" customHeight="false" outlineLevel="0" collapsed="false">
      <c r="A344" s="46"/>
    </row>
    <row r="345" customFormat="false" ht="12.75" hidden="false" customHeight="false" outlineLevel="0" collapsed="false">
      <c r="A345" s="46"/>
    </row>
    <row r="346" customFormat="false" ht="12.75" hidden="false" customHeight="false" outlineLevel="0" collapsed="false">
      <c r="A346" s="46"/>
    </row>
    <row r="347" customFormat="false" ht="12.75" hidden="false" customHeight="false" outlineLevel="0" collapsed="false">
      <c r="A347" s="46"/>
    </row>
    <row r="348" customFormat="false" ht="12.75" hidden="false" customHeight="false" outlineLevel="0" collapsed="false">
      <c r="A348" s="46"/>
    </row>
    <row r="349" customFormat="false" ht="12.75" hidden="false" customHeight="false" outlineLevel="0" collapsed="false">
      <c r="A349" s="46"/>
    </row>
    <row r="350" customFormat="false" ht="12.75" hidden="false" customHeight="false" outlineLevel="0" collapsed="false">
      <c r="A350" s="46"/>
    </row>
    <row r="351" customFormat="false" ht="12.75" hidden="false" customHeight="false" outlineLevel="0" collapsed="false">
      <c r="A351" s="46"/>
    </row>
    <row r="352" customFormat="false" ht="12.75" hidden="false" customHeight="false" outlineLevel="0" collapsed="false">
      <c r="A352" s="46"/>
    </row>
    <row r="353" customFormat="false" ht="12.75" hidden="false" customHeight="false" outlineLevel="0" collapsed="false">
      <c r="A353" s="46"/>
    </row>
    <row r="354" customFormat="false" ht="12.75" hidden="false" customHeight="false" outlineLevel="0" collapsed="false">
      <c r="A354" s="46"/>
    </row>
    <row r="355" customFormat="false" ht="12.75" hidden="false" customHeight="false" outlineLevel="0" collapsed="false">
      <c r="A355" s="46"/>
    </row>
    <row r="356" customFormat="false" ht="12.75" hidden="false" customHeight="false" outlineLevel="0" collapsed="false">
      <c r="A356" s="46"/>
    </row>
    <row r="357" customFormat="false" ht="12.75" hidden="false" customHeight="false" outlineLevel="0" collapsed="false">
      <c r="A357" s="46"/>
    </row>
    <row r="358" customFormat="false" ht="12.75" hidden="false" customHeight="false" outlineLevel="0" collapsed="false">
      <c r="A358" s="46"/>
    </row>
    <row r="359" customFormat="false" ht="12.75" hidden="false" customHeight="false" outlineLevel="0" collapsed="false">
      <c r="A359" s="46"/>
    </row>
    <row r="360" customFormat="false" ht="12.75" hidden="false" customHeight="false" outlineLevel="0" collapsed="false">
      <c r="A360" s="46"/>
    </row>
    <row r="361" customFormat="false" ht="12.75" hidden="false" customHeight="false" outlineLevel="0" collapsed="false">
      <c r="A361" s="46"/>
    </row>
    <row r="362" customFormat="false" ht="12.75" hidden="false" customHeight="false" outlineLevel="0" collapsed="false">
      <c r="A362" s="46"/>
    </row>
    <row r="363" customFormat="false" ht="12.75" hidden="false" customHeight="false" outlineLevel="0" collapsed="false">
      <c r="A363" s="46"/>
    </row>
    <row r="364" customFormat="false" ht="12.75" hidden="false" customHeight="false" outlineLevel="0" collapsed="false">
      <c r="A364" s="46"/>
    </row>
    <row r="365" customFormat="false" ht="12.75" hidden="false" customHeight="false" outlineLevel="0" collapsed="false">
      <c r="A365" s="46"/>
    </row>
    <row r="366" customFormat="false" ht="12.75" hidden="false" customHeight="false" outlineLevel="0" collapsed="false">
      <c r="A366" s="46"/>
    </row>
    <row r="367" customFormat="false" ht="12.75" hidden="false" customHeight="false" outlineLevel="0" collapsed="false">
      <c r="A367" s="46"/>
    </row>
    <row r="368" customFormat="false" ht="12.75" hidden="false" customHeight="false" outlineLevel="0" collapsed="false">
      <c r="A368" s="46"/>
    </row>
    <row r="369" customFormat="false" ht="12.75" hidden="false" customHeight="false" outlineLevel="0" collapsed="false">
      <c r="A369" s="46"/>
    </row>
    <row r="370" customFormat="false" ht="12.75" hidden="false" customHeight="false" outlineLevel="0" collapsed="false">
      <c r="A370" s="46"/>
    </row>
    <row r="371" customFormat="false" ht="12.75" hidden="false" customHeight="false" outlineLevel="0" collapsed="false">
      <c r="A371" s="46"/>
    </row>
    <row r="372" customFormat="false" ht="12.75" hidden="false" customHeight="false" outlineLevel="0" collapsed="false">
      <c r="A372" s="46"/>
    </row>
    <row r="373" customFormat="false" ht="12.75" hidden="false" customHeight="false" outlineLevel="0" collapsed="false">
      <c r="A373" s="46"/>
    </row>
    <row r="374" customFormat="false" ht="12.75" hidden="false" customHeight="false" outlineLevel="0" collapsed="false">
      <c r="A374" s="46"/>
    </row>
    <row r="375" customFormat="false" ht="12.75" hidden="false" customHeight="false" outlineLevel="0" collapsed="false">
      <c r="A375" s="46"/>
    </row>
    <row r="376" customFormat="false" ht="12.75" hidden="false" customHeight="false" outlineLevel="0" collapsed="false">
      <c r="A376" s="46"/>
    </row>
    <row r="377" customFormat="false" ht="12.75" hidden="false" customHeight="false" outlineLevel="0" collapsed="false">
      <c r="A377" s="46"/>
    </row>
    <row r="378" customFormat="false" ht="12.75" hidden="false" customHeight="false" outlineLevel="0" collapsed="false">
      <c r="A378" s="46"/>
    </row>
    <row r="379" customFormat="false" ht="12.75" hidden="false" customHeight="false" outlineLevel="0" collapsed="false">
      <c r="A379" s="46"/>
    </row>
    <row r="380" customFormat="false" ht="12.75" hidden="false" customHeight="false" outlineLevel="0" collapsed="false">
      <c r="A380" s="46"/>
    </row>
    <row r="381" customFormat="false" ht="12.75" hidden="false" customHeight="false" outlineLevel="0" collapsed="false">
      <c r="A381" s="46"/>
    </row>
    <row r="382" customFormat="false" ht="12.75" hidden="false" customHeight="false" outlineLevel="0" collapsed="false">
      <c r="A382" s="46"/>
    </row>
    <row r="383" customFormat="false" ht="12.75" hidden="false" customHeight="false" outlineLevel="0" collapsed="false">
      <c r="A383" s="46"/>
    </row>
    <row r="384" customFormat="false" ht="12.75" hidden="false" customHeight="false" outlineLevel="0" collapsed="false">
      <c r="A384" s="46"/>
    </row>
    <row r="385" customFormat="false" ht="12.75" hidden="false" customHeight="false" outlineLevel="0" collapsed="false">
      <c r="A385" s="46"/>
    </row>
    <row r="386" customFormat="false" ht="12.75" hidden="false" customHeight="false" outlineLevel="0" collapsed="false">
      <c r="A386" s="46"/>
    </row>
    <row r="387" customFormat="false" ht="12.75" hidden="false" customHeight="false" outlineLevel="0" collapsed="false">
      <c r="A387" s="46"/>
    </row>
    <row r="388" customFormat="false" ht="12.75" hidden="false" customHeight="false" outlineLevel="0" collapsed="false">
      <c r="A388" s="46"/>
    </row>
    <row r="389" customFormat="false" ht="12.75" hidden="false" customHeight="false" outlineLevel="0" collapsed="false">
      <c r="A389" s="46"/>
    </row>
    <row r="390" customFormat="false" ht="12.75" hidden="false" customHeight="false" outlineLevel="0" collapsed="false">
      <c r="A390" s="46"/>
    </row>
    <row r="391" customFormat="false" ht="12.75" hidden="false" customHeight="false" outlineLevel="0" collapsed="false">
      <c r="A391" s="46"/>
    </row>
    <row r="392" customFormat="false" ht="12.75" hidden="false" customHeight="false" outlineLevel="0" collapsed="false">
      <c r="A392" s="46"/>
    </row>
    <row r="393" customFormat="false" ht="12.75" hidden="false" customHeight="false" outlineLevel="0" collapsed="false">
      <c r="A393" s="46"/>
    </row>
    <row r="394" customFormat="false" ht="12.75" hidden="false" customHeight="false" outlineLevel="0" collapsed="false">
      <c r="A394" s="46"/>
    </row>
    <row r="395" customFormat="false" ht="12.75" hidden="false" customHeight="false" outlineLevel="0" collapsed="false">
      <c r="A395" s="46"/>
    </row>
    <row r="396" customFormat="false" ht="12.75" hidden="false" customHeight="false" outlineLevel="0" collapsed="false">
      <c r="A396" s="46"/>
    </row>
    <row r="397" customFormat="false" ht="12.75" hidden="false" customHeight="false" outlineLevel="0" collapsed="false">
      <c r="A397" s="46"/>
    </row>
    <row r="398" customFormat="false" ht="12.75" hidden="false" customHeight="false" outlineLevel="0" collapsed="false">
      <c r="A398" s="46"/>
    </row>
    <row r="399" customFormat="false" ht="12.75" hidden="false" customHeight="false" outlineLevel="0" collapsed="false">
      <c r="A399" s="46"/>
    </row>
    <row r="400" customFormat="false" ht="12.75" hidden="false" customHeight="false" outlineLevel="0" collapsed="false">
      <c r="A400" s="46"/>
    </row>
    <row r="401" customFormat="false" ht="12.75" hidden="false" customHeight="false" outlineLevel="0" collapsed="false">
      <c r="A401" s="46"/>
    </row>
    <row r="402" customFormat="false" ht="12.75" hidden="false" customHeight="false" outlineLevel="0" collapsed="false">
      <c r="A402" s="46"/>
    </row>
    <row r="403" customFormat="false" ht="12.75" hidden="false" customHeight="false" outlineLevel="0" collapsed="false">
      <c r="A403" s="46"/>
    </row>
    <row r="404" customFormat="false" ht="12.75" hidden="false" customHeight="false" outlineLevel="0" collapsed="false">
      <c r="A404" s="46"/>
    </row>
    <row r="405" customFormat="false" ht="12.75" hidden="false" customHeight="false" outlineLevel="0" collapsed="false">
      <c r="A405" s="46"/>
    </row>
    <row r="406" customFormat="false" ht="12.75" hidden="false" customHeight="false" outlineLevel="0" collapsed="false">
      <c r="A406" s="46"/>
    </row>
    <row r="407" customFormat="false" ht="12.75" hidden="false" customHeight="false" outlineLevel="0" collapsed="false">
      <c r="A407" s="46"/>
    </row>
    <row r="408" customFormat="false" ht="12.75" hidden="false" customHeight="false" outlineLevel="0" collapsed="false">
      <c r="A408" s="46"/>
    </row>
    <row r="409" customFormat="false" ht="12.75" hidden="false" customHeight="false" outlineLevel="0" collapsed="false">
      <c r="A409" s="46"/>
    </row>
    <row r="410" customFormat="false" ht="12.75" hidden="false" customHeight="false" outlineLevel="0" collapsed="false">
      <c r="A410" s="46"/>
    </row>
    <row r="411" customFormat="false" ht="12.75" hidden="false" customHeight="false" outlineLevel="0" collapsed="false">
      <c r="A411" s="46"/>
    </row>
    <row r="412" customFormat="false" ht="12.75" hidden="false" customHeight="false" outlineLevel="0" collapsed="false">
      <c r="A412" s="46"/>
    </row>
    <row r="413" customFormat="false" ht="12.75" hidden="false" customHeight="false" outlineLevel="0" collapsed="false">
      <c r="A413" s="46"/>
    </row>
    <row r="414" customFormat="false" ht="12.75" hidden="false" customHeight="false" outlineLevel="0" collapsed="false">
      <c r="A414" s="46"/>
    </row>
    <row r="415" customFormat="false" ht="12.75" hidden="false" customHeight="false" outlineLevel="0" collapsed="false">
      <c r="A415" s="46"/>
    </row>
    <row r="416" customFormat="false" ht="12.75" hidden="false" customHeight="false" outlineLevel="0" collapsed="false">
      <c r="A416" s="46"/>
    </row>
    <row r="417" customFormat="false" ht="12.75" hidden="false" customHeight="false" outlineLevel="0" collapsed="false">
      <c r="A417" s="46"/>
    </row>
    <row r="418" customFormat="false" ht="12.75" hidden="false" customHeight="false" outlineLevel="0" collapsed="false">
      <c r="A418" s="46"/>
    </row>
    <row r="419" customFormat="false" ht="12.75" hidden="false" customHeight="false" outlineLevel="0" collapsed="false">
      <c r="A419" s="46"/>
    </row>
    <row r="420" customFormat="false" ht="12.75" hidden="false" customHeight="false" outlineLevel="0" collapsed="false">
      <c r="A420" s="46"/>
    </row>
    <row r="421" customFormat="false" ht="12.75" hidden="false" customHeight="false" outlineLevel="0" collapsed="false">
      <c r="A421" s="46"/>
    </row>
    <row r="422" customFormat="false" ht="12.75" hidden="false" customHeight="false" outlineLevel="0" collapsed="false">
      <c r="A422" s="46"/>
    </row>
    <row r="423" customFormat="false" ht="12.75" hidden="false" customHeight="false" outlineLevel="0" collapsed="false">
      <c r="A423" s="46"/>
    </row>
    <row r="424" customFormat="false" ht="12.75" hidden="false" customHeight="false" outlineLevel="0" collapsed="false">
      <c r="A424" s="46"/>
    </row>
    <row r="425" customFormat="false" ht="12.75" hidden="false" customHeight="false" outlineLevel="0" collapsed="false">
      <c r="A425" s="46"/>
    </row>
    <row r="426" customFormat="false" ht="12.75" hidden="false" customHeight="false" outlineLevel="0" collapsed="false">
      <c r="A426" s="46"/>
    </row>
    <row r="427" customFormat="false" ht="12.75" hidden="false" customHeight="false" outlineLevel="0" collapsed="false">
      <c r="A427" s="46"/>
    </row>
    <row r="428" customFormat="false" ht="12.75" hidden="false" customHeight="false" outlineLevel="0" collapsed="false">
      <c r="A428" s="46"/>
    </row>
    <row r="429" customFormat="false" ht="12.75" hidden="false" customHeight="false" outlineLevel="0" collapsed="false">
      <c r="A429" s="46"/>
    </row>
    <row r="430" customFormat="false" ht="12.75" hidden="false" customHeight="false" outlineLevel="0" collapsed="false">
      <c r="A430" s="46"/>
    </row>
    <row r="431" customFormat="false" ht="12.75" hidden="false" customHeight="false" outlineLevel="0" collapsed="false">
      <c r="A431" s="46"/>
    </row>
    <row r="432" customFormat="false" ht="12.75" hidden="false" customHeight="false" outlineLevel="0" collapsed="false">
      <c r="A432" s="46"/>
    </row>
    <row r="433" customFormat="false" ht="12.75" hidden="false" customHeight="false" outlineLevel="0" collapsed="false">
      <c r="A433" s="46"/>
    </row>
    <row r="434" customFormat="false" ht="12.75" hidden="false" customHeight="false" outlineLevel="0" collapsed="false">
      <c r="A434" s="46"/>
    </row>
    <row r="435" customFormat="false" ht="12.75" hidden="false" customHeight="false" outlineLevel="0" collapsed="false">
      <c r="A435" s="46"/>
    </row>
    <row r="436" customFormat="false" ht="12.75" hidden="false" customHeight="false" outlineLevel="0" collapsed="false">
      <c r="A436" s="46"/>
    </row>
    <row r="437" customFormat="false" ht="12.75" hidden="false" customHeight="false" outlineLevel="0" collapsed="false">
      <c r="A437" s="46"/>
    </row>
    <row r="438" customFormat="false" ht="12.75" hidden="false" customHeight="false" outlineLevel="0" collapsed="false">
      <c r="A438" s="46"/>
    </row>
    <row r="439" customFormat="false" ht="12.75" hidden="false" customHeight="false" outlineLevel="0" collapsed="false">
      <c r="A439" s="46"/>
    </row>
    <row r="440" customFormat="false" ht="12.75" hidden="false" customHeight="false" outlineLevel="0" collapsed="false">
      <c r="A440" s="46"/>
    </row>
    <row r="441" customFormat="false" ht="12.75" hidden="false" customHeight="false" outlineLevel="0" collapsed="false">
      <c r="A441" s="46"/>
    </row>
    <row r="442" customFormat="false" ht="12.75" hidden="false" customHeight="false" outlineLevel="0" collapsed="false">
      <c r="A442" s="46"/>
    </row>
    <row r="443" customFormat="false" ht="12.75" hidden="false" customHeight="false" outlineLevel="0" collapsed="false">
      <c r="A443" s="46"/>
    </row>
    <row r="444" customFormat="false" ht="12.75" hidden="false" customHeight="false" outlineLevel="0" collapsed="false">
      <c r="A444" s="46"/>
    </row>
    <row r="445" customFormat="false" ht="12.75" hidden="false" customHeight="false" outlineLevel="0" collapsed="false">
      <c r="A445" s="46"/>
    </row>
    <row r="446" customFormat="false" ht="12.75" hidden="false" customHeight="false" outlineLevel="0" collapsed="false">
      <c r="A446" s="46"/>
    </row>
    <row r="447" customFormat="false" ht="12.75" hidden="false" customHeight="false" outlineLevel="0" collapsed="false">
      <c r="A447" s="46"/>
    </row>
    <row r="448" customFormat="false" ht="12.75" hidden="false" customHeight="false" outlineLevel="0" collapsed="false">
      <c r="A448" s="46"/>
    </row>
    <row r="449" customFormat="false" ht="12.75" hidden="false" customHeight="false" outlineLevel="0" collapsed="false">
      <c r="A449" s="46"/>
    </row>
    <row r="450" customFormat="false" ht="12.75" hidden="false" customHeight="false" outlineLevel="0" collapsed="false">
      <c r="A450" s="46"/>
    </row>
    <row r="451" customFormat="false" ht="12.75" hidden="false" customHeight="false" outlineLevel="0" collapsed="false">
      <c r="A451" s="46"/>
    </row>
    <row r="452" customFormat="false" ht="12.75" hidden="false" customHeight="false" outlineLevel="0" collapsed="false">
      <c r="A452" s="46"/>
    </row>
    <row r="453" customFormat="false" ht="12.75" hidden="false" customHeight="false" outlineLevel="0" collapsed="false">
      <c r="A453" s="46"/>
    </row>
    <row r="454" customFormat="false" ht="12.75" hidden="false" customHeight="false" outlineLevel="0" collapsed="false">
      <c r="A454" s="46"/>
    </row>
    <row r="455" customFormat="false" ht="12.75" hidden="false" customHeight="false" outlineLevel="0" collapsed="false">
      <c r="A455" s="46"/>
    </row>
    <row r="456" customFormat="false" ht="12.75" hidden="false" customHeight="false" outlineLevel="0" collapsed="false">
      <c r="A456" s="46"/>
    </row>
    <row r="457" customFormat="false" ht="12.75" hidden="false" customHeight="false" outlineLevel="0" collapsed="false">
      <c r="A457" s="46"/>
    </row>
    <row r="458" customFormat="false" ht="12.75" hidden="false" customHeight="false" outlineLevel="0" collapsed="false">
      <c r="A458" s="46"/>
    </row>
    <row r="459" customFormat="false" ht="12.75" hidden="false" customHeight="false" outlineLevel="0" collapsed="false">
      <c r="A459" s="46"/>
    </row>
    <row r="460" customFormat="false" ht="12.75" hidden="false" customHeight="false" outlineLevel="0" collapsed="false">
      <c r="A460" s="46"/>
    </row>
    <row r="461" customFormat="false" ht="12.75" hidden="false" customHeight="false" outlineLevel="0" collapsed="false">
      <c r="A461" s="46"/>
    </row>
    <row r="462" customFormat="false" ht="12.75" hidden="false" customHeight="false" outlineLevel="0" collapsed="false">
      <c r="A462" s="46"/>
    </row>
    <row r="463" customFormat="false" ht="12.75" hidden="false" customHeight="false" outlineLevel="0" collapsed="false">
      <c r="A463" s="46"/>
    </row>
    <row r="464" customFormat="false" ht="12.75" hidden="false" customHeight="false" outlineLevel="0" collapsed="false">
      <c r="A464" s="46"/>
    </row>
    <row r="465" customFormat="false" ht="12.75" hidden="false" customHeight="false" outlineLevel="0" collapsed="false">
      <c r="A465" s="46"/>
    </row>
    <row r="466" customFormat="false" ht="12.75" hidden="false" customHeight="false" outlineLevel="0" collapsed="false">
      <c r="A466" s="46"/>
    </row>
    <row r="467" customFormat="false" ht="12.75" hidden="false" customHeight="false" outlineLevel="0" collapsed="false">
      <c r="A467" s="46"/>
    </row>
    <row r="468" customFormat="false" ht="12.75" hidden="false" customHeight="false" outlineLevel="0" collapsed="false">
      <c r="A468" s="46"/>
    </row>
    <row r="469" customFormat="false" ht="12.75" hidden="false" customHeight="false" outlineLevel="0" collapsed="false">
      <c r="A469" s="46"/>
    </row>
    <row r="470" customFormat="false" ht="12.75" hidden="false" customHeight="false" outlineLevel="0" collapsed="false">
      <c r="A470" s="46"/>
    </row>
    <row r="471" customFormat="false" ht="12.75" hidden="false" customHeight="false" outlineLevel="0" collapsed="false">
      <c r="A471" s="46"/>
    </row>
    <row r="472" customFormat="false" ht="12.75" hidden="false" customHeight="false" outlineLevel="0" collapsed="false">
      <c r="A472" s="46"/>
    </row>
    <row r="473" customFormat="false" ht="12.75" hidden="false" customHeight="false" outlineLevel="0" collapsed="false">
      <c r="A473" s="46"/>
    </row>
    <row r="474" customFormat="false" ht="12.75" hidden="false" customHeight="false" outlineLevel="0" collapsed="false">
      <c r="A474" s="46"/>
    </row>
    <row r="475" customFormat="false" ht="12.75" hidden="false" customHeight="false" outlineLevel="0" collapsed="false">
      <c r="A475" s="46"/>
    </row>
    <row r="476" customFormat="false" ht="12.75" hidden="false" customHeight="false" outlineLevel="0" collapsed="false">
      <c r="A476" s="46"/>
    </row>
    <row r="477" customFormat="false" ht="12.75" hidden="false" customHeight="false" outlineLevel="0" collapsed="false">
      <c r="A477" s="46"/>
    </row>
    <row r="478" customFormat="false" ht="12.75" hidden="false" customHeight="false" outlineLevel="0" collapsed="false">
      <c r="A478" s="46"/>
    </row>
    <row r="479" customFormat="false" ht="12.75" hidden="false" customHeight="false" outlineLevel="0" collapsed="false">
      <c r="A479" s="46"/>
    </row>
    <row r="480" customFormat="false" ht="12.75" hidden="false" customHeight="false" outlineLevel="0" collapsed="false">
      <c r="A480" s="46"/>
    </row>
    <row r="481" customFormat="false" ht="12.75" hidden="false" customHeight="false" outlineLevel="0" collapsed="false">
      <c r="A481" s="46"/>
    </row>
    <row r="482" customFormat="false" ht="12.75" hidden="false" customHeight="false" outlineLevel="0" collapsed="false">
      <c r="A482" s="46"/>
    </row>
    <row r="483" customFormat="false" ht="12.75" hidden="false" customHeight="false" outlineLevel="0" collapsed="false">
      <c r="A483" s="46"/>
    </row>
    <row r="484" customFormat="false" ht="12.75" hidden="false" customHeight="false" outlineLevel="0" collapsed="false">
      <c r="A484" s="46"/>
    </row>
    <row r="485" customFormat="false" ht="12.75" hidden="false" customHeight="false" outlineLevel="0" collapsed="false">
      <c r="A485" s="46"/>
    </row>
    <row r="486" customFormat="false" ht="12.75" hidden="false" customHeight="false" outlineLevel="0" collapsed="false">
      <c r="A486" s="46"/>
    </row>
    <row r="487" customFormat="false" ht="12.75" hidden="false" customHeight="false" outlineLevel="0" collapsed="false">
      <c r="A487" s="46"/>
    </row>
    <row r="488" customFormat="false" ht="12.75" hidden="false" customHeight="false" outlineLevel="0" collapsed="false">
      <c r="A488" s="46"/>
    </row>
    <row r="489" customFormat="false" ht="12.75" hidden="false" customHeight="false" outlineLevel="0" collapsed="false">
      <c r="A489" s="46"/>
    </row>
    <row r="490" customFormat="false" ht="12.75" hidden="false" customHeight="false" outlineLevel="0" collapsed="false">
      <c r="A490" s="46"/>
    </row>
    <row r="491" customFormat="false" ht="12.75" hidden="false" customHeight="false" outlineLevel="0" collapsed="false">
      <c r="A491" s="46"/>
    </row>
    <row r="492" customFormat="false" ht="12.75" hidden="false" customHeight="false" outlineLevel="0" collapsed="false">
      <c r="A492" s="46"/>
    </row>
    <row r="493" customFormat="false" ht="12.75" hidden="false" customHeight="false" outlineLevel="0" collapsed="false">
      <c r="A493" s="46"/>
    </row>
    <row r="494" customFormat="false" ht="12.75" hidden="false" customHeight="false" outlineLevel="0" collapsed="false">
      <c r="A494" s="46"/>
    </row>
    <row r="495" customFormat="false" ht="12.75" hidden="false" customHeight="false" outlineLevel="0" collapsed="false">
      <c r="A495" s="46"/>
    </row>
    <row r="496" customFormat="false" ht="12.75" hidden="false" customHeight="false" outlineLevel="0" collapsed="false">
      <c r="A496" s="46"/>
    </row>
    <row r="497" customFormat="false" ht="12.75" hidden="false" customHeight="false" outlineLevel="0" collapsed="false">
      <c r="A497" s="46"/>
    </row>
    <row r="498" customFormat="false" ht="12.75" hidden="false" customHeight="false" outlineLevel="0" collapsed="false">
      <c r="A498" s="46"/>
    </row>
    <row r="499" customFormat="false" ht="12.75" hidden="false" customHeight="false" outlineLevel="0" collapsed="false">
      <c r="A499" s="46"/>
    </row>
    <row r="500" customFormat="false" ht="12.75" hidden="false" customHeight="false" outlineLevel="0" collapsed="false">
      <c r="A500" s="46"/>
    </row>
    <row r="501" customFormat="false" ht="12.75" hidden="false" customHeight="false" outlineLevel="0" collapsed="false">
      <c r="A501" s="46"/>
    </row>
    <row r="502" customFormat="false" ht="12.75" hidden="false" customHeight="false" outlineLevel="0" collapsed="false">
      <c r="A502" s="46"/>
    </row>
    <row r="503" customFormat="false" ht="12.75" hidden="false" customHeight="false" outlineLevel="0" collapsed="false">
      <c r="A503" s="46"/>
    </row>
    <row r="504" customFormat="false" ht="12.75" hidden="false" customHeight="false" outlineLevel="0" collapsed="false">
      <c r="A504" s="46"/>
    </row>
    <row r="505" customFormat="false" ht="12.75" hidden="false" customHeight="false" outlineLevel="0" collapsed="false">
      <c r="A505" s="46"/>
    </row>
    <row r="506" customFormat="false" ht="12.75" hidden="false" customHeight="false" outlineLevel="0" collapsed="false">
      <c r="A506" s="46"/>
    </row>
    <row r="507" customFormat="false" ht="12.75" hidden="false" customHeight="false" outlineLevel="0" collapsed="false">
      <c r="A507" s="46"/>
    </row>
    <row r="508" customFormat="false" ht="12.75" hidden="false" customHeight="false" outlineLevel="0" collapsed="false">
      <c r="A508" s="46"/>
    </row>
    <row r="509" customFormat="false" ht="12.75" hidden="false" customHeight="false" outlineLevel="0" collapsed="false">
      <c r="A509" s="46"/>
    </row>
    <row r="510" customFormat="false" ht="12.75" hidden="false" customHeight="false" outlineLevel="0" collapsed="false">
      <c r="A510" s="46"/>
    </row>
    <row r="511" customFormat="false" ht="12.75" hidden="false" customHeight="false" outlineLevel="0" collapsed="false">
      <c r="A511" s="46"/>
    </row>
    <row r="512" customFormat="false" ht="12.75" hidden="false" customHeight="false" outlineLevel="0" collapsed="false">
      <c r="A512" s="46"/>
    </row>
    <row r="513" customFormat="false" ht="12.75" hidden="false" customHeight="false" outlineLevel="0" collapsed="false">
      <c r="A513" s="46"/>
    </row>
    <row r="514" customFormat="false" ht="12.75" hidden="false" customHeight="false" outlineLevel="0" collapsed="false">
      <c r="A514" s="46"/>
    </row>
    <row r="515" customFormat="false" ht="12.75" hidden="false" customHeight="false" outlineLevel="0" collapsed="false">
      <c r="A515" s="46"/>
    </row>
  </sheetData>
  <printOptions headings="false" gridLines="true" gridLinesSet="true" horizontalCentered="true" verticalCentered="true"/>
  <pageMargins left="0" right="0" top="0" bottom="0" header="0" footer="0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5" topLeftCell="AB10" activePane="bottomRight" state="frozen"/>
      <selection pane="topLeft" activeCell="A1" activeCellId="0" sqref="A1"/>
      <selection pane="topRight" activeCell="AB1" activeCellId="0" sqref="AB1"/>
      <selection pane="bottomLeft" activeCell="A10" activeCellId="0" sqref="A10"/>
      <selection pane="bottomRight" activeCell="AH36" activeCellId="0" sqref="AH36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5" width="15.15"/>
    <col collapsed="false" customWidth="false" hidden="false" outlineLevel="0" max="2" min="2" style="46" width="15.15"/>
    <col collapsed="false" customWidth="true" hidden="false" outlineLevel="0" max="3" min="3" style="3" width="18.15"/>
    <col collapsed="false" customWidth="false" hidden="false" outlineLevel="0" max="5" min="4" style="3" width="15.15"/>
    <col collapsed="false" customWidth="true" hidden="false" outlineLevel="0" max="6" min="6" style="3" width="18.15"/>
    <col collapsed="false" customWidth="false" hidden="false" outlineLevel="0" max="8" min="7" style="3" width="15.15"/>
    <col collapsed="false" customWidth="true" hidden="false" outlineLevel="0" max="9" min="9" style="3" width="18.15"/>
    <col collapsed="false" customWidth="false" hidden="false" outlineLevel="0" max="11" min="10" style="3" width="15.15"/>
    <col collapsed="false" customWidth="true" hidden="false" outlineLevel="0" max="12" min="12" style="3" width="18.15"/>
    <col collapsed="false" customWidth="false" hidden="false" outlineLevel="0" max="14" min="13" style="3" width="15.15"/>
    <col collapsed="false" customWidth="true" hidden="false" outlineLevel="0" max="15" min="15" style="3" width="18.15"/>
    <col collapsed="false" customWidth="false" hidden="false" outlineLevel="0" max="17" min="16" style="3" width="15.15"/>
    <col collapsed="false" customWidth="true" hidden="false" outlineLevel="0" max="18" min="18" style="3" width="18.15"/>
    <col collapsed="false" customWidth="false" hidden="false" outlineLevel="0" max="20" min="19" style="3" width="15.15"/>
    <col collapsed="false" customWidth="true" hidden="false" outlineLevel="0" max="21" min="21" style="3" width="18.15"/>
    <col collapsed="false" customWidth="false" hidden="false" outlineLevel="0" max="23" min="22" style="3" width="15.15"/>
    <col collapsed="false" customWidth="true" hidden="false" outlineLevel="0" max="24" min="24" style="3" width="18.15"/>
    <col collapsed="false" customWidth="false" hidden="false" outlineLevel="0" max="26" min="25" style="3" width="15.15"/>
    <col collapsed="false" customWidth="true" hidden="false" outlineLevel="0" max="27" min="27" style="3" width="18.15"/>
    <col collapsed="false" customWidth="false" hidden="false" outlineLevel="0" max="29" min="28" style="3" width="15.15"/>
    <col collapsed="false" customWidth="true" hidden="false" outlineLevel="0" max="30" min="30" style="3" width="18.15"/>
    <col collapsed="false" customWidth="false" hidden="false" outlineLevel="0" max="32" min="31" style="3" width="15.15"/>
    <col collapsed="false" customWidth="true" hidden="false" outlineLevel="0" max="33" min="33" style="48" width="18.15"/>
    <col collapsed="false" customWidth="false" hidden="false" outlineLevel="0" max="35" min="34" style="48" width="15.15"/>
    <col collapsed="false" customWidth="true" hidden="false" outlineLevel="0" max="36" min="36" style="3" width="18.15"/>
    <col collapsed="false" customWidth="false" hidden="false" outlineLevel="0" max="38" min="37" style="3" width="15.15"/>
    <col collapsed="false" customWidth="true" hidden="false" outlineLevel="0" max="39" min="39" style="3" width="18.15"/>
    <col collapsed="false" customWidth="false" hidden="false" outlineLevel="0" max="41" min="40" style="3" width="15.15"/>
    <col collapsed="false" customWidth="true" hidden="false" outlineLevel="0" max="42" min="42" style="3" width="18.15"/>
    <col collapsed="false" customWidth="false" hidden="false" outlineLevel="0" max="44" min="43" style="3" width="15.15"/>
    <col collapsed="false" customWidth="true" hidden="false" outlineLevel="0" max="45" min="45" style="3" width="18.15"/>
    <col collapsed="false" customWidth="false" hidden="false" outlineLevel="0" max="47" min="46" style="3" width="15.15"/>
    <col collapsed="false" customWidth="true" hidden="false" outlineLevel="0" max="48" min="48" style="3" width="18.15"/>
    <col collapsed="false" customWidth="false" hidden="false" outlineLevel="0" max="50" min="49" style="3" width="15.15"/>
    <col collapsed="false" customWidth="true" hidden="false" outlineLevel="0" max="51" min="51" style="3" width="18.15"/>
    <col collapsed="false" customWidth="false" hidden="false" outlineLevel="0" max="53" min="52" style="3" width="15.15"/>
    <col collapsed="false" customWidth="true" hidden="false" outlineLevel="0" max="54" min="54" style="3" width="18.15"/>
    <col collapsed="false" customWidth="false" hidden="false" outlineLevel="0" max="56" min="55" style="3" width="15.15"/>
    <col collapsed="false" customWidth="true" hidden="false" outlineLevel="0" max="57" min="57" style="3" width="18.15"/>
    <col collapsed="false" customWidth="false" hidden="false" outlineLevel="0" max="59" min="58" style="3" width="15.15"/>
    <col collapsed="false" customWidth="true" hidden="false" outlineLevel="0" max="60" min="60" style="3" width="18.15"/>
    <col collapsed="false" customWidth="false" hidden="false" outlineLevel="0" max="62" min="61" style="3" width="15.15"/>
    <col collapsed="false" customWidth="true" hidden="false" outlineLevel="0" max="63" min="63" style="3" width="18.15"/>
    <col collapsed="false" customWidth="false" hidden="false" outlineLevel="0" max="65" min="64" style="3" width="15.15"/>
    <col collapsed="false" customWidth="true" hidden="false" outlineLevel="0" max="66" min="66" style="3" width="18.15"/>
    <col collapsed="false" customWidth="false" hidden="false" outlineLevel="0" max="68" min="67" style="3" width="15.15"/>
    <col collapsed="false" customWidth="true" hidden="false" outlineLevel="0" max="69" min="69" style="3" width="18.15"/>
    <col collapsed="false" customWidth="false" hidden="false" outlineLevel="0" max="71" min="70" style="3" width="15.15"/>
    <col collapsed="false" customWidth="true" hidden="false" outlineLevel="0" max="72" min="72" style="3" width="18.15"/>
    <col collapsed="false" customWidth="false" hidden="false" outlineLevel="0" max="74" min="73" style="3" width="15.15"/>
    <col collapsed="false" customWidth="true" hidden="false" outlineLevel="0" max="75" min="75" style="3" width="18.15"/>
    <col collapsed="false" customWidth="false" hidden="false" outlineLevel="0" max="77" min="76" style="3" width="15.15"/>
    <col collapsed="false" customWidth="true" hidden="false" outlineLevel="0" max="78" min="78" style="3" width="18.15"/>
    <col collapsed="false" customWidth="false" hidden="false" outlineLevel="0" max="80" min="79" style="3" width="15.15"/>
    <col collapsed="false" customWidth="true" hidden="false" outlineLevel="0" max="81" min="81" style="3" width="18.15"/>
    <col collapsed="false" customWidth="false" hidden="false" outlineLevel="0" max="83" min="82" style="3" width="15.15"/>
    <col collapsed="false" customWidth="true" hidden="false" outlineLevel="0" max="84" min="84" style="3" width="18.15"/>
    <col collapsed="false" customWidth="false" hidden="false" outlineLevel="0" max="86" min="85" style="3" width="15.15"/>
    <col collapsed="false" customWidth="true" hidden="false" outlineLevel="0" max="87" min="87" style="3" width="18.15"/>
    <col collapsed="false" customWidth="false" hidden="false" outlineLevel="0" max="89" min="88" style="3" width="15.15"/>
    <col collapsed="false" customWidth="true" hidden="false" outlineLevel="0" max="90" min="90" style="3" width="18.15"/>
    <col collapsed="false" customWidth="false" hidden="false" outlineLevel="0" max="92" min="91" style="3" width="15.15"/>
    <col collapsed="false" customWidth="true" hidden="false" outlineLevel="0" max="93" min="93" style="3" width="18.15"/>
    <col collapsed="false" customWidth="false" hidden="false" outlineLevel="0" max="95" min="94" style="3" width="15.15"/>
    <col collapsed="false" customWidth="true" hidden="false" outlineLevel="0" max="96" min="96" style="3" width="18.15"/>
    <col collapsed="false" customWidth="false" hidden="false" outlineLevel="0" max="98" min="97" style="3" width="15.15"/>
    <col collapsed="false" customWidth="true" hidden="false" outlineLevel="0" max="99" min="99" style="3" width="18.15"/>
    <col collapsed="false" customWidth="false" hidden="false" outlineLevel="0" max="101" min="100" style="3" width="15.15"/>
    <col collapsed="false" customWidth="true" hidden="false" outlineLevel="0" max="102" min="102" style="3" width="18.15"/>
    <col collapsed="false" customWidth="false" hidden="false" outlineLevel="0" max="104" min="103" style="3" width="15.15"/>
    <col collapsed="false" customWidth="true" hidden="false" outlineLevel="0" max="105" min="105" style="3" width="18.15"/>
    <col collapsed="false" customWidth="false" hidden="false" outlineLevel="0" max="107" min="106" style="3" width="15.15"/>
    <col collapsed="false" customWidth="true" hidden="false" outlineLevel="0" max="108" min="108" style="3" width="18.15"/>
    <col collapsed="false" customWidth="false" hidden="false" outlineLevel="0" max="110" min="109" style="3" width="15.15"/>
    <col collapsed="false" customWidth="true" hidden="false" outlineLevel="0" max="111" min="111" style="3" width="18.15"/>
    <col collapsed="false" customWidth="false" hidden="false" outlineLevel="0" max="113" min="112" style="3" width="15.15"/>
    <col collapsed="false" customWidth="true" hidden="false" outlineLevel="0" max="114" min="114" style="3" width="18.15"/>
    <col collapsed="false" customWidth="false" hidden="false" outlineLevel="0" max="116" min="115" style="3" width="15.15"/>
    <col collapsed="false" customWidth="true" hidden="false" outlineLevel="0" max="117" min="117" style="3" width="18.15"/>
    <col collapsed="false" customWidth="false" hidden="false" outlineLevel="0" max="119" min="118" style="3" width="15.15"/>
    <col collapsed="false" customWidth="true" hidden="false" outlineLevel="0" max="120" min="120" style="3" width="18.15"/>
    <col collapsed="false" customWidth="false" hidden="false" outlineLevel="0" max="122" min="121" style="3" width="15.15"/>
    <col collapsed="false" customWidth="true" hidden="false" outlineLevel="0" max="123" min="123" style="3" width="18.15"/>
    <col collapsed="false" customWidth="false" hidden="false" outlineLevel="0" max="125" min="124" style="3" width="15.15"/>
    <col collapsed="false" customWidth="true" hidden="false" outlineLevel="0" max="126" min="126" style="3" width="18.15"/>
    <col collapsed="false" customWidth="false" hidden="false" outlineLevel="0" max="128" min="127" style="3" width="15.15"/>
    <col collapsed="false" customWidth="true" hidden="false" outlineLevel="0" max="129" min="129" style="3" width="18.15"/>
    <col collapsed="false" customWidth="false" hidden="false" outlineLevel="0" max="131" min="130" style="3" width="15.15"/>
    <col collapsed="false" customWidth="true" hidden="false" outlineLevel="0" max="132" min="132" style="3" width="18.15"/>
    <col collapsed="false" customWidth="false" hidden="false" outlineLevel="0" max="134" min="133" style="3" width="15.15"/>
    <col collapsed="false" customWidth="true" hidden="false" outlineLevel="0" max="135" min="135" style="3" width="18.15"/>
    <col collapsed="false" customWidth="false" hidden="false" outlineLevel="0" max="137" min="136" style="3" width="15.15"/>
    <col collapsed="false" customWidth="true" hidden="false" outlineLevel="0" max="138" min="138" style="3" width="18.15"/>
    <col collapsed="false" customWidth="false" hidden="false" outlineLevel="0" max="140" min="139" style="3" width="15.15"/>
    <col collapsed="false" customWidth="true" hidden="false" outlineLevel="0" max="141" min="141" style="3" width="18.15"/>
    <col collapsed="false" customWidth="false" hidden="false" outlineLevel="0" max="143" min="142" style="3" width="15.15"/>
    <col collapsed="false" customWidth="true" hidden="false" outlineLevel="0" max="144" min="144" style="3" width="18.15"/>
    <col collapsed="false" customWidth="false" hidden="false" outlineLevel="0" max="146" min="145" style="3" width="15.15"/>
    <col collapsed="false" customWidth="false" hidden="false" outlineLevel="0" max="147" min="147" style="49" width="15.15"/>
    <col collapsed="false" customWidth="false" hidden="false" outlineLevel="0" max="150" min="148" style="44" width="15.15"/>
    <col collapsed="false" customWidth="false" hidden="false" outlineLevel="0" max="152" min="151" style="3" width="15.15"/>
    <col collapsed="false" customWidth="false" hidden="false" outlineLevel="0" max="153" min="153" style="49" width="15.15"/>
    <col collapsed="false" customWidth="false" hidden="false" outlineLevel="0" max="165" min="154" style="3" width="15.15"/>
    <col collapsed="false" customWidth="false" hidden="false" outlineLevel="0" max="173" min="166" style="50" width="15.15"/>
    <col collapsed="false" customWidth="false" hidden="false" outlineLevel="0" max="195" min="174" style="51" width="15.15"/>
    <col collapsed="false" customWidth="false" hidden="false" outlineLevel="0" max="202" min="196" style="52" width="15.15"/>
    <col collapsed="false" customWidth="false" hidden="false" outlineLevel="0" max="257" min="203" style="1" width="15.15"/>
  </cols>
  <sheetData>
    <row r="1" customFormat="false" ht="12.75" hidden="false" customHeight="false" outlineLevel="0" collapsed="false">
      <c r="A1" s="53" t="s">
        <v>64</v>
      </c>
      <c r="B1" s="54" t="n">
        <f aca="false">+BaseloadMarkets!B1</f>
        <v>36708</v>
      </c>
      <c r="C1" s="8" t="s">
        <v>103</v>
      </c>
      <c r="D1" s="8"/>
      <c r="E1" s="55"/>
      <c r="F1" s="8" t="s">
        <v>104</v>
      </c>
      <c r="G1" s="8"/>
      <c r="H1" s="55"/>
      <c r="I1" s="8" t="s">
        <v>82</v>
      </c>
      <c r="J1" s="8"/>
      <c r="K1" s="55"/>
      <c r="L1" s="8" t="s">
        <v>4</v>
      </c>
      <c r="M1" s="8"/>
      <c r="N1" s="55"/>
      <c r="O1" s="8" t="s">
        <v>104</v>
      </c>
      <c r="P1" s="8"/>
      <c r="Q1" s="55"/>
      <c r="R1" s="8" t="s">
        <v>105</v>
      </c>
      <c r="S1" s="8"/>
      <c r="T1" s="55"/>
      <c r="U1" s="8" t="s">
        <v>4</v>
      </c>
      <c r="V1" s="8"/>
      <c r="W1" s="55"/>
      <c r="X1" s="8" t="s">
        <v>106</v>
      </c>
      <c r="Y1" s="8"/>
      <c r="Z1" s="55"/>
      <c r="AA1" s="8" t="s">
        <v>106</v>
      </c>
      <c r="AB1" s="8"/>
      <c r="AC1" s="55"/>
      <c r="AD1" s="8" t="s">
        <v>80</v>
      </c>
      <c r="AE1" s="8"/>
      <c r="AF1" s="55"/>
      <c r="AG1" s="114"/>
      <c r="AH1" s="114"/>
      <c r="AI1" s="57"/>
      <c r="AJ1" s="8" t="s">
        <v>4</v>
      </c>
      <c r="AK1" s="8"/>
      <c r="AL1" s="55"/>
      <c r="AM1" s="8"/>
      <c r="AN1" s="8"/>
      <c r="AO1" s="55"/>
      <c r="AP1" s="8"/>
      <c r="AQ1" s="8"/>
      <c r="AR1" s="55"/>
      <c r="AS1" s="8"/>
      <c r="AT1" s="8"/>
      <c r="AU1" s="55"/>
      <c r="AV1" s="8"/>
      <c r="AW1" s="8"/>
      <c r="AX1" s="55"/>
      <c r="AY1" s="8"/>
      <c r="AZ1" s="8"/>
      <c r="BA1" s="55"/>
      <c r="BB1" s="8"/>
      <c r="BC1" s="8"/>
      <c r="BD1" s="55"/>
      <c r="BE1" s="8"/>
      <c r="BF1" s="8"/>
      <c r="BG1" s="55"/>
      <c r="BH1" s="8"/>
      <c r="BI1" s="8"/>
      <c r="BJ1" s="55"/>
      <c r="BK1" s="8"/>
      <c r="BL1" s="8"/>
      <c r="BM1" s="55"/>
      <c r="BN1" s="8"/>
      <c r="BO1" s="8"/>
      <c r="BP1" s="55"/>
      <c r="BQ1" s="8"/>
      <c r="BR1" s="8"/>
      <c r="BS1" s="55"/>
      <c r="BT1" s="8"/>
      <c r="BU1" s="8"/>
      <c r="BV1" s="55"/>
      <c r="BW1" s="8"/>
      <c r="BX1" s="8"/>
      <c r="BY1" s="55"/>
      <c r="BZ1" s="8"/>
      <c r="CA1" s="8"/>
      <c r="CB1" s="55"/>
      <c r="CC1" s="8"/>
      <c r="CD1" s="8"/>
      <c r="CE1" s="55"/>
      <c r="CF1" s="8"/>
      <c r="CG1" s="8"/>
      <c r="CH1" s="55"/>
      <c r="CI1" s="8"/>
      <c r="CJ1" s="8"/>
      <c r="CK1" s="55"/>
      <c r="CL1" s="8"/>
      <c r="CM1" s="8"/>
      <c r="CN1" s="55"/>
      <c r="CO1" s="8"/>
      <c r="CP1" s="8"/>
      <c r="CQ1" s="55"/>
      <c r="CR1" s="8"/>
      <c r="CS1" s="8"/>
      <c r="CT1" s="55"/>
      <c r="CU1" s="8"/>
      <c r="CV1" s="8"/>
      <c r="CW1" s="55"/>
      <c r="CX1" s="8"/>
      <c r="CY1" s="8"/>
      <c r="CZ1" s="55"/>
      <c r="DA1" s="8"/>
      <c r="DB1" s="8"/>
      <c r="DC1" s="55"/>
      <c r="DD1" s="8"/>
      <c r="DE1" s="8"/>
      <c r="DF1" s="55"/>
      <c r="DG1" s="8"/>
      <c r="DH1" s="8"/>
      <c r="DI1" s="55"/>
      <c r="DJ1" s="8"/>
      <c r="DK1" s="8"/>
      <c r="DL1" s="55"/>
      <c r="DM1" s="8"/>
      <c r="DN1" s="8"/>
      <c r="DO1" s="55"/>
      <c r="DP1" s="8"/>
      <c r="DQ1" s="8"/>
      <c r="DR1" s="55"/>
      <c r="DS1" s="8"/>
      <c r="DT1" s="8"/>
      <c r="DU1" s="55"/>
      <c r="DV1" s="8"/>
      <c r="DW1" s="8"/>
      <c r="DX1" s="55"/>
      <c r="DY1" s="8"/>
      <c r="DZ1" s="8"/>
      <c r="EA1" s="55"/>
      <c r="EB1" s="8"/>
      <c r="EC1" s="8"/>
      <c r="ED1" s="55"/>
      <c r="EE1" s="8"/>
      <c r="EF1" s="8"/>
      <c r="EG1" s="55"/>
      <c r="EH1" s="8"/>
      <c r="EI1" s="8"/>
      <c r="EJ1" s="55"/>
      <c r="EK1" s="8"/>
      <c r="EL1" s="8"/>
      <c r="EM1" s="55"/>
      <c r="EN1" s="8"/>
      <c r="EO1" s="8"/>
      <c r="EP1" s="55"/>
      <c r="EQ1" s="58"/>
      <c r="ER1" s="58"/>
      <c r="ES1" s="58"/>
      <c r="ET1" s="58"/>
      <c r="EU1" s="55"/>
      <c r="EV1" s="55"/>
      <c r="EW1" s="59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12.75" hidden="false" customHeight="true" outlineLevel="0" collapsed="false">
      <c r="A2" s="10" t="s">
        <v>40</v>
      </c>
      <c r="B2" s="10"/>
      <c r="C2" s="13" t="n">
        <v>300834</v>
      </c>
      <c r="D2" s="13"/>
      <c r="E2" s="13"/>
      <c r="F2" s="13" t="n">
        <v>305609</v>
      </c>
      <c r="G2" s="13"/>
      <c r="H2" s="13"/>
      <c r="I2" s="13" t="n">
        <v>308669</v>
      </c>
      <c r="J2" s="13"/>
      <c r="K2" s="13"/>
      <c r="L2" s="13" t="n">
        <v>305826</v>
      </c>
      <c r="M2" s="13"/>
      <c r="N2" s="13"/>
      <c r="O2" s="13" t="n">
        <v>313129</v>
      </c>
      <c r="P2" s="13"/>
      <c r="Q2" s="13"/>
      <c r="R2" s="13" t="n">
        <v>310915</v>
      </c>
      <c r="S2" s="13"/>
      <c r="T2" s="13"/>
      <c r="U2" s="13" t="n">
        <v>312157</v>
      </c>
      <c r="V2" s="13"/>
      <c r="W2" s="13"/>
      <c r="X2" s="13" t="n">
        <v>312219</v>
      </c>
      <c r="Y2" s="13"/>
      <c r="Z2" s="13"/>
      <c r="AA2" s="13" t="n">
        <v>312907</v>
      </c>
      <c r="AB2" s="13"/>
      <c r="AC2" s="13"/>
      <c r="AD2" s="13" t="n">
        <v>313473</v>
      </c>
      <c r="AE2" s="13"/>
      <c r="AF2" s="13"/>
      <c r="AG2" s="62" t="s">
        <v>67</v>
      </c>
      <c r="AH2" s="62"/>
      <c r="AI2" s="62"/>
      <c r="AJ2" s="13" t="n">
        <v>311809</v>
      </c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63"/>
      <c r="ER2" s="4"/>
      <c r="ES2" s="4"/>
      <c r="ET2" s="64"/>
      <c r="EU2" s="13"/>
      <c r="EV2" s="13"/>
      <c r="EW2" s="108"/>
      <c r="EX2" s="13" t="s">
        <v>45</v>
      </c>
      <c r="EY2" s="13" t="s">
        <v>45</v>
      </c>
      <c r="EZ2" s="13"/>
      <c r="FA2" s="13" t="s">
        <v>45</v>
      </c>
      <c r="FB2" s="13" t="s">
        <v>45</v>
      </c>
      <c r="FC2" s="13"/>
      <c r="FD2" s="13"/>
      <c r="FE2" s="13"/>
      <c r="FF2" s="13"/>
      <c r="FG2" s="13"/>
      <c r="FH2" s="13"/>
      <c r="FI2" s="13"/>
      <c r="FJ2" s="65"/>
      <c r="FK2" s="65"/>
      <c r="FL2" s="65"/>
      <c r="FM2" s="65"/>
      <c r="FN2" s="65"/>
      <c r="FO2" s="65"/>
      <c r="FP2" s="65"/>
      <c r="FQ2" s="65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7"/>
      <c r="GO2" s="67"/>
      <c r="GP2" s="67"/>
      <c r="GQ2" s="67"/>
      <c r="GR2" s="67"/>
      <c r="GS2" s="67"/>
      <c r="GT2" s="67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15"/>
      <c r="B3" s="15"/>
      <c r="C3" s="19" t="s">
        <v>70</v>
      </c>
      <c r="D3" s="19"/>
      <c r="E3" s="19"/>
      <c r="F3" s="19" t="s">
        <v>70</v>
      </c>
      <c r="G3" s="19"/>
      <c r="H3" s="19"/>
      <c r="I3" s="19" t="s">
        <v>70</v>
      </c>
      <c r="J3" s="19"/>
      <c r="K3" s="19"/>
      <c r="L3" s="19" t="s">
        <v>70</v>
      </c>
      <c r="M3" s="19"/>
      <c r="N3" s="19"/>
      <c r="O3" s="19" t="s">
        <v>70</v>
      </c>
      <c r="P3" s="19"/>
      <c r="Q3" s="19"/>
      <c r="R3" s="19" t="s">
        <v>70</v>
      </c>
      <c r="S3" s="19"/>
      <c r="T3" s="19"/>
      <c r="U3" s="19" t="s">
        <v>70</v>
      </c>
      <c r="V3" s="19"/>
      <c r="W3" s="19"/>
      <c r="X3" s="19" t="s">
        <v>70</v>
      </c>
      <c r="Y3" s="19"/>
      <c r="Z3" s="19"/>
      <c r="AA3" s="19" t="s">
        <v>70</v>
      </c>
      <c r="AB3" s="19"/>
      <c r="AC3" s="19"/>
      <c r="AD3" s="19" t="s">
        <v>70</v>
      </c>
      <c r="AE3" s="19"/>
      <c r="AF3" s="19"/>
      <c r="AG3" s="69" t="s">
        <v>37</v>
      </c>
      <c r="AH3" s="69"/>
      <c r="AI3" s="69"/>
      <c r="AJ3" s="19" t="s">
        <v>70</v>
      </c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15"/>
      <c r="ER3" s="116"/>
      <c r="ES3" s="116"/>
      <c r="ET3" s="70"/>
      <c r="EU3" s="19"/>
      <c r="EV3" s="13" t="s">
        <v>45</v>
      </c>
      <c r="EW3" s="13" t="s">
        <v>45</v>
      </c>
      <c r="EX3" s="19" t="s">
        <v>70</v>
      </c>
      <c r="EY3" s="19" t="s">
        <v>70</v>
      </c>
      <c r="EZ3" s="19"/>
      <c r="FA3" s="19" t="s">
        <v>37</v>
      </c>
      <c r="FB3" s="19" t="s">
        <v>37</v>
      </c>
      <c r="FC3" s="19"/>
      <c r="FD3" s="19"/>
      <c r="FE3" s="19"/>
      <c r="FF3" s="19"/>
      <c r="FG3" s="19"/>
      <c r="FH3" s="19"/>
      <c r="FI3" s="19"/>
      <c r="FJ3" s="117"/>
      <c r="FK3" s="117"/>
      <c r="FL3" s="117"/>
      <c r="FM3" s="117"/>
      <c r="FN3" s="117"/>
      <c r="FO3" s="117"/>
      <c r="FP3" s="117"/>
      <c r="FQ3" s="117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9"/>
      <c r="GO3" s="119"/>
      <c r="GP3" s="119"/>
      <c r="GQ3" s="119"/>
      <c r="GR3" s="119"/>
      <c r="GS3" s="119"/>
      <c r="GT3" s="119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  <c r="IV3" s="116"/>
      <c r="IW3" s="116"/>
    </row>
    <row r="4" customFormat="false" ht="12.75" hidden="false" customHeight="true" outlineLevel="0" collapsed="false">
      <c r="A4" s="10" t="s">
        <v>71</v>
      </c>
      <c r="B4" s="10" t="s">
        <v>72</v>
      </c>
      <c r="C4" s="13" t="s">
        <v>14</v>
      </c>
      <c r="D4" s="13"/>
      <c r="E4" s="13" t="s">
        <v>68</v>
      </c>
      <c r="F4" s="13" t="s">
        <v>14</v>
      </c>
      <c r="G4" s="13"/>
      <c r="H4" s="13" t="s">
        <v>68</v>
      </c>
      <c r="I4" s="13" t="s">
        <v>32</v>
      </c>
      <c r="J4" s="13"/>
      <c r="K4" s="13" t="s">
        <v>68</v>
      </c>
      <c r="L4" s="13" t="s">
        <v>27</v>
      </c>
      <c r="M4" s="13"/>
      <c r="N4" s="13" t="s">
        <v>68</v>
      </c>
      <c r="O4" s="13" t="s">
        <v>13</v>
      </c>
      <c r="P4" s="13"/>
      <c r="Q4" s="13" t="s">
        <v>68</v>
      </c>
      <c r="R4" s="13" t="s">
        <v>32</v>
      </c>
      <c r="S4" s="13"/>
      <c r="T4" s="13" t="s">
        <v>68</v>
      </c>
      <c r="U4" s="13" t="s">
        <v>32</v>
      </c>
      <c r="V4" s="13"/>
      <c r="W4" s="13" t="s">
        <v>68</v>
      </c>
      <c r="X4" s="13" t="s">
        <v>32</v>
      </c>
      <c r="Y4" s="13"/>
      <c r="Z4" s="13" t="s">
        <v>68</v>
      </c>
      <c r="AA4" s="13" t="s">
        <v>32</v>
      </c>
      <c r="AB4" s="13"/>
      <c r="AC4" s="13" t="s">
        <v>68</v>
      </c>
      <c r="AD4" s="13" t="s">
        <v>31</v>
      </c>
      <c r="AE4" s="13"/>
      <c r="AF4" s="13" t="s">
        <v>68</v>
      </c>
      <c r="AG4" s="62"/>
      <c r="AH4" s="62"/>
      <c r="AI4" s="62" t="s">
        <v>68</v>
      </c>
      <c r="AJ4" s="13" t="s">
        <v>107</v>
      </c>
      <c r="AK4" s="13"/>
      <c r="AL4" s="13" t="s">
        <v>68</v>
      </c>
      <c r="AM4" s="13"/>
      <c r="AN4" s="13"/>
      <c r="AO4" s="13" t="s">
        <v>68</v>
      </c>
      <c r="AP4" s="13"/>
      <c r="AQ4" s="13"/>
      <c r="AR4" s="13" t="s">
        <v>68</v>
      </c>
      <c r="AS4" s="13"/>
      <c r="AT4" s="13"/>
      <c r="AU4" s="13" t="s">
        <v>68</v>
      </c>
      <c r="AV4" s="13"/>
      <c r="AW4" s="13"/>
      <c r="AX4" s="13" t="s">
        <v>68</v>
      </c>
      <c r="AY4" s="13"/>
      <c r="AZ4" s="13"/>
      <c r="BA4" s="13" t="s">
        <v>68</v>
      </c>
      <c r="BB4" s="13"/>
      <c r="BC4" s="13"/>
      <c r="BD4" s="13" t="s">
        <v>68</v>
      </c>
      <c r="BE4" s="13"/>
      <c r="BF4" s="13"/>
      <c r="BG4" s="13" t="s">
        <v>68</v>
      </c>
      <c r="BH4" s="13"/>
      <c r="BI4" s="13"/>
      <c r="BJ4" s="13" t="s">
        <v>68</v>
      </c>
      <c r="BK4" s="13"/>
      <c r="BL4" s="13"/>
      <c r="BM4" s="13" t="s">
        <v>68</v>
      </c>
      <c r="BN4" s="13"/>
      <c r="BO4" s="13"/>
      <c r="BP4" s="13" t="s">
        <v>68</v>
      </c>
      <c r="BQ4" s="13"/>
      <c r="BR4" s="13"/>
      <c r="BS4" s="13" t="s">
        <v>68</v>
      </c>
      <c r="BT4" s="13"/>
      <c r="BU4" s="13"/>
      <c r="BV4" s="13" t="s">
        <v>68</v>
      </c>
      <c r="BW4" s="13"/>
      <c r="BX4" s="13"/>
      <c r="BY4" s="13" t="s">
        <v>68</v>
      </c>
      <c r="BZ4" s="13"/>
      <c r="CA4" s="13"/>
      <c r="CB4" s="13" t="s">
        <v>68</v>
      </c>
      <c r="CC4" s="13"/>
      <c r="CD4" s="13"/>
      <c r="CE4" s="13" t="s">
        <v>68</v>
      </c>
      <c r="CF4" s="13"/>
      <c r="CG4" s="13"/>
      <c r="CH4" s="13" t="s">
        <v>68</v>
      </c>
      <c r="CI4" s="13"/>
      <c r="CJ4" s="13"/>
      <c r="CK4" s="13" t="s">
        <v>68</v>
      </c>
      <c r="CL4" s="13"/>
      <c r="CM4" s="13"/>
      <c r="CN4" s="13" t="s">
        <v>68</v>
      </c>
      <c r="CO4" s="13"/>
      <c r="CP4" s="13"/>
      <c r="CQ4" s="13" t="s">
        <v>68</v>
      </c>
      <c r="CR4" s="13"/>
      <c r="CS4" s="13"/>
      <c r="CT4" s="13" t="s">
        <v>68</v>
      </c>
      <c r="CU4" s="13"/>
      <c r="CV4" s="13"/>
      <c r="CW4" s="13" t="s">
        <v>68</v>
      </c>
      <c r="CX4" s="13"/>
      <c r="CY4" s="13"/>
      <c r="CZ4" s="13" t="s">
        <v>68</v>
      </c>
      <c r="DA4" s="13"/>
      <c r="DB4" s="13"/>
      <c r="DC4" s="13" t="s">
        <v>68</v>
      </c>
      <c r="DD4" s="13"/>
      <c r="DE4" s="13"/>
      <c r="DF4" s="13" t="s">
        <v>68</v>
      </c>
      <c r="DG4" s="13"/>
      <c r="DH4" s="13"/>
      <c r="DI4" s="13" t="s">
        <v>68</v>
      </c>
      <c r="DJ4" s="13"/>
      <c r="DK4" s="13"/>
      <c r="DL4" s="13" t="s">
        <v>68</v>
      </c>
      <c r="DM4" s="13"/>
      <c r="DN4" s="13"/>
      <c r="DO4" s="13" t="s">
        <v>68</v>
      </c>
      <c r="DP4" s="13"/>
      <c r="DQ4" s="13"/>
      <c r="DR4" s="13" t="s">
        <v>68</v>
      </c>
      <c r="DS4" s="13"/>
      <c r="DT4" s="13"/>
      <c r="DU4" s="13" t="s">
        <v>68</v>
      </c>
      <c r="DV4" s="13"/>
      <c r="DW4" s="13"/>
      <c r="DX4" s="13" t="s">
        <v>68</v>
      </c>
      <c r="DY4" s="13"/>
      <c r="DZ4" s="13"/>
      <c r="EA4" s="13" t="s">
        <v>68</v>
      </c>
      <c r="EB4" s="13"/>
      <c r="EC4" s="13"/>
      <c r="ED4" s="13" t="s">
        <v>68</v>
      </c>
      <c r="EE4" s="13"/>
      <c r="EF4" s="13"/>
      <c r="EG4" s="13" t="s">
        <v>68</v>
      </c>
      <c r="EH4" s="13"/>
      <c r="EI4" s="13"/>
      <c r="EJ4" s="13" t="s">
        <v>68</v>
      </c>
      <c r="EK4" s="13"/>
      <c r="EL4" s="13"/>
      <c r="EM4" s="13" t="s">
        <v>68</v>
      </c>
      <c r="EN4" s="13"/>
      <c r="EO4" s="13"/>
      <c r="EP4" s="13" t="s">
        <v>68</v>
      </c>
      <c r="EQ4" s="10" t="s">
        <v>45</v>
      </c>
      <c r="ER4" s="11" t="s">
        <v>45</v>
      </c>
      <c r="ES4" s="4"/>
      <c r="ET4" s="64" t="s">
        <v>73</v>
      </c>
      <c r="EU4" s="13"/>
      <c r="EV4" s="13" t="s">
        <v>70</v>
      </c>
      <c r="EW4" s="13" t="s">
        <v>70</v>
      </c>
      <c r="EX4" s="13" t="s">
        <v>68</v>
      </c>
      <c r="EY4" s="13" t="s">
        <v>69</v>
      </c>
      <c r="EZ4" s="13"/>
      <c r="FA4" s="13" t="s">
        <v>68</v>
      </c>
      <c r="FB4" s="13" t="s">
        <v>69</v>
      </c>
      <c r="FC4" s="13"/>
      <c r="FD4" s="13"/>
      <c r="FE4" s="13"/>
      <c r="FF4" s="13"/>
      <c r="FG4" s="13"/>
      <c r="FH4" s="13"/>
      <c r="FI4" s="13"/>
      <c r="FJ4" s="65"/>
      <c r="FK4" s="65"/>
      <c r="FL4" s="65"/>
      <c r="FM4" s="65"/>
      <c r="FN4" s="65"/>
      <c r="FO4" s="65"/>
      <c r="FP4" s="65"/>
      <c r="FQ4" s="65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7"/>
      <c r="GO4" s="67"/>
      <c r="GP4" s="67"/>
      <c r="GQ4" s="67"/>
      <c r="GR4" s="67"/>
      <c r="GS4" s="67"/>
      <c r="GT4" s="67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46</v>
      </c>
      <c r="B5" s="10" t="s">
        <v>74</v>
      </c>
      <c r="C5" s="23" t="s">
        <v>49</v>
      </c>
      <c r="D5" s="23"/>
      <c r="E5" s="23" t="s">
        <v>75</v>
      </c>
      <c r="F5" s="23" t="s">
        <v>49</v>
      </c>
      <c r="G5" s="23"/>
      <c r="H5" s="23" t="s">
        <v>75</v>
      </c>
      <c r="I5" s="23" t="s">
        <v>49</v>
      </c>
      <c r="J5" s="23"/>
      <c r="K5" s="23" t="s">
        <v>75</v>
      </c>
      <c r="L5" s="23" t="s">
        <v>49</v>
      </c>
      <c r="M5" s="23"/>
      <c r="N5" s="23" t="s">
        <v>75</v>
      </c>
      <c r="O5" s="23" t="s">
        <v>49</v>
      </c>
      <c r="P5" s="23"/>
      <c r="Q5" s="23" t="s">
        <v>75</v>
      </c>
      <c r="R5" s="23" t="s">
        <v>49</v>
      </c>
      <c r="S5" s="23"/>
      <c r="T5" s="23" t="s">
        <v>75</v>
      </c>
      <c r="U5" s="23" t="s">
        <v>49</v>
      </c>
      <c r="V5" s="23"/>
      <c r="W5" s="23" t="s">
        <v>75</v>
      </c>
      <c r="X5" s="23" t="s">
        <v>49</v>
      </c>
      <c r="Y5" s="23"/>
      <c r="Z5" s="23" t="s">
        <v>75</v>
      </c>
      <c r="AA5" s="23" t="s">
        <v>49</v>
      </c>
      <c r="AB5" s="23"/>
      <c r="AC5" s="23" t="s">
        <v>75</v>
      </c>
      <c r="AD5" s="23" t="s">
        <v>49</v>
      </c>
      <c r="AE5" s="23"/>
      <c r="AF5" s="23" t="s">
        <v>75</v>
      </c>
      <c r="AG5" s="75"/>
      <c r="AH5" s="75"/>
      <c r="AI5" s="75" t="s">
        <v>75</v>
      </c>
      <c r="AJ5" s="23" t="s">
        <v>49</v>
      </c>
      <c r="AK5" s="23"/>
      <c r="AL5" s="23" t="s">
        <v>75</v>
      </c>
      <c r="AM5" s="23"/>
      <c r="AN5" s="23"/>
      <c r="AO5" s="23" t="s">
        <v>75</v>
      </c>
      <c r="AP5" s="23"/>
      <c r="AQ5" s="23"/>
      <c r="AR5" s="23" t="s">
        <v>75</v>
      </c>
      <c r="AS5" s="23"/>
      <c r="AT5" s="23"/>
      <c r="AU5" s="23" t="s">
        <v>75</v>
      </c>
      <c r="AV5" s="23"/>
      <c r="AW5" s="23"/>
      <c r="AX5" s="23" t="s">
        <v>75</v>
      </c>
      <c r="AY5" s="23"/>
      <c r="AZ5" s="23"/>
      <c r="BA5" s="23" t="s">
        <v>75</v>
      </c>
      <c r="BB5" s="23"/>
      <c r="BC5" s="23"/>
      <c r="BD5" s="23" t="s">
        <v>75</v>
      </c>
      <c r="BE5" s="23"/>
      <c r="BF5" s="23"/>
      <c r="BG5" s="23" t="s">
        <v>75</v>
      </c>
      <c r="BH5" s="23"/>
      <c r="BI5" s="23"/>
      <c r="BJ5" s="23" t="s">
        <v>75</v>
      </c>
      <c r="BK5" s="23"/>
      <c r="BL5" s="23"/>
      <c r="BM5" s="23" t="s">
        <v>75</v>
      </c>
      <c r="BN5" s="23"/>
      <c r="BO5" s="23"/>
      <c r="BP5" s="23" t="s">
        <v>75</v>
      </c>
      <c r="BQ5" s="23"/>
      <c r="BR5" s="23"/>
      <c r="BS5" s="23" t="s">
        <v>75</v>
      </c>
      <c r="BT5" s="23"/>
      <c r="BU5" s="23"/>
      <c r="BV5" s="23" t="s">
        <v>75</v>
      </c>
      <c r="BW5" s="23"/>
      <c r="BX5" s="23"/>
      <c r="BY5" s="23" t="s">
        <v>75</v>
      </c>
      <c r="BZ5" s="23"/>
      <c r="CA5" s="23"/>
      <c r="CB5" s="23" t="s">
        <v>75</v>
      </c>
      <c r="CC5" s="23"/>
      <c r="CD5" s="23"/>
      <c r="CE5" s="23" t="s">
        <v>75</v>
      </c>
      <c r="CF5" s="23"/>
      <c r="CG5" s="23"/>
      <c r="CH5" s="23" t="s">
        <v>75</v>
      </c>
      <c r="CI5" s="23"/>
      <c r="CJ5" s="23"/>
      <c r="CK5" s="23" t="s">
        <v>75</v>
      </c>
      <c r="CL5" s="23"/>
      <c r="CM5" s="23"/>
      <c r="CN5" s="23" t="s">
        <v>75</v>
      </c>
      <c r="CO5" s="23"/>
      <c r="CP5" s="23"/>
      <c r="CQ5" s="23" t="s">
        <v>75</v>
      </c>
      <c r="CR5" s="23"/>
      <c r="CS5" s="23"/>
      <c r="CT5" s="23" t="s">
        <v>75</v>
      </c>
      <c r="CU5" s="23"/>
      <c r="CV5" s="23"/>
      <c r="CW5" s="23" t="s">
        <v>75</v>
      </c>
      <c r="CX5" s="23"/>
      <c r="CY5" s="23"/>
      <c r="CZ5" s="23" t="s">
        <v>75</v>
      </c>
      <c r="DA5" s="23"/>
      <c r="DB5" s="23"/>
      <c r="DC5" s="23" t="s">
        <v>75</v>
      </c>
      <c r="DD5" s="23"/>
      <c r="DE5" s="23"/>
      <c r="DF5" s="23" t="s">
        <v>75</v>
      </c>
      <c r="DG5" s="23"/>
      <c r="DH5" s="23"/>
      <c r="DI5" s="23" t="s">
        <v>75</v>
      </c>
      <c r="DJ5" s="23"/>
      <c r="DK5" s="23"/>
      <c r="DL5" s="23" t="s">
        <v>75</v>
      </c>
      <c r="DM5" s="23"/>
      <c r="DN5" s="23"/>
      <c r="DO5" s="23" t="s">
        <v>75</v>
      </c>
      <c r="DP5" s="23"/>
      <c r="DQ5" s="23"/>
      <c r="DR5" s="23" t="s">
        <v>75</v>
      </c>
      <c r="DS5" s="23"/>
      <c r="DT5" s="23"/>
      <c r="DU5" s="23" t="s">
        <v>75</v>
      </c>
      <c r="DV5" s="23"/>
      <c r="DW5" s="23"/>
      <c r="DX5" s="23" t="s">
        <v>75</v>
      </c>
      <c r="DY5" s="23"/>
      <c r="DZ5" s="23"/>
      <c r="EA5" s="23" t="s">
        <v>75</v>
      </c>
      <c r="EB5" s="23"/>
      <c r="EC5" s="23"/>
      <c r="ED5" s="23" t="s">
        <v>75</v>
      </c>
      <c r="EE5" s="23"/>
      <c r="EF5" s="23"/>
      <c r="EG5" s="23" t="s">
        <v>75</v>
      </c>
      <c r="EH5" s="23"/>
      <c r="EI5" s="23"/>
      <c r="EJ5" s="23" t="s">
        <v>75</v>
      </c>
      <c r="EK5" s="23"/>
      <c r="EL5" s="23"/>
      <c r="EM5" s="23" t="s">
        <v>75</v>
      </c>
      <c r="EN5" s="23"/>
      <c r="EO5" s="23"/>
      <c r="EP5" s="23" t="s">
        <v>75</v>
      </c>
      <c r="EQ5" s="64" t="s">
        <v>64</v>
      </c>
      <c r="ER5" s="64" t="s">
        <v>76</v>
      </c>
      <c r="ES5" s="64" t="s">
        <v>75</v>
      </c>
      <c r="ET5" s="23" t="s">
        <v>75</v>
      </c>
      <c r="EU5" s="23"/>
      <c r="EV5" s="23" t="s">
        <v>77</v>
      </c>
      <c r="EW5" s="23" t="s">
        <v>78</v>
      </c>
      <c r="EX5" s="23" t="s">
        <v>79</v>
      </c>
      <c r="EY5" s="23" t="s">
        <v>79</v>
      </c>
      <c r="EZ5" s="23"/>
      <c r="FA5" s="23" t="s">
        <v>79</v>
      </c>
      <c r="FB5" s="23" t="s">
        <v>79</v>
      </c>
      <c r="FC5" s="23"/>
      <c r="FD5" s="23"/>
      <c r="FE5" s="23"/>
      <c r="FF5" s="23"/>
      <c r="FG5" s="23"/>
      <c r="FH5" s="23"/>
      <c r="FI5" s="23"/>
      <c r="FJ5" s="76"/>
      <c r="FK5" s="76"/>
      <c r="FL5" s="76"/>
      <c r="FM5" s="76"/>
      <c r="FN5" s="76"/>
      <c r="FO5" s="76"/>
      <c r="FP5" s="76"/>
      <c r="FQ5" s="76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8"/>
      <c r="GO5" s="78"/>
      <c r="GP5" s="78"/>
      <c r="GQ5" s="78"/>
      <c r="GR5" s="78"/>
      <c r="GS5" s="78"/>
      <c r="GT5" s="78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</row>
    <row r="6" customFormat="false" ht="12.75" hidden="false" customHeight="false" outlineLevel="0" collapsed="false">
      <c r="A6" s="80" t="n">
        <f aca="false">+BaseloadMarkets!A6</f>
        <v>36708</v>
      </c>
      <c r="B6" s="80" t="str">
        <f aca="false">+BaseloadMarkets!B6</f>
        <v>Sat</v>
      </c>
      <c r="C6" s="26" t="n">
        <v>10000</v>
      </c>
      <c r="D6" s="26" t="n">
        <v>8056</v>
      </c>
      <c r="E6" s="81" t="n">
        <f aca="false">D6-C6</f>
        <v>-1944</v>
      </c>
      <c r="F6" s="26" t="n">
        <v>10000</v>
      </c>
      <c r="G6" s="26" t="n">
        <v>4881</v>
      </c>
      <c r="H6" s="81" t="n">
        <f aca="false">G6-F6</f>
        <v>-5119</v>
      </c>
      <c r="I6" s="26" t="n">
        <v>10000</v>
      </c>
      <c r="J6" s="26" t="n">
        <v>10000</v>
      </c>
      <c r="K6" s="81" t="n">
        <f aca="false">J6-I6</f>
        <v>0</v>
      </c>
      <c r="L6" s="26" t="n">
        <v>5000</v>
      </c>
      <c r="M6" s="26" t="n">
        <v>5000</v>
      </c>
      <c r="N6" s="81" t="n">
        <f aca="false">M6-L6</f>
        <v>0</v>
      </c>
      <c r="O6" s="26" t="n">
        <v>10000</v>
      </c>
      <c r="P6" s="26" t="n">
        <v>10000</v>
      </c>
      <c r="Q6" s="81" t="n">
        <f aca="false">P6-O6</f>
        <v>0</v>
      </c>
      <c r="R6" s="26" t="n">
        <f aca="false">5000+5000</f>
        <v>10000</v>
      </c>
      <c r="S6" s="26" t="n">
        <f aca="false">5000+5000</f>
        <v>10000</v>
      </c>
      <c r="T6" s="81" t="n">
        <f aca="false">S6-R6</f>
        <v>0</v>
      </c>
      <c r="U6" s="26" t="n">
        <f aca="false">5000+5000</f>
        <v>10000</v>
      </c>
      <c r="V6" s="26" t="n">
        <f aca="false">5000+5000</f>
        <v>10000</v>
      </c>
      <c r="W6" s="81" t="n">
        <f aca="false">V6-U6</f>
        <v>0</v>
      </c>
      <c r="X6" s="26" t="n">
        <f aca="false">5000+5000</f>
        <v>10000</v>
      </c>
      <c r="Y6" s="26" t="n">
        <f aca="false">5000+5000</f>
        <v>10000</v>
      </c>
      <c r="Z6" s="81" t="n">
        <f aca="false">Y6-X6</f>
        <v>0</v>
      </c>
      <c r="AA6" s="26" t="n">
        <f aca="false">5000+5000</f>
        <v>10000</v>
      </c>
      <c r="AB6" s="26" t="n">
        <f aca="false">5000+5000</f>
        <v>10000</v>
      </c>
      <c r="AC6" s="81" t="n">
        <f aca="false">AB6-AA6</f>
        <v>0</v>
      </c>
      <c r="AD6" s="26" t="n">
        <f aca="false">5000+5000</f>
        <v>10000</v>
      </c>
      <c r="AE6" s="26" t="n">
        <f aca="false">5000+5000</f>
        <v>10000</v>
      </c>
      <c r="AF6" s="81" t="n">
        <f aca="false">AE6-AD6</f>
        <v>0</v>
      </c>
      <c r="AG6" s="83" t="n">
        <v>130000</v>
      </c>
      <c r="AH6" s="83" t="n">
        <v>117808</v>
      </c>
      <c r="AI6" s="120" t="n">
        <f aca="false">AH6-AG6</f>
        <v>-12192</v>
      </c>
      <c r="AJ6" s="26" t="n">
        <f aca="false">5000+5000</f>
        <v>10000</v>
      </c>
      <c r="AK6" s="26" t="n">
        <v>5777</v>
      </c>
      <c r="AL6" s="81" t="n">
        <f aca="false">AK6-AJ6</f>
        <v>-4223</v>
      </c>
      <c r="AM6" s="26"/>
      <c r="AN6" s="26"/>
      <c r="AO6" s="81" t="n">
        <f aca="false">AN6-AM6</f>
        <v>0</v>
      </c>
      <c r="AP6" s="26"/>
      <c r="AQ6" s="26"/>
      <c r="AR6" s="81" t="n">
        <f aca="false">AQ6-AP6</f>
        <v>0</v>
      </c>
      <c r="AS6" s="26"/>
      <c r="AT6" s="26"/>
      <c r="AU6" s="81" t="n">
        <f aca="false">AT6-AS6</f>
        <v>0</v>
      </c>
      <c r="AV6" s="26"/>
      <c r="AW6" s="26"/>
      <c r="AX6" s="81" t="n">
        <f aca="false">AW6-AV6</f>
        <v>0</v>
      </c>
      <c r="AY6" s="26"/>
      <c r="AZ6" s="26"/>
      <c r="BA6" s="81" t="n">
        <f aca="false">AZ6-AY6</f>
        <v>0</v>
      </c>
      <c r="BB6" s="26"/>
      <c r="BC6" s="26"/>
      <c r="BD6" s="81" t="n">
        <f aca="false">BC6-BB6</f>
        <v>0</v>
      </c>
      <c r="BE6" s="26"/>
      <c r="BF6" s="26"/>
      <c r="BG6" s="81" t="n">
        <f aca="false">BF6-BE6</f>
        <v>0</v>
      </c>
      <c r="BH6" s="26"/>
      <c r="BI6" s="26"/>
      <c r="BJ6" s="81" t="n">
        <f aca="false">BI6-BH6</f>
        <v>0</v>
      </c>
      <c r="BK6" s="26"/>
      <c r="BL6" s="26"/>
      <c r="BM6" s="81" t="n">
        <f aca="false">BL6-BK6</f>
        <v>0</v>
      </c>
      <c r="BN6" s="26"/>
      <c r="BO6" s="26"/>
      <c r="BP6" s="81" t="n">
        <f aca="false">BO6-BN6</f>
        <v>0</v>
      </c>
      <c r="BQ6" s="26"/>
      <c r="BR6" s="26"/>
      <c r="BS6" s="81" t="n">
        <f aca="false">BR6-BQ6</f>
        <v>0</v>
      </c>
      <c r="BT6" s="26"/>
      <c r="BU6" s="26"/>
      <c r="BV6" s="81" t="n">
        <f aca="false">BU6-BT6</f>
        <v>0</v>
      </c>
      <c r="BW6" s="26"/>
      <c r="BX6" s="26"/>
      <c r="BY6" s="81" t="n">
        <f aca="false">BX6-BW6</f>
        <v>0</v>
      </c>
      <c r="BZ6" s="26"/>
      <c r="CA6" s="26"/>
      <c r="CB6" s="81" t="n">
        <f aca="false">CA6-BZ6</f>
        <v>0</v>
      </c>
      <c r="CC6" s="26"/>
      <c r="CD6" s="26"/>
      <c r="CE6" s="81" t="n">
        <f aca="false">CD6-CC6</f>
        <v>0</v>
      </c>
      <c r="CF6" s="26"/>
      <c r="CG6" s="26"/>
      <c r="CH6" s="81" t="n">
        <f aca="false">CG6-CF6</f>
        <v>0</v>
      </c>
      <c r="CI6" s="26"/>
      <c r="CJ6" s="26"/>
      <c r="CK6" s="81" t="n">
        <f aca="false">CJ6-CI6</f>
        <v>0</v>
      </c>
      <c r="CL6" s="26"/>
      <c r="CM6" s="26"/>
      <c r="CN6" s="81" t="n">
        <f aca="false">CM6-CL6</f>
        <v>0</v>
      </c>
      <c r="CO6" s="26"/>
      <c r="CP6" s="26"/>
      <c r="CQ6" s="81" t="n">
        <f aca="false">CP6-CO6</f>
        <v>0</v>
      </c>
      <c r="CR6" s="26"/>
      <c r="CS6" s="26"/>
      <c r="CT6" s="81" t="n">
        <f aca="false">CS6-CR6</f>
        <v>0</v>
      </c>
      <c r="CU6" s="26"/>
      <c r="CV6" s="26"/>
      <c r="CW6" s="81" t="n">
        <f aca="false">CV6-CU6</f>
        <v>0</v>
      </c>
      <c r="CX6" s="26"/>
      <c r="CY6" s="26"/>
      <c r="CZ6" s="81" t="n">
        <f aca="false">CY6-CX6</f>
        <v>0</v>
      </c>
      <c r="DA6" s="26"/>
      <c r="DB6" s="26"/>
      <c r="DC6" s="81" t="n">
        <f aca="false">DB6-DA6</f>
        <v>0</v>
      </c>
      <c r="DD6" s="26"/>
      <c r="DE6" s="26"/>
      <c r="DF6" s="81" t="n">
        <f aca="false">DE6-DD6</f>
        <v>0</v>
      </c>
      <c r="DG6" s="26"/>
      <c r="DH6" s="26"/>
      <c r="DI6" s="81" t="n">
        <f aca="false">DH6-DG6</f>
        <v>0</v>
      </c>
      <c r="DJ6" s="26"/>
      <c r="DK6" s="26"/>
      <c r="DL6" s="81" t="n">
        <f aca="false">DK6-DJ6</f>
        <v>0</v>
      </c>
      <c r="DM6" s="26"/>
      <c r="DN6" s="26"/>
      <c r="DO6" s="81" t="n">
        <f aca="false">DN6-DM6</f>
        <v>0</v>
      </c>
      <c r="DP6" s="26"/>
      <c r="DQ6" s="26"/>
      <c r="DR6" s="81" t="n">
        <f aca="false">DQ6-DP6</f>
        <v>0</v>
      </c>
      <c r="DS6" s="26"/>
      <c r="DT6" s="26"/>
      <c r="DU6" s="81" t="n">
        <f aca="false">DT6-DS6</f>
        <v>0</v>
      </c>
      <c r="DV6" s="26"/>
      <c r="DW6" s="26"/>
      <c r="DX6" s="81" t="n">
        <f aca="false">DW6-DV6</f>
        <v>0</v>
      </c>
      <c r="DY6" s="26"/>
      <c r="DZ6" s="26"/>
      <c r="EA6" s="81" t="n">
        <f aca="false">DZ6-DY6</f>
        <v>0</v>
      </c>
      <c r="EB6" s="26"/>
      <c r="EC6" s="26"/>
      <c r="ED6" s="81" t="n">
        <f aca="false">EC6-EB6</f>
        <v>0</v>
      </c>
      <c r="EE6" s="26"/>
      <c r="EF6" s="26"/>
      <c r="EG6" s="81" t="n">
        <f aca="false">EF6-EE6</f>
        <v>0</v>
      </c>
      <c r="EH6" s="26"/>
      <c r="EI6" s="26"/>
      <c r="EJ6" s="81" t="n">
        <f aca="false">EI6-EH6</f>
        <v>0</v>
      </c>
      <c r="EK6" s="26"/>
      <c r="EL6" s="26"/>
      <c r="EM6" s="81" t="n">
        <f aca="false">EL6-EK6</f>
        <v>0</v>
      </c>
      <c r="EN6" s="26"/>
      <c r="EO6" s="26"/>
      <c r="EP6" s="81" t="n">
        <f aca="false">EO6-EN6</f>
        <v>0</v>
      </c>
      <c r="EQ6" s="81" t="n">
        <f aca="false">+C6+F6+I6+L6+O6+R6+U6+X6+AA6+AD6+AG6+AJ6+AM6+AP6+AS6+AV6+AY6+BB6+BE6+BH6+BK6+BN6+BQ6+BT6+BW6+BZ6+CC6+CF6+CI6+CL6+CO6+CR6+CU6+CX6+DA6+DD6+DG6+DJ6+DM6+DP6+DS6+DV6+DY6+EB6+EE6+EH6+EK6+EN6</f>
        <v>235000</v>
      </c>
      <c r="ER6" s="81" t="n">
        <f aca="false">+D6+G6+J6+M6+P6+S6+V6+Y6+AB6+AE6+AH6+AK6+AN6+AQ6+AT6+AW6+AZ6+BC6+BF6+BI6+BL6+BO6+BR6+BU6+BX6+CA6+CD6+CG6+CJ6+CM6+CP6+CS6+CV6+CY6+DB6+DE6+DH6+DK6+DN6+DQ6+DT6+DW6+DZ6+EC6+EF6+EI6+EL6+EO6</f>
        <v>211522</v>
      </c>
      <c r="ES6" s="81" t="n">
        <f aca="false">ER6-EQ6</f>
        <v>-23478</v>
      </c>
      <c r="ET6" s="26" t="n">
        <f aca="false">+ES6</f>
        <v>-23478</v>
      </c>
      <c r="EU6" s="26"/>
      <c r="EV6" s="81" t="n">
        <f aca="false">+EQ6-AG6</f>
        <v>105000</v>
      </c>
      <c r="EW6" s="81" t="n">
        <f aca="false">+ER6-AH6</f>
        <v>93714</v>
      </c>
      <c r="EX6" s="26" t="n">
        <f aca="false">+EW6-EV6</f>
        <v>-11286</v>
      </c>
      <c r="EY6" s="26" t="n">
        <f aca="false">+EX6</f>
        <v>-11286</v>
      </c>
      <c r="EZ6" s="26"/>
      <c r="FA6" s="26" t="n">
        <f aca="false">+AI6</f>
        <v>-12192</v>
      </c>
      <c r="FB6" s="26" t="n">
        <f aca="false">+FA6</f>
        <v>-12192</v>
      </c>
      <c r="FC6" s="26"/>
      <c r="FD6" s="26"/>
      <c r="FE6" s="26"/>
      <c r="FF6" s="26"/>
      <c r="FG6" s="26"/>
      <c r="FH6" s="26"/>
      <c r="FI6" s="26"/>
      <c r="FJ6" s="42"/>
      <c r="FK6" s="42"/>
      <c r="FL6" s="42"/>
      <c r="FM6" s="42"/>
      <c r="FN6" s="42"/>
      <c r="FO6" s="42"/>
      <c r="FP6" s="42"/>
      <c r="FQ6" s="42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5"/>
      <c r="GO6" s="85"/>
      <c r="GP6" s="85"/>
      <c r="GQ6" s="85"/>
      <c r="GR6" s="85"/>
      <c r="GS6" s="85"/>
      <c r="GT6" s="85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customFormat="false" ht="12.75" hidden="false" customHeight="false" outlineLevel="0" collapsed="false">
      <c r="A7" s="80" t="n">
        <f aca="false">+BaseloadMarkets!A7</f>
        <v>36709</v>
      </c>
      <c r="B7" s="80" t="str">
        <f aca="false">+BaseloadMarkets!B7</f>
        <v>Sun</v>
      </c>
      <c r="C7" s="26" t="n">
        <v>10000</v>
      </c>
      <c r="D7" s="26" t="n">
        <v>6215</v>
      </c>
      <c r="E7" s="81" t="n">
        <f aca="false">D7-C7</f>
        <v>-3785</v>
      </c>
      <c r="F7" s="26" t="n">
        <v>10000</v>
      </c>
      <c r="G7" s="26" t="n">
        <v>4442</v>
      </c>
      <c r="H7" s="81" t="n">
        <f aca="false">G7-F7</f>
        <v>-5558</v>
      </c>
      <c r="I7" s="26" t="n">
        <v>10000</v>
      </c>
      <c r="J7" s="26" t="n">
        <v>10000</v>
      </c>
      <c r="K7" s="81" t="n">
        <f aca="false">J7-I7</f>
        <v>0</v>
      </c>
      <c r="L7" s="26" t="n">
        <v>5000</v>
      </c>
      <c r="M7" s="26" t="n">
        <v>5000</v>
      </c>
      <c r="N7" s="81" t="n">
        <f aca="false">M7-L7</f>
        <v>0</v>
      </c>
      <c r="O7" s="26" t="n">
        <v>10000</v>
      </c>
      <c r="P7" s="26" t="n">
        <v>10000</v>
      </c>
      <c r="Q7" s="81" t="n">
        <f aca="false">P7-O7</f>
        <v>0</v>
      </c>
      <c r="R7" s="26" t="n">
        <f aca="false">5000+5000</f>
        <v>10000</v>
      </c>
      <c r="S7" s="26" t="n">
        <f aca="false">5000+5000</f>
        <v>10000</v>
      </c>
      <c r="T7" s="81" t="n">
        <f aca="false">S7-R7</f>
        <v>0</v>
      </c>
      <c r="U7" s="26" t="n">
        <f aca="false">5000+5000</f>
        <v>10000</v>
      </c>
      <c r="V7" s="26" t="n">
        <f aca="false">5000+5000</f>
        <v>10000</v>
      </c>
      <c r="W7" s="81" t="n">
        <f aca="false">V7-U7</f>
        <v>0</v>
      </c>
      <c r="X7" s="26" t="n">
        <f aca="false">5000+5000</f>
        <v>10000</v>
      </c>
      <c r="Y7" s="26" t="n">
        <f aca="false">5000+5000</f>
        <v>10000</v>
      </c>
      <c r="Z7" s="81" t="n">
        <f aca="false">Y7-X7</f>
        <v>0</v>
      </c>
      <c r="AA7" s="26" t="n">
        <f aca="false">5000+5000</f>
        <v>10000</v>
      </c>
      <c r="AB7" s="26" t="n">
        <f aca="false">5000+5000</f>
        <v>10000</v>
      </c>
      <c r="AC7" s="81" t="n">
        <f aca="false">AB7-AA7</f>
        <v>0</v>
      </c>
      <c r="AD7" s="26" t="n">
        <f aca="false">5000+5000</f>
        <v>10000</v>
      </c>
      <c r="AE7" s="26" t="n">
        <f aca="false">5000+5000</f>
        <v>10000</v>
      </c>
      <c r="AF7" s="81" t="n">
        <f aca="false">AE7-AD7</f>
        <v>0</v>
      </c>
      <c r="AG7" s="83" t="n">
        <v>130000</v>
      </c>
      <c r="AH7" s="83" t="n">
        <v>118588</v>
      </c>
      <c r="AI7" s="120" t="n">
        <f aca="false">AH7-AG7</f>
        <v>-11412</v>
      </c>
      <c r="AJ7" s="26" t="n">
        <f aca="false">5000+5000</f>
        <v>10000</v>
      </c>
      <c r="AK7" s="26" t="n">
        <v>5923</v>
      </c>
      <c r="AL7" s="81" t="n">
        <f aca="false">AK7-AJ7</f>
        <v>-4077</v>
      </c>
      <c r="AM7" s="26"/>
      <c r="AN7" s="26"/>
      <c r="AO7" s="81" t="n">
        <f aca="false">AN7-AM7</f>
        <v>0</v>
      </c>
      <c r="AP7" s="26"/>
      <c r="AQ7" s="26"/>
      <c r="AR7" s="81" t="n">
        <f aca="false">AQ7-AP7</f>
        <v>0</v>
      </c>
      <c r="AS7" s="26"/>
      <c r="AT7" s="26"/>
      <c r="AU7" s="81" t="n">
        <f aca="false">AT7-AS7</f>
        <v>0</v>
      </c>
      <c r="AV7" s="26"/>
      <c r="AW7" s="26"/>
      <c r="AX7" s="81" t="n">
        <f aca="false">AW7-AV7</f>
        <v>0</v>
      </c>
      <c r="AY7" s="26"/>
      <c r="AZ7" s="26"/>
      <c r="BA7" s="81" t="n">
        <f aca="false">AZ7-AY7</f>
        <v>0</v>
      </c>
      <c r="BB7" s="26"/>
      <c r="BC7" s="26"/>
      <c r="BD7" s="81" t="n">
        <f aca="false">BC7-BB7</f>
        <v>0</v>
      </c>
      <c r="BE7" s="26"/>
      <c r="BF7" s="26"/>
      <c r="BG7" s="81" t="n">
        <f aca="false">BF7-BE7</f>
        <v>0</v>
      </c>
      <c r="BH7" s="26"/>
      <c r="BI7" s="26"/>
      <c r="BJ7" s="81" t="n">
        <f aca="false">BI7-BH7</f>
        <v>0</v>
      </c>
      <c r="BK7" s="26"/>
      <c r="BL7" s="26"/>
      <c r="BM7" s="81" t="n">
        <f aca="false">BL7-BK7</f>
        <v>0</v>
      </c>
      <c r="BN7" s="26"/>
      <c r="BO7" s="26"/>
      <c r="BP7" s="81" t="n">
        <f aca="false">BO7-BN7</f>
        <v>0</v>
      </c>
      <c r="BQ7" s="26"/>
      <c r="BR7" s="26"/>
      <c r="BS7" s="81" t="n">
        <f aca="false">BR7-BQ7</f>
        <v>0</v>
      </c>
      <c r="BT7" s="26"/>
      <c r="BU7" s="26"/>
      <c r="BV7" s="81" t="n">
        <f aca="false">BU7-BT7</f>
        <v>0</v>
      </c>
      <c r="BW7" s="26"/>
      <c r="BX7" s="26"/>
      <c r="BY7" s="81" t="n">
        <f aca="false">BX7-BW7</f>
        <v>0</v>
      </c>
      <c r="BZ7" s="26"/>
      <c r="CA7" s="26"/>
      <c r="CB7" s="81" t="n">
        <f aca="false">CA7-BZ7</f>
        <v>0</v>
      </c>
      <c r="CC7" s="26"/>
      <c r="CD7" s="26"/>
      <c r="CE7" s="81" t="n">
        <f aca="false">CD7-CC7</f>
        <v>0</v>
      </c>
      <c r="CF7" s="26"/>
      <c r="CG7" s="26"/>
      <c r="CH7" s="81" t="n">
        <f aca="false">CG7-CF7</f>
        <v>0</v>
      </c>
      <c r="CI7" s="26"/>
      <c r="CJ7" s="26"/>
      <c r="CK7" s="81" t="n">
        <f aca="false">CJ7-CI7</f>
        <v>0</v>
      </c>
      <c r="CL7" s="26"/>
      <c r="CM7" s="26"/>
      <c r="CN7" s="81" t="n">
        <f aca="false">CM7-CL7</f>
        <v>0</v>
      </c>
      <c r="CO7" s="26"/>
      <c r="CP7" s="26"/>
      <c r="CQ7" s="81" t="n">
        <f aca="false">CP7-CO7</f>
        <v>0</v>
      </c>
      <c r="CR7" s="26"/>
      <c r="CS7" s="26"/>
      <c r="CT7" s="81" t="n">
        <f aca="false">CS7-CR7</f>
        <v>0</v>
      </c>
      <c r="CU7" s="26"/>
      <c r="CV7" s="26"/>
      <c r="CW7" s="81" t="n">
        <f aca="false">CV7-CU7</f>
        <v>0</v>
      </c>
      <c r="CX7" s="26"/>
      <c r="CY7" s="26"/>
      <c r="CZ7" s="81" t="n">
        <f aca="false">CY7-CX7</f>
        <v>0</v>
      </c>
      <c r="DA7" s="26"/>
      <c r="DB7" s="26"/>
      <c r="DC7" s="81" t="n">
        <f aca="false">DB7-DA7</f>
        <v>0</v>
      </c>
      <c r="DD7" s="26"/>
      <c r="DE7" s="26"/>
      <c r="DF7" s="81" t="n">
        <f aca="false">DE7-DD7</f>
        <v>0</v>
      </c>
      <c r="DG7" s="26"/>
      <c r="DH7" s="26"/>
      <c r="DI7" s="81" t="n">
        <f aca="false">DH7-DG7</f>
        <v>0</v>
      </c>
      <c r="DJ7" s="26"/>
      <c r="DK7" s="26"/>
      <c r="DL7" s="81" t="n">
        <f aca="false">DK7-DJ7</f>
        <v>0</v>
      </c>
      <c r="DM7" s="26"/>
      <c r="DN7" s="26"/>
      <c r="DO7" s="81" t="n">
        <f aca="false">DN7-DM7</f>
        <v>0</v>
      </c>
      <c r="DP7" s="26"/>
      <c r="DQ7" s="26"/>
      <c r="DR7" s="81" t="n">
        <f aca="false">DQ7-DP7</f>
        <v>0</v>
      </c>
      <c r="DS7" s="26"/>
      <c r="DT7" s="26"/>
      <c r="DU7" s="81" t="n">
        <f aca="false">DT7-DS7</f>
        <v>0</v>
      </c>
      <c r="DV7" s="26"/>
      <c r="DW7" s="26"/>
      <c r="DX7" s="81" t="n">
        <f aca="false">DW7-DV7</f>
        <v>0</v>
      </c>
      <c r="DY7" s="26"/>
      <c r="DZ7" s="26"/>
      <c r="EA7" s="81" t="n">
        <f aca="false">DZ7-DY7</f>
        <v>0</v>
      </c>
      <c r="EB7" s="26"/>
      <c r="EC7" s="26"/>
      <c r="ED7" s="81" t="n">
        <f aca="false">EC7-EB7</f>
        <v>0</v>
      </c>
      <c r="EE7" s="26"/>
      <c r="EF7" s="26"/>
      <c r="EG7" s="81" t="n">
        <f aca="false">EF7-EE7</f>
        <v>0</v>
      </c>
      <c r="EH7" s="26"/>
      <c r="EI7" s="26"/>
      <c r="EJ7" s="81" t="n">
        <f aca="false">EI7-EH7</f>
        <v>0</v>
      </c>
      <c r="EK7" s="26"/>
      <c r="EL7" s="26"/>
      <c r="EM7" s="81" t="n">
        <f aca="false">EL7-EK7</f>
        <v>0</v>
      </c>
      <c r="EN7" s="26"/>
      <c r="EO7" s="26"/>
      <c r="EP7" s="81" t="n">
        <f aca="false">EO7-EN7</f>
        <v>0</v>
      </c>
      <c r="EQ7" s="81" t="n">
        <f aca="false">+C7+F7+I7+L7+O7+R7+U7+X7+AA7+AD7+AG7+AJ7+AM7+AP7+AS7+AV7+AY7+BB7+BE7+BH7+BK7+BN7+BQ7+BT7+BW7+BZ7+CC7+CF7+CI7+CL7+CO7+CR7+CU7+CX7+DA7+DD7+DG7+DJ7+DM7+DP7+DS7+DV7+DY7+EB7+EE7+EH7+EK7+EN7</f>
        <v>235000</v>
      </c>
      <c r="ER7" s="81" t="n">
        <f aca="false">+D7+G7+J7+M7+P7+S7+V7+Y7+AB7+AE7+AH7+AK7+AN7+AQ7+AT7+AW7+AZ7+BC7+BF7+BI7+BL7+BO7+BR7+BU7+BX7+CA7+CD7+CG7+CJ7+CM7+CP7+CS7+CV7+CY7+DB7+DE7+DH7+DK7+DN7+DQ7+DT7+DW7+DZ7+EC7+EF7+EI7+EL7+EO7</f>
        <v>210168</v>
      </c>
      <c r="ES7" s="81" t="n">
        <f aca="false">ER7-EQ7</f>
        <v>-24832</v>
      </c>
      <c r="ET7" s="26" t="n">
        <f aca="false">+ET6+ES7</f>
        <v>-48310</v>
      </c>
      <c r="EU7" s="26"/>
      <c r="EV7" s="81" t="n">
        <f aca="false">+EQ7-AG7</f>
        <v>105000</v>
      </c>
      <c r="EW7" s="81" t="n">
        <f aca="false">+ER7-AH7</f>
        <v>91580</v>
      </c>
      <c r="EX7" s="26" t="n">
        <f aca="false">+EW7-EV7</f>
        <v>-13420</v>
      </c>
      <c r="EY7" s="26" t="n">
        <f aca="false">+EY6+EX7</f>
        <v>-24706</v>
      </c>
      <c r="EZ7" s="26"/>
      <c r="FA7" s="26" t="n">
        <f aca="false">+AI7</f>
        <v>-11412</v>
      </c>
      <c r="FB7" s="26" t="n">
        <f aca="false">+FB6+FA7</f>
        <v>-23604</v>
      </c>
      <c r="FC7" s="26"/>
      <c r="FD7" s="26"/>
      <c r="FE7" s="26"/>
      <c r="FF7" s="26"/>
      <c r="FG7" s="26"/>
      <c r="FH7" s="26"/>
      <c r="FI7" s="26"/>
      <c r="FJ7" s="42"/>
      <c r="FK7" s="42"/>
      <c r="FL7" s="42"/>
      <c r="FM7" s="42"/>
      <c r="FN7" s="42"/>
      <c r="FO7" s="42"/>
      <c r="FP7" s="42"/>
      <c r="FQ7" s="42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5"/>
      <c r="GO7" s="85"/>
      <c r="GP7" s="85"/>
      <c r="GQ7" s="85"/>
      <c r="GR7" s="85"/>
      <c r="GS7" s="85"/>
      <c r="GT7" s="85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customFormat="false" ht="12.75" hidden="false" customHeight="false" outlineLevel="0" collapsed="false">
      <c r="A8" s="80" t="n">
        <f aca="false">+BaseloadMarkets!A8</f>
        <v>36710</v>
      </c>
      <c r="B8" s="80" t="str">
        <f aca="false">+BaseloadMarkets!B8</f>
        <v>Mon</v>
      </c>
      <c r="C8" s="26" t="n">
        <v>10000</v>
      </c>
      <c r="D8" s="26" t="n">
        <v>7080</v>
      </c>
      <c r="E8" s="81" t="n">
        <f aca="false">D8-C8</f>
        <v>-2920</v>
      </c>
      <c r="F8" s="26" t="n">
        <v>10000</v>
      </c>
      <c r="G8" s="26" t="n">
        <v>4667</v>
      </c>
      <c r="H8" s="81" t="n">
        <f aca="false">G8-F8</f>
        <v>-5333</v>
      </c>
      <c r="I8" s="26" t="n">
        <v>10000</v>
      </c>
      <c r="J8" s="26" t="n">
        <v>10000</v>
      </c>
      <c r="K8" s="81" t="n">
        <f aca="false">J8-I8</f>
        <v>0</v>
      </c>
      <c r="L8" s="26" t="n">
        <v>5000</v>
      </c>
      <c r="M8" s="26" t="n">
        <v>5000</v>
      </c>
      <c r="N8" s="81" t="n">
        <f aca="false">M8-L8</f>
        <v>0</v>
      </c>
      <c r="O8" s="26" t="n">
        <v>10000</v>
      </c>
      <c r="P8" s="26" t="n">
        <v>10000</v>
      </c>
      <c r="Q8" s="81" t="n">
        <f aca="false">P8-O8</f>
        <v>0</v>
      </c>
      <c r="R8" s="26" t="n">
        <f aca="false">5000+5000</f>
        <v>10000</v>
      </c>
      <c r="S8" s="26" t="n">
        <f aca="false">5000+5000</f>
        <v>10000</v>
      </c>
      <c r="T8" s="81" t="n">
        <f aca="false">S8-R8</f>
        <v>0</v>
      </c>
      <c r="U8" s="26" t="n">
        <f aca="false">5000+5000</f>
        <v>10000</v>
      </c>
      <c r="V8" s="26" t="n">
        <f aca="false">5000+5000</f>
        <v>10000</v>
      </c>
      <c r="W8" s="81" t="n">
        <f aca="false">V8-U8</f>
        <v>0</v>
      </c>
      <c r="X8" s="26" t="n">
        <f aca="false">5000+5000</f>
        <v>10000</v>
      </c>
      <c r="Y8" s="26" t="n">
        <f aca="false">5000+5000</f>
        <v>10000</v>
      </c>
      <c r="Z8" s="81" t="n">
        <f aca="false">Y8-X8</f>
        <v>0</v>
      </c>
      <c r="AA8" s="26" t="n">
        <f aca="false">5000+5000</f>
        <v>10000</v>
      </c>
      <c r="AB8" s="26" t="n">
        <f aca="false">5000+5000</f>
        <v>10000</v>
      </c>
      <c r="AC8" s="81" t="n">
        <f aca="false">AB8-AA8</f>
        <v>0</v>
      </c>
      <c r="AD8" s="26" t="n">
        <f aca="false">5000+5000</f>
        <v>10000</v>
      </c>
      <c r="AE8" s="26" t="n">
        <f aca="false">5000+5000</f>
        <v>10000</v>
      </c>
      <c r="AF8" s="81" t="n">
        <f aca="false">AE8-AD8</f>
        <v>0</v>
      </c>
      <c r="AG8" s="83" t="n">
        <v>130000</v>
      </c>
      <c r="AH8" s="83" t="n">
        <v>118660</v>
      </c>
      <c r="AI8" s="120" t="n">
        <f aca="false">AH8-AG8</f>
        <v>-11340</v>
      </c>
      <c r="AJ8" s="26" t="n">
        <f aca="false">5000+5000</f>
        <v>10000</v>
      </c>
      <c r="AK8" s="26" t="n">
        <v>5909</v>
      </c>
      <c r="AL8" s="81" t="n">
        <f aca="false">AK8-AJ8</f>
        <v>-4091</v>
      </c>
      <c r="AM8" s="26"/>
      <c r="AN8" s="26"/>
      <c r="AO8" s="81" t="n">
        <f aca="false">AN8-AM8</f>
        <v>0</v>
      </c>
      <c r="AP8" s="26"/>
      <c r="AQ8" s="26"/>
      <c r="AR8" s="81" t="n">
        <f aca="false">AQ8-AP8</f>
        <v>0</v>
      </c>
      <c r="AS8" s="26"/>
      <c r="AT8" s="26"/>
      <c r="AU8" s="81" t="n">
        <f aca="false">AT8-AS8</f>
        <v>0</v>
      </c>
      <c r="AV8" s="26"/>
      <c r="AW8" s="26"/>
      <c r="AX8" s="81" t="n">
        <f aca="false">AW8-AV8</f>
        <v>0</v>
      </c>
      <c r="AY8" s="26"/>
      <c r="AZ8" s="26"/>
      <c r="BA8" s="81" t="n">
        <f aca="false">AZ8-AY8</f>
        <v>0</v>
      </c>
      <c r="BB8" s="26"/>
      <c r="BC8" s="26"/>
      <c r="BD8" s="81" t="n">
        <f aca="false">BC8-BB8</f>
        <v>0</v>
      </c>
      <c r="BE8" s="26"/>
      <c r="BF8" s="26"/>
      <c r="BG8" s="81" t="n">
        <f aca="false">BF8-BE8</f>
        <v>0</v>
      </c>
      <c r="BH8" s="26"/>
      <c r="BI8" s="26"/>
      <c r="BJ8" s="81" t="n">
        <f aca="false">BI8-BH8</f>
        <v>0</v>
      </c>
      <c r="BK8" s="26"/>
      <c r="BL8" s="26"/>
      <c r="BM8" s="81" t="n">
        <f aca="false">BL8-BK8</f>
        <v>0</v>
      </c>
      <c r="BN8" s="26"/>
      <c r="BO8" s="26"/>
      <c r="BP8" s="81" t="n">
        <f aca="false">BO8-BN8</f>
        <v>0</v>
      </c>
      <c r="BQ8" s="26"/>
      <c r="BR8" s="26"/>
      <c r="BS8" s="81" t="n">
        <f aca="false">BR8-BQ8</f>
        <v>0</v>
      </c>
      <c r="BT8" s="26"/>
      <c r="BU8" s="26"/>
      <c r="BV8" s="81" t="n">
        <f aca="false">BU8-BT8</f>
        <v>0</v>
      </c>
      <c r="BW8" s="26"/>
      <c r="BX8" s="26"/>
      <c r="BY8" s="81" t="n">
        <f aca="false">BX8-BW8</f>
        <v>0</v>
      </c>
      <c r="BZ8" s="26"/>
      <c r="CA8" s="26"/>
      <c r="CB8" s="81" t="n">
        <f aca="false">CA8-BZ8</f>
        <v>0</v>
      </c>
      <c r="CC8" s="26"/>
      <c r="CD8" s="26"/>
      <c r="CE8" s="81" t="n">
        <f aca="false">CD8-CC8</f>
        <v>0</v>
      </c>
      <c r="CF8" s="26"/>
      <c r="CG8" s="26"/>
      <c r="CH8" s="81" t="n">
        <f aca="false">CG8-CF8</f>
        <v>0</v>
      </c>
      <c r="CI8" s="26"/>
      <c r="CJ8" s="26"/>
      <c r="CK8" s="81" t="n">
        <f aca="false">CJ8-CI8</f>
        <v>0</v>
      </c>
      <c r="CL8" s="26"/>
      <c r="CM8" s="26"/>
      <c r="CN8" s="81" t="n">
        <f aca="false">CM8-CL8</f>
        <v>0</v>
      </c>
      <c r="CO8" s="26"/>
      <c r="CP8" s="26"/>
      <c r="CQ8" s="81" t="n">
        <f aca="false">CP8-CO8</f>
        <v>0</v>
      </c>
      <c r="CR8" s="26"/>
      <c r="CS8" s="26"/>
      <c r="CT8" s="81" t="n">
        <f aca="false">CS8-CR8</f>
        <v>0</v>
      </c>
      <c r="CU8" s="26"/>
      <c r="CV8" s="26"/>
      <c r="CW8" s="81" t="n">
        <f aca="false">CV8-CU8</f>
        <v>0</v>
      </c>
      <c r="CX8" s="26"/>
      <c r="CY8" s="26"/>
      <c r="CZ8" s="81" t="n">
        <f aca="false">CY8-CX8</f>
        <v>0</v>
      </c>
      <c r="DA8" s="26"/>
      <c r="DB8" s="26"/>
      <c r="DC8" s="81" t="n">
        <f aca="false">DB8-DA8</f>
        <v>0</v>
      </c>
      <c r="DD8" s="26"/>
      <c r="DE8" s="26"/>
      <c r="DF8" s="81" t="n">
        <f aca="false">DE8-DD8</f>
        <v>0</v>
      </c>
      <c r="DG8" s="26"/>
      <c r="DH8" s="26"/>
      <c r="DI8" s="81" t="n">
        <f aca="false">DH8-DG8</f>
        <v>0</v>
      </c>
      <c r="DJ8" s="26"/>
      <c r="DK8" s="26"/>
      <c r="DL8" s="81" t="n">
        <f aca="false">DK8-DJ8</f>
        <v>0</v>
      </c>
      <c r="DM8" s="26"/>
      <c r="DN8" s="26"/>
      <c r="DO8" s="81" t="n">
        <f aca="false">DN8-DM8</f>
        <v>0</v>
      </c>
      <c r="DP8" s="26"/>
      <c r="DQ8" s="26"/>
      <c r="DR8" s="81" t="n">
        <f aca="false">DQ8-DP8</f>
        <v>0</v>
      </c>
      <c r="DS8" s="26"/>
      <c r="DT8" s="26"/>
      <c r="DU8" s="81" t="n">
        <f aca="false">DT8-DS8</f>
        <v>0</v>
      </c>
      <c r="DV8" s="26"/>
      <c r="DW8" s="26"/>
      <c r="DX8" s="81" t="n">
        <f aca="false">DW8-DV8</f>
        <v>0</v>
      </c>
      <c r="DY8" s="26"/>
      <c r="DZ8" s="26"/>
      <c r="EA8" s="81" t="n">
        <f aca="false">DZ8-DY8</f>
        <v>0</v>
      </c>
      <c r="EB8" s="26"/>
      <c r="EC8" s="26"/>
      <c r="ED8" s="81" t="n">
        <f aca="false">EC8-EB8</f>
        <v>0</v>
      </c>
      <c r="EE8" s="26"/>
      <c r="EF8" s="26"/>
      <c r="EG8" s="81" t="n">
        <f aca="false">EF8-EE8</f>
        <v>0</v>
      </c>
      <c r="EH8" s="26"/>
      <c r="EI8" s="26"/>
      <c r="EJ8" s="81" t="n">
        <f aca="false">EI8-EH8</f>
        <v>0</v>
      </c>
      <c r="EK8" s="26"/>
      <c r="EL8" s="26"/>
      <c r="EM8" s="81" t="n">
        <f aca="false">EL8-EK8</f>
        <v>0</v>
      </c>
      <c r="EN8" s="26"/>
      <c r="EO8" s="26"/>
      <c r="EP8" s="81" t="n">
        <f aca="false">EO8-EN8</f>
        <v>0</v>
      </c>
      <c r="EQ8" s="81" t="n">
        <f aca="false">+C8+F8+I8+L8+O8+R8+U8+X8+AA8+AD8+AG8+AJ8+AM8+AP8+AS8+AV8+AY8+BB8+BE8+BH8+BK8+BN8+BQ8+BT8+BW8+BZ8+CC8+CF8+CI8+CL8+CO8+CR8+CU8+CX8+DA8+DD8+DG8+DJ8+DM8+DP8+DS8+DV8+DY8+EB8+EE8+EH8+EK8+EN8</f>
        <v>235000</v>
      </c>
      <c r="ER8" s="81" t="n">
        <f aca="false">+D8+G8+J8+M8+P8+S8+V8+Y8+AB8+AE8+AH8+AK8+AN8+AQ8+AT8+AW8+AZ8+BC8+BF8+BI8+BL8+BO8+BR8+BU8+BX8+CA8+CD8+CG8+CJ8+CM8+CP8+CS8+CV8+CY8+DB8+DE8+DH8+DK8+DN8+DQ8+DT8+DW8+DZ8+EC8+EF8+EI8+EL8+EO8</f>
        <v>211316</v>
      </c>
      <c r="ES8" s="81" t="n">
        <f aca="false">ER8-EQ8</f>
        <v>-23684</v>
      </c>
      <c r="ET8" s="26" t="n">
        <f aca="false">+ET7+ES8</f>
        <v>-71994</v>
      </c>
      <c r="EU8" s="87"/>
      <c r="EV8" s="81" t="n">
        <f aca="false">+EQ8-AG8</f>
        <v>105000</v>
      </c>
      <c r="EW8" s="81" t="n">
        <f aca="false">+ER8-AH8</f>
        <v>92656</v>
      </c>
      <c r="EX8" s="26" t="n">
        <f aca="false">+EW8-EV8</f>
        <v>-12344</v>
      </c>
      <c r="EY8" s="26" t="n">
        <f aca="false">+EY7+EX8</f>
        <v>-37050</v>
      </c>
      <c r="EZ8" s="87"/>
      <c r="FA8" s="26" t="n">
        <f aca="false">+AI8</f>
        <v>-11340</v>
      </c>
      <c r="FB8" s="26" t="n">
        <f aca="false">+FB7+FA8</f>
        <v>-34944</v>
      </c>
      <c r="FC8" s="87"/>
      <c r="FD8" s="87"/>
      <c r="FE8" s="87"/>
      <c r="FF8" s="87"/>
      <c r="FG8" s="87"/>
      <c r="FH8" s="87"/>
      <c r="FI8" s="87"/>
    </row>
    <row r="9" customFormat="false" ht="12.75" hidden="false" customHeight="false" outlineLevel="0" collapsed="false">
      <c r="A9" s="80" t="n">
        <f aca="false">+BaseloadMarkets!A9</f>
        <v>36711</v>
      </c>
      <c r="B9" s="80" t="str">
        <f aca="false">+BaseloadMarkets!B9</f>
        <v>Tues</v>
      </c>
      <c r="C9" s="26" t="n">
        <v>10000</v>
      </c>
      <c r="D9" s="26" t="n">
        <v>6349</v>
      </c>
      <c r="E9" s="81" t="n">
        <f aca="false">D9-C9</f>
        <v>-3651</v>
      </c>
      <c r="F9" s="26" t="n">
        <v>10000</v>
      </c>
      <c r="G9" s="26" t="n">
        <v>4319</v>
      </c>
      <c r="H9" s="81" t="n">
        <f aca="false">G9-F9</f>
        <v>-5681</v>
      </c>
      <c r="I9" s="26" t="n">
        <v>10000</v>
      </c>
      <c r="J9" s="26" t="n">
        <v>10000</v>
      </c>
      <c r="K9" s="81" t="n">
        <f aca="false">J9-I9</f>
        <v>0</v>
      </c>
      <c r="L9" s="26" t="n">
        <v>5000</v>
      </c>
      <c r="M9" s="26" t="n">
        <v>5000</v>
      </c>
      <c r="N9" s="81" t="n">
        <f aca="false">M9-L9</f>
        <v>0</v>
      </c>
      <c r="O9" s="26" t="n">
        <v>10000</v>
      </c>
      <c r="P9" s="26" t="n">
        <v>10000</v>
      </c>
      <c r="Q9" s="81" t="n">
        <f aca="false">P9-O9</f>
        <v>0</v>
      </c>
      <c r="R9" s="26" t="n">
        <f aca="false">5000+5000</f>
        <v>10000</v>
      </c>
      <c r="S9" s="26" t="n">
        <f aca="false">5000+5000</f>
        <v>10000</v>
      </c>
      <c r="T9" s="81" t="n">
        <f aca="false">S9-R9</f>
        <v>0</v>
      </c>
      <c r="U9" s="26" t="n">
        <f aca="false">5000+5000</f>
        <v>10000</v>
      </c>
      <c r="V9" s="26" t="n">
        <f aca="false">5000+5000</f>
        <v>10000</v>
      </c>
      <c r="W9" s="81" t="n">
        <f aca="false">V9-U9</f>
        <v>0</v>
      </c>
      <c r="X9" s="26" t="n">
        <f aca="false">5000+5000</f>
        <v>10000</v>
      </c>
      <c r="Y9" s="26" t="n">
        <f aca="false">5000+5000</f>
        <v>10000</v>
      </c>
      <c r="Z9" s="81" t="n">
        <f aca="false">Y9-X9</f>
        <v>0</v>
      </c>
      <c r="AA9" s="26" t="n">
        <f aca="false">5000+5000</f>
        <v>10000</v>
      </c>
      <c r="AB9" s="26" t="n">
        <f aca="false">5000+5000</f>
        <v>10000</v>
      </c>
      <c r="AC9" s="81" t="n">
        <f aca="false">AB9-AA9</f>
        <v>0</v>
      </c>
      <c r="AD9" s="26" t="n">
        <f aca="false">5000+5000</f>
        <v>10000</v>
      </c>
      <c r="AE9" s="26" t="n">
        <f aca="false">5000+5000</f>
        <v>10000</v>
      </c>
      <c r="AF9" s="81" t="n">
        <f aca="false">AE9-AD9</f>
        <v>0</v>
      </c>
      <c r="AG9" s="83" t="n">
        <v>130000</v>
      </c>
      <c r="AH9" s="83" t="n">
        <v>118578</v>
      </c>
      <c r="AI9" s="120" t="n">
        <f aca="false">AH9-AG9</f>
        <v>-11422</v>
      </c>
      <c r="AJ9" s="26" t="n">
        <f aca="false">5000+5000</f>
        <v>10000</v>
      </c>
      <c r="AK9" s="26" t="n">
        <v>5885</v>
      </c>
      <c r="AL9" s="81" t="n">
        <f aca="false">AK9-AJ9</f>
        <v>-4115</v>
      </c>
      <c r="AM9" s="26"/>
      <c r="AN9" s="26"/>
      <c r="AO9" s="81" t="n">
        <f aca="false">AN9-AM9</f>
        <v>0</v>
      </c>
      <c r="AP9" s="26"/>
      <c r="AQ9" s="26"/>
      <c r="AR9" s="81" t="n">
        <f aca="false">AQ9-AP9</f>
        <v>0</v>
      </c>
      <c r="AS9" s="26"/>
      <c r="AT9" s="26"/>
      <c r="AU9" s="81" t="n">
        <f aca="false">AT9-AS9</f>
        <v>0</v>
      </c>
      <c r="AV9" s="26"/>
      <c r="AW9" s="26"/>
      <c r="AX9" s="81" t="n">
        <f aca="false">AW9-AV9</f>
        <v>0</v>
      </c>
      <c r="AY9" s="26"/>
      <c r="AZ9" s="26"/>
      <c r="BA9" s="81" t="n">
        <f aca="false">AZ9-AY9</f>
        <v>0</v>
      </c>
      <c r="BB9" s="26"/>
      <c r="BC9" s="26"/>
      <c r="BD9" s="81" t="n">
        <f aca="false">BC9-BB9</f>
        <v>0</v>
      </c>
      <c r="BE9" s="26"/>
      <c r="BF9" s="26"/>
      <c r="BG9" s="81" t="n">
        <f aca="false">BF9-BE9</f>
        <v>0</v>
      </c>
      <c r="BH9" s="26"/>
      <c r="BI9" s="26"/>
      <c r="BJ9" s="81" t="n">
        <f aca="false">BI9-BH9</f>
        <v>0</v>
      </c>
      <c r="BK9" s="26"/>
      <c r="BL9" s="26"/>
      <c r="BM9" s="81" t="n">
        <f aca="false">BL9-BK9</f>
        <v>0</v>
      </c>
      <c r="BN9" s="26"/>
      <c r="BO9" s="26"/>
      <c r="BP9" s="81" t="n">
        <f aca="false">BO9-BN9</f>
        <v>0</v>
      </c>
      <c r="BQ9" s="26"/>
      <c r="BR9" s="26"/>
      <c r="BS9" s="81" t="n">
        <f aca="false">BR9-BQ9</f>
        <v>0</v>
      </c>
      <c r="BT9" s="26"/>
      <c r="BU9" s="26"/>
      <c r="BV9" s="81" t="n">
        <f aca="false">BU9-BT9</f>
        <v>0</v>
      </c>
      <c r="BW9" s="26"/>
      <c r="BX9" s="26"/>
      <c r="BY9" s="81" t="n">
        <f aca="false">BX9-BW9</f>
        <v>0</v>
      </c>
      <c r="BZ9" s="26"/>
      <c r="CA9" s="26"/>
      <c r="CB9" s="81" t="n">
        <f aca="false">CA9-BZ9</f>
        <v>0</v>
      </c>
      <c r="CC9" s="26"/>
      <c r="CD9" s="26"/>
      <c r="CE9" s="81" t="n">
        <f aca="false">CD9-CC9</f>
        <v>0</v>
      </c>
      <c r="CF9" s="26"/>
      <c r="CG9" s="26"/>
      <c r="CH9" s="81" t="n">
        <f aca="false">CG9-CF9</f>
        <v>0</v>
      </c>
      <c r="CI9" s="26"/>
      <c r="CJ9" s="26"/>
      <c r="CK9" s="81" t="n">
        <f aca="false">CJ9-CI9</f>
        <v>0</v>
      </c>
      <c r="CL9" s="26"/>
      <c r="CM9" s="26"/>
      <c r="CN9" s="81" t="n">
        <f aca="false">CM9-CL9</f>
        <v>0</v>
      </c>
      <c r="CO9" s="26"/>
      <c r="CP9" s="26"/>
      <c r="CQ9" s="81" t="n">
        <f aca="false">CP9-CO9</f>
        <v>0</v>
      </c>
      <c r="CR9" s="26"/>
      <c r="CS9" s="26"/>
      <c r="CT9" s="81" t="n">
        <f aca="false">CS9-CR9</f>
        <v>0</v>
      </c>
      <c r="CU9" s="26"/>
      <c r="CV9" s="26"/>
      <c r="CW9" s="81" t="n">
        <f aca="false">CV9-CU9</f>
        <v>0</v>
      </c>
      <c r="CX9" s="26"/>
      <c r="CY9" s="26"/>
      <c r="CZ9" s="81" t="n">
        <f aca="false">CY9-CX9</f>
        <v>0</v>
      </c>
      <c r="DA9" s="26"/>
      <c r="DB9" s="26"/>
      <c r="DC9" s="81" t="n">
        <f aca="false">DB9-DA9</f>
        <v>0</v>
      </c>
      <c r="DD9" s="26"/>
      <c r="DE9" s="26"/>
      <c r="DF9" s="81" t="n">
        <f aca="false">DE9-DD9</f>
        <v>0</v>
      </c>
      <c r="DG9" s="26"/>
      <c r="DH9" s="26"/>
      <c r="DI9" s="81" t="n">
        <f aca="false">DH9-DG9</f>
        <v>0</v>
      </c>
      <c r="DJ9" s="26"/>
      <c r="DK9" s="26"/>
      <c r="DL9" s="81" t="n">
        <f aca="false">DK9-DJ9</f>
        <v>0</v>
      </c>
      <c r="DM9" s="26"/>
      <c r="DN9" s="26"/>
      <c r="DO9" s="81" t="n">
        <f aca="false">DN9-DM9</f>
        <v>0</v>
      </c>
      <c r="DP9" s="26"/>
      <c r="DQ9" s="26"/>
      <c r="DR9" s="81" t="n">
        <f aca="false">DQ9-DP9</f>
        <v>0</v>
      </c>
      <c r="DS9" s="26"/>
      <c r="DT9" s="26"/>
      <c r="DU9" s="81" t="n">
        <f aca="false">DT9-DS9</f>
        <v>0</v>
      </c>
      <c r="DV9" s="26"/>
      <c r="DW9" s="26"/>
      <c r="DX9" s="81" t="n">
        <f aca="false">DW9-DV9</f>
        <v>0</v>
      </c>
      <c r="DY9" s="26"/>
      <c r="DZ9" s="26"/>
      <c r="EA9" s="81" t="n">
        <f aca="false">DZ9-DY9</f>
        <v>0</v>
      </c>
      <c r="EB9" s="26"/>
      <c r="EC9" s="26"/>
      <c r="ED9" s="81" t="n">
        <f aca="false">EC9-EB9</f>
        <v>0</v>
      </c>
      <c r="EE9" s="26"/>
      <c r="EF9" s="26"/>
      <c r="EG9" s="81" t="n">
        <f aca="false">EF9-EE9</f>
        <v>0</v>
      </c>
      <c r="EH9" s="26"/>
      <c r="EI9" s="26"/>
      <c r="EJ9" s="81" t="n">
        <f aca="false">EI9-EH9</f>
        <v>0</v>
      </c>
      <c r="EK9" s="26"/>
      <c r="EL9" s="26"/>
      <c r="EM9" s="81" t="n">
        <f aca="false">EL9-EK9</f>
        <v>0</v>
      </c>
      <c r="EN9" s="26"/>
      <c r="EO9" s="26"/>
      <c r="EP9" s="81" t="n">
        <f aca="false">EO9-EN9</f>
        <v>0</v>
      </c>
      <c r="EQ9" s="81" t="n">
        <f aca="false">+C9+F9+I9+L9+O9+R9+U9+X9+AA9+AD9+AG9+AJ9+AM9+AP9+AS9+AV9+AY9+BB9+BE9+BH9+BK9+BN9+BQ9+BT9+BW9+BZ9+CC9+CF9+CI9+CL9+CO9+CR9+CU9+CX9+DA9+DD9+DG9+DJ9+DM9+DP9+DS9+DV9+DY9+EB9+EE9+EH9+EK9+EN9</f>
        <v>235000</v>
      </c>
      <c r="ER9" s="81" t="n">
        <f aca="false">+D9+G9+J9+M9+P9+S9+V9+Y9+AB9+AE9+AH9+AK9+AN9+AQ9+AT9+AW9+AZ9+BC9+BF9+BI9+BL9+BO9+BR9+BU9+BX9+CA9+CD9+CG9+CJ9+CM9+CP9+CS9+CV9+CY9+DB9+DE9+DH9+DK9+DN9+DQ9+DT9+DW9+DZ9+EC9+EF9+EI9+EL9+EO9</f>
        <v>210131</v>
      </c>
      <c r="ES9" s="81" t="n">
        <f aca="false">ER9-EQ9</f>
        <v>-24869</v>
      </c>
      <c r="ET9" s="26" t="n">
        <f aca="false">+ET8+ES9</f>
        <v>-96863</v>
      </c>
      <c r="EU9" s="87"/>
      <c r="EV9" s="81" t="n">
        <f aca="false">+EQ9-AG9</f>
        <v>105000</v>
      </c>
      <c r="EW9" s="81" t="n">
        <f aca="false">+ER9-AH9</f>
        <v>91553</v>
      </c>
      <c r="EX9" s="26" t="n">
        <f aca="false">+EW9-EV9</f>
        <v>-13447</v>
      </c>
      <c r="EY9" s="26" t="n">
        <f aca="false">+EY8+EX9</f>
        <v>-50497</v>
      </c>
      <c r="EZ9" s="87"/>
      <c r="FA9" s="26" t="n">
        <f aca="false">+AI9</f>
        <v>-11422</v>
      </c>
      <c r="FB9" s="26" t="n">
        <f aca="false">+FB8+FA9</f>
        <v>-46366</v>
      </c>
      <c r="FC9" s="87"/>
      <c r="FD9" s="87"/>
      <c r="FE9" s="87"/>
      <c r="FF9" s="87"/>
      <c r="FG9" s="87"/>
      <c r="FH9" s="87"/>
      <c r="FI9" s="87"/>
    </row>
    <row r="10" customFormat="false" ht="12.75" hidden="false" customHeight="false" outlineLevel="0" collapsed="false">
      <c r="A10" s="80" t="n">
        <f aca="false">+BaseloadMarkets!A10</f>
        <v>36712</v>
      </c>
      <c r="B10" s="80" t="str">
        <f aca="false">+BaseloadMarkets!B10</f>
        <v>Wed</v>
      </c>
      <c r="C10" s="26" t="n">
        <v>10000</v>
      </c>
      <c r="D10" s="26" t="n">
        <v>10000</v>
      </c>
      <c r="E10" s="81" t="n">
        <f aca="false">D10-C10</f>
        <v>0</v>
      </c>
      <c r="F10" s="26" t="n">
        <v>10000</v>
      </c>
      <c r="G10" s="26" t="n">
        <v>10000</v>
      </c>
      <c r="H10" s="81" t="n">
        <f aca="false">G10-F10</f>
        <v>0</v>
      </c>
      <c r="I10" s="26" t="n">
        <v>10000</v>
      </c>
      <c r="J10" s="26" t="n">
        <v>10000</v>
      </c>
      <c r="K10" s="81" t="n">
        <f aca="false">J10-I10</f>
        <v>0</v>
      </c>
      <c r="L10" s="26" t="n">
        <v>5000</v>
      </c>
      <c r="M10" s="26" t="n">
        <v>5000</v>
      </c>
      <c r="N10" s="81" t="n">
        <f aca="false">M10-L10</f>
        <v>0</v>
      </c>
      <c r="O10" s="26" t="n">
        <v>10000</v>
      </c>
      <c r="P10" s="26" t="n">
        <v>10000</v>
      </c>
      <c r="Q10" s="81" t="n">
        <f aca="false">P10-O10</f>
        <v>0</v>
      </c>
      <c r="R10" s="26" t="n">
        <f aca="false">5000+5000</f>
        <v>10000</v>
      </c>
      <c r="S10" s="26" t="n">
        <f aca="false">5000+5000</f>
        <v>10000</v>
      </c>
      <c r="T10" s="81" t="n">
        <f aca="false">S10-R10</f>
        <v>0</v>
      </c>
      <c r="U10" s="26" t="n">
        <f aca="false">5000+5000</f>
        <v>10000</v>
      </c>
      <c r="V10" s="26" t="n">
        <f aca="false">5000+5000</f>
        <v>10000</v>
      </c>
      <c r="W10" s="81" t="n">
        <f aca="false">V10-U10</f>
        <v>0</v>
      </c>
      <c r="X10" s="26" t="n">
        <f aca="false">5000+5000</f>
        <v>10000</v>
      </c>
      <c r="Y10" s="26" t="n">
        <f aca="false">5000+5000</f>
        <v>10000</v>
      </c>
      <c r="Z10" s="81" t="n">
        <f aca="false">Y10-X10</f>
        <v>0</v>
      </c>
      <c r="AA10" s="26" t="n">
        <f aca="false">5000+5000</f>
        <v>10000</v>
      </c>
      <c r="AB10" s="26" t="n">
        <f aca="false">5000+5000</f>
        <v>10000</v>
      </c>
      <c r="AC10" s="81" t="n">
        <f aca="false">AB10-AA10</f>
        <v>0</v>
      </c>
      <c r="AD10" s="26" t="n">
        <f aca="false">5000+5000</f>
        <v>10000</v>
      </c>
      <c r="AE10" s="26" t="n">
        <f aca="false">5000+5000</f>
        <v>10000</v>
      </c>
      <c r="AF10" s="81" t="n">
        <f aca="false">AE10-AD10</f>
        <v>0</v>
      </c>
      <c r="AG10" s="83" t="n">
        <v>130000</v>
      </c>
      <c r="AH10" s="83" t="n">
        <v>121584</v>
      </c>
      <c r="AI10" s="120" t="n">
        <f aca="false">AH10-AG10</f>
        <v>-8416</v>
      </c>
      <c r="AJ10" s="26" t="n">
        <f aca="false">5000+5000</f>
        <v>10000</v>
      </c>
      <c r="AK10" s="26" t="n">
        <v>5809</v>
      </c>
      <c r="AL10" s="81" t="n">
        <f aca="false">AK10-AJ10</f>
        <v>-4191</v>
      </c>
      <c r="AM10" s="26"/>
      <c r="AN10" s="26"/>
      <c r="AO10" s="81" t="n">
        <f aca="false">AN10-AM10</f>
        <v>0</v>
      </c>
      <c r="AP10" s="26"/>
      <c r="AQ10" s="26"/>
      <c r="AR10" s="81" t="n">
        <f aca="false">AQ10-AP10</f>
        <v>0</v>
      </c>
      <c r="AS10" s="26"/>
      <c r="AT10" s="26"/>
      <c r="AU10" s="81" t="n">
        <f aca="false">AT10-AS10</f>
        <v>0</v>
      </c>
      <c r="AV10" s="26"/>
      <c r="AW10" s="26"/>
      <c r="AX10" s="81" t="n">
        <f aca="false">AW10-AV10</f>
        <v>0</v>
      </c>
      <c r="AY10" s="26"/>
      <c r="AZ10" s="26"/>
      <c r="BA10" s="81" t="n">
        <f aca="false">AZ10-AY10</f>
        <v>0</v>
      </c>
      <c r="BB10" s="26"/>
      <c r="BC10" s="26"/>
      <c r="BD10" s="81" t="n">
        <f aca="false">BC10-BB10</f>
        <v>0</v>
      </c>
      <c r="BE10" s="26"/>
      <c r="BF10" s="26"/>
      <c r="BG10" s="81" t="n">
        <f aca="false">BF10-BE10</f>
        <v>0</v>
      </c>
      <c r="BH10" s="26"/>
      <c r="BI10" s="26"/>
      <c r="BJ10" s="81" t="n">
        <f aca="false">BI10-BH10</f>
        <v>0</v>
      </c>
      <c r="BK10" s="26"/>
      <c r="BL10" s="26"/>
      <c r="BM10" s="81" t="n">
        <f aca="false">BL10-BK10</f>
        <v>0</v>
      </c>
      <c r="BN10" s="26"/>
      <c r="BO10" s="26"/>
      <c r="BP10" s="81" t="n">
        <f aca="false">BO10-BN10</f>
        <v>0</v>
      </c>
      <c r="BQ10" s="26"/>
      <c r="BR10" s="26"/>
      <c r="BS10" s="81" t="n">
        <f aca="false">BR10-BQ10</f>
        <v>0</v>
      </c>
      <c r="BT10" s="26"/>
      <c r="BU10" s="26"/>
      <c r="BV10" s="81" t="n">
        <f aca="false">BU10-BT10</f>
        <v>0</v>
      </c>
      <c r="BW10" s="26"/>
      <c r="BX10" s="26"/>
      <c r="BY10" s="81" t="n">
        <f aca="false">BX10-BW10</f>
        <v>0</v>
      </c>
      <c r="BZ10" s="26"/>
      <c r="CA10" s="26"/>
      <c r="CB10" s="81" t="n">
        <f aca="false">CA10-BZ10</f>
        <v>0</v>
      </c>
      <c r="CC10" s="26"/>
      <c r="CD10" s="26"/>
      <c r="CE10" s="81" t="n">
        <f aca="false">CD10-CC10</f>
        <v>0</v>
      </c>
      <c r="CF10" s="26"/>
      <c r="CG10" s="26"/>
      <c r="CH10" s="81" t="n">
        <f aca="false">CG10-CF10</f>
        <v>0</v>
      </c>
      <c r="CI10" s="26"/>
      <c r="CJ10" s="26"/>
      <c r="CK10" s="81" t="n">
        <f aca="false">CJ10-CI10</f>
        <v>0</v>
      </c>
      <c r="CL10" s="26"/>
      <c r="CM10" s="26"/>
      <c r="CN10" s="81" t="n">
        <f aca="false">CM10-CL10</f>
        <v>0</v>
      </c>
      <c r="CO10" s="26"/>
      <c r="CP10" s="26"/>
      <c r="CQ10" s="81" t="n">
        <f aca="false">CP10-CO10</f>
        <v>0</v>
      </c>
      <c r="CR10" s="26"/>
      <c r="CS10" s="26"/>
      <c r="CT10" s="81" t="n">
        <f aca="false">CS10-CR10</f>
        <v>0</v>
      </c>
      <c r="CU10" s="26"/>
      <c r="CV10" s="26"/>
      <c r="CW10" s="81" t="n">
        <f aca="false">CV10-CU10</f>
        <v>0</v>
      </c>
      <c r="CX10" s="26"/>
      <c r="CY10" s="26"/>
      <c r="CZ10" s="81" t="n">
        <f aca="false">CY10-CX10</f>
        <v>0</v>
      </c>
      <c r="DA10" s="26"/>
      <c r="DB10" s="26"/>
      <c r="DC10" s="81" t="n">
        <f aca="false">DB10-DA10</f>
        <v>0</v>
      </c>
      <c r="DD10" s="26"/>
      <c r="DE10" s="26"/>
      <c r="DF10" s="81" t="n">
        <f aca="false">DE10-DD10</f>
        <v>0</v>
      </c>
      <c r="DG10" s="26"/>
      <c r="DH10" s="26"/>
      <c r="DI10" s="81" t="n">
        <f aca="false">DH10-DG10</f>
        <v>0</v>
      </c>
      <c r="DJ10" s="26"/>
      <c r="DK10" s="26"/>
      <c r="DL10" s="81" t="n">
        <f aca="false">DK10-DJ10</f>
        <v>0</v>
      </c>
      <c r="DM10" s="26"/>
      <c r="DN10" s="26"/>
      <c r="DO10" s="81" t="n">
        <f aca="false">DN10-DM10</f>
        <v>0</v>
      </c>
      <c r="DP10" s="26"/>
      <c r="DQ10" s="26"/>
      <c r="DR10" s="81" t="n">
        <f aca="false">DQ10-DP10</f>
        <v>0</v>
      </c>
      <c r="DS10" s="26"/>
      <c r="DT10" s="26"/>
      <c r="DU10" s="81" t="n">
        <f aca="false">DT10-DS10</f>
        <v>0</v>
      </c>
      <c r="DV10" s="26"/>
      <c r="DW10" s="26"/>
      <c r="DX10" s="81" t="n">
        <f aca="false">DW10-DV10</f>
        <v>0</v>
      </c>
      <c r="DY10" s="26"/>
      <c r="DZ10" s="26"/>
      <c r="EA10" s="81" t="n">
        <f aca="false">DZ10-DY10</f>
        <v>0</v>
      </c>
      <c r="EB10" s="26"/>
      <c r="EC10" s="26"/>
      <c r="ED10" s="81" t="n">
        <f aca="false">EC10-EB10</f>
        <v>0</v>
      </c>
      <c r="EE10" s="26"/>
      <c r="EF10" s="26"/>
      <c r="EG10" s="81" t="n">
        <f aca="false">EF10-EE10</f>
        <v>0</v>
      </c>
      <c r="EH10" s="26"/>
      <c r="EI10" s="26"/>
      <c r="EJ10" s="81" t="n">
        <f aca="false">EI10-EH10</f>
        <v>0</v>
      </c>
      <c r="EK10" s="26"/>
      <c r="EL10" s="26"/>
      <c r="EM10" s="81" t="n">
        <f aca="false">EL10-EK10</f>
        <v>0</v>
      </c>
      <c r="EN10" s="26"/>
      <c r="EO10" s="26"/>
      <c r="EP10" s="81" t="n">
        <f aca="false">EO10-EN10</f>
        <v>0</v>
      </c>
      <c r="EQ10" s="81" t="n">
        <f aca="false">+C10+F10+I10+L10+O10+R10+U10+X10+AA10+AD10+AG10+AJ10+AM10+AP10+AS10+AV10+AY10+BB10+BE10+BH10+BK10+BN10+BQ10+BT10+BW10+BZ10+CC10+CF10+CI10+CL10+CO10+CR10+CU10+CX10+DA10+DD10+DG10+DJ10+DM10+DP10+DS10+DV10+DY10+EB10+EE10+EH10+EK10+EN10</f>
        <v>235000</v>
      </c>
      <c r="ER10" s="81" t="n">
        <f aca="false">+D10+G10+J10+M10+P10+S10+V10+Y10+AB10+AE10+AH10+AK10+AN10+AQ10+AT10+AW10+AZ10+BC10+BF10+BI10+BL10+BO10+BR10+BU10+BX10+CA10+CD10+CG10+CJ10+CM10+CP10+CS10+CV10+CY10+DB10+DE10+DH10+DK10+DN10+DQ10+DT10+DW10+DZ10+EC10+EF10+EI10+EL10+EO10</f>
        <v>222393</v>
      </c>
      <c r="ES10" s="81" t="n">
        <f aca="false">ER10-EQ10</f>
        <v>-12607</v>
      </c>
      <c r="ET10" s="26" t="n">
        <f aca="false">+ET9+ES10</f>
        <v>-109470</v>
      </c>
      <c r="EU10" s="87"/>
      <c r="EV10" s="81" t="n">
        <f aca="false">+EQ10-AG10</f>
        <v>105000</v>
      </c>
      <c r="EW10" s="81" t="n">
        <f aca="false">+ER10-AH10</f>
        <v>100809</v>
      </c>
      <c r="EX10" s="26" t="n">
        <f aca="false">+EW10-EV10</f>
        <v>-4191</v>
      </c>
      <c r="EY10" s="26" t="n">
        <f aca="false">+EY9+EX10</f>
        <v>-54688</v>
      </c>
      <c r="EZ10" s="87"/>
      <c r="FA10" s="26" t="n">
        <f aca="false">+AI10</f>
        <v>-8416</v>
      </c>
      <c r="FB10" s="26" t="n">
        <f aca="false">+FB9+FA10</f>
        <v>-54782</v>
      </c>
      <c r="FC10" s="87"/>
      <c r="FD10" s="87"/>
      <c r="FE10" s="87"/>
      <c r="FF10" s="87"/>
      <c r="FG10" s="87"/>
      <c r="FH10" s="87"/>
      <c r="FI10" s="87"/>
    </row>
    <row r="11" customFormat="false" ht="12.75" hidden="false" customHeight="false" outlineLevel="0" collapsed="false">
      <c r="A11" s="80" t="n">
        <f aca="false">+BaseloadMarkets!A11</f>
        <v>36713</v>
      </c>
      <c r="B11" s="80" t="str">
        <f aca="false">+BaseloadMarkets!B11</f>
        <v>Thu</v>
      </c>
      <c r="C11" s="26" t="n">
        <v>10000</v>
      </c>
      <c r="D11" s="26" t="n">
        <v>10000</v>
      </c>
      <c r="E11" s="81" t="n">
        <f aca="false">D11-C11</f>
        <v>0</v>
      </c>
      <c r="F11" s="26" t="n">
        <v>10000</v>
      </c>
      <c r="G11" s="26" t="n">
        <v>10000</v>
      </c>
      <c r="H11" s="81" t="n">
        <f aca="false">G11-F11</f>
        <v>0</v>
      </c>
      <c r="I11" s="26" t="n">
        <v>10000</v>
      </c>
      <c r="J11" s="26" t="n">
        <v>10000</v>
      </c>
      <c r="K11" s="81" t="n">
        <f aca="false">J11-I11</f>
        <v>0</v>
      </c>
      <c r="L11" s="26" t="n">
        <v>5000</v>
      </c>
      <c r="M11" s="26" t="n">
        <v>5000</v>
      </c>
      <c r="N11" s="81" t="n">
        <f aca="false">M11-L11</f>
        <v>0</v>
      </c>
      <c r="O11" s="26" t="n">
        <v>10000</v>
      </c>
      <c r="P11" s="26" t="n">
        <v>10000</v>
      </c>
      <c r="Q11" s="81" t="n">
        <f aca="false">P11-O11</f>
        <v>0</v>
      </c>
      <c r="R11" s="26" t="n">
        <f aca="false">5000+5000</f>
        <v>10000</v>
      </c>
      <c r="S11" s="26" t="n">
        <f aca="false">5000+5000</f>
        <v>10000</v>
      </c>
      <c r="T11" s="81" t="n">
        <f aca="false">S11-R11</f>
        <v>0</v>
      </c>
      <c r="U11" s="26" t="n">
        <f aca="false">5000+5000</f>
        <v>10000</v>
      </c>
      <c r="V11" s="26" t="n">
        <f aca="false">5000+5000</f>
        <v>10000</v>
      </c>
      <c r="W11" s="81" t="n">
        <f aca="false">V11-U11</f>
        <v>0</v>
      </c>
      <c r="X11" s="26" t="n">
        <f aca="false">5000+5000</f>
        <v>10000</v>
      </c>
      <c r="Y11" s="26" t="n">
        <f aca="false">5000+5000</f>
        <v>10000</v>
      </c>
      <c r="Z11" s="81" t="n">
        <f aca="false">Y11-X11</f>
        <v>0</v>
      </c>
      <c r="AA11" s="26" t="n">
        <f aca="false">5000+5000</f>
        <v>10000</v>
      </c>
      <c r="AB11" s="26" t="n">
        <f aca="false">5000+5000</f>
        <v>10000</v>
      </c>
      <c r="AC11" s="81" t="n">
        <f aca="false">AB11-AA11</f>
        <v>0</v>
      </c>
      <c r="AD11" s="26" t="n">
        <f aca="false">5000+5000</f>
        <v>10000</v>
      </c>
      <c r="AE11" s="26" t="n">
        <f aca="false">5000+5000</f>
        <v>10000</v>
      </c>
      <c r="AF11" s="81" t="n">
        <f aca="false">AE11-AD11</f>
        <v>0</v>
      </c>
      <c r="AG11" s="83" t="n">
        <v>135000</v>
      </c>
      <c r="AH11" s="83" t="n">
        <f aca="false">135000-5000+3008</f>
        <v>133008</v>
      </c>
      <c r="AI11" s="120" t="n">
        <f aca="false">AH11-AG11</f>
        <v>-1992</v>
      </c>
      <c r="AJ11" s="26" t="n">
        <f aca="false">5000+5000</f>
        <v>10000</v>
      </c>
      <c r="AK11" s="26" t="n">
        <v>6016</v>
      </c>
      <c r="AL11" s="81" t="n">
        <f aca="false">AK11-AJ11</f>
        <v>-3984</v>
      </c>
      <c r="AM11" s="26"/>
      <c r="AN11" s="26"/>
      <c r="AO11" s="81" t="n">
        <f aca="false">AN11-AM11</f>
        <v>0</v>
      </c>
      <c r="AP11" s="26"/>
      <c r="AQ11" s="26"/>
      <c r="AR11" s="81" t="n">
        <f aca="false">AQ11-AP11</f>
        <v>0</v>
      </c>
      <c r="AS11" s="26"/>
      <c r="AT11" s="26"/>
      <c r="AU11" s="81" t="n">
        <f aca="false">AT11-AS11</f>
        <v>0</v>
      </c>
      <c r="AV11" s="26"/>
      <c r="AW11" s="26"/>
      <c r="AX11" s="81" t="n">
        <f aca="false">AW11-AV11</f>
        <v>0</v>
      </c>
      <c r="AY11" s="26"/>
      <c r="AZ11" s="26"/>
      <c r="BA11" s="81" t="n">
        <f aca="false">AZ11-AY11</f>
        <v>0</v>
      </c>
      <c r="BB11" s="26"/>
      <c r="BC11" s="26"/>
      <c r="BD11" s="81" t="n">
        <f aca="false">BC11-BB11</f>
        <v>0</v>
      </c>
      <c r="BE11" s="26"/>
      <c r="BF11" s="26"/>
      <c r="BG11" s="81" t="n">
        <f aca="false">BF11-BE11</f>
        <v>0</v>
      </c>
      <c r="BH11" s="26"/>
      <c r="BI11" s="26"/>
      <c r="BJ11" s="81" t="n">
        <f aca="false">BI11-BH11</f>
        <v>0</v>
      </c>
      <c r="BK11" s="26"/>
      <c r="BL11" s="26"/>
      <c r="BM11" s="81" t="n">
        <f aca="false">BL11-BK11</f>
        <v>0</v>
      </c>
      <c r="BN11" s="26"/>
      <c r="BO11" s="26"/>
      <c r="BP11" s="81" t="n">
        <f aca="false">BO11-BN11</f>
        <v>0</v>
      </c>
      <c r="BQ11" s="26"/>
      <c r="BR11" s="26"/>
      <c r="BS11" s="81" t="n">
        <f aca="false">BR11-BQ11</f>
        <v>0</v>
      </c>
      <c r="BT11" s="26"/>
      <c r="BU11" s="26"/>
      <c r="BV11" s="81" t="n">
        <f aca="false">BU11-BT11</f>
        <v>0</v>
      </c>
      <c r="BW11" s="26"/>
      <c r="BX11" s="26"/>
      <c r="BY11" s="81" t="n">
        <f aca="false">BX11-BW11</f>
        <v>0</v>
      </c>
      <c r="BZ11" s="26"/>
      <c r="CA11" s="26"/>
      <c r="CB11" s="81" t="n">
        <f aca="false">CA11-BZ11</f>
        <v>0</v>
      </c>
      <c r="CC11" s="26"/>
      <c r="CD11" s="26"/>
      <c r="CE11" s="81" t="n">
        <f aca="false">CD11-CC11</f>
        <v>0</v>
      </c>
      <c r="CF11" s="26"/>
      <c r="CG11" s="26"/>
      <c r="CH11" s="81" t="n">
        <f aca="false">CG11-CF11</f>
        <v>0</v>
      </c>
      <c r="CI11" s="26"/>
      <c r="CJ11" s="26"/>
      <c r="CK11" s="81" t="n">
        <f aca="false">CJ11-CI11</f>
        <v>0</v>
      </c>
      <c r="CL11" s="26"/>
      <c r="CM11" s="26"/>
      <c r="CN11" s="81" t="n">
        <f aca="false">CM11-CL11</f>
        <v>0</v>
      </c>
      <c r="CO11" s="26"/>
      <c r="CP11" s="26"/>
      <c r="CQ11" s="81" t="n">
        <f aca="false">CP11-CO11</f>
        <v>0</v>
      </c>
      <c r="CR11" s="26"/>
      <c r="CS11" s="26"/>
      <c r="CT11" s="81" t="n">
        <f aca="false">CS11-CR11</f>
        <v>0</v>
      </c>
      <c r="CU11" s="26"/>
      <c r="CV11" s="26"/>
      <c r="CW11" s="81" t="n">
        <f aca="false">CV11-CU11</f>
        <v>0</v>
      </c>
      <c r="CX11" s="26"/>
      <c r="CY11" s="26"/>
      <c r="CZ11" s="81" t="n">
        <f aca="false">CY11-CX11</f>
        <v>0</v>
      </c>
      <c r="DA11" s="26"/>
      <c r="DB11" s="26"/>
      <c r="DC11" s="81" t="n">
        <f aca="false">DB11-DA11</f>
        <v>0</v>
      </c>
      <c r="DD11" s="26"/>
      <c r="DE11" s="26"/>
      <c r="DF11" s="81" t="n">
        <f aca="false">DE11-DD11</f>
        <v>0</v>
      </c>
      <c r="DG11" s="26"/>
      <c r="DH11" s="26"/>
      <c r="DI11" s="81" t="n">
        <f aca="false">DH11-DG11</f>
        <v>0</v>
      </c>
      <c r="DJ11" s="26"/>
      <c r="DK11" s="26"/>
      <c r="DL11" s="81" t="n">
        <f aca="false">DK11-DJ11</f>
        <v>0</v>
      </c>
      <c r="DM11" s="26"/>
      <c r="DN11" s="26"/>
      <c r="DO11" s="81" t="n">
        <f aca="false">DN11-DM11</f>
        <v>0</v>
      </c>
      <c r="DP11" s="26"/>
      <c r="DQ11" s="26"/>
      <c r="DR11" s="81" t="n">
        <f aca="false">DQ11-DP11</f>
        <v>0</v>
      </c>
      <c r="DS11" s="26"/>
      <c r="DT11" s="26"/>
      <c r="DU11" s="81" t="n">
        <f aca="false">DT11-DS11</f>
        <v>0</v>
      </c>
      <c r="DV11" s="26"/>
      <c r="DW11" s="26"/>
      <c r="DX11" s="81" t="n">
        <f aca="false">DW11-DV11</f>
        <v>0</v>
      </c>
      <c r="DY11" s="26"/>
      <c r="DZ11" s="26"/>
      <c r="EA11" s="81" t="n">
        <f aca="false">DZ11-DY11</f>
        <v>0</v>
      </c>
      <c r="EB11" s="26"/>
      <c r="EC11" s="26"/>
      <c r="ED11" s="81" t="n">
        <f aca="false">EC11-EB11</f>
        <v>0</v>
      </c>
      <c r="EE11" s="26"/>
      <c r="EF11" s="26"/>
      <c r="EG11" s="81" t="n">
        <f aca="false">EF11-EE11</f>
        <v>0</v>
      </c>
      <c r="EH11" s="26"/>
      <c r="EI11" s="26"/>
      <c r="EJ11" s="81" t="n">
        <f aca="false">EI11-EH11</f>
        <v>0</v>
      </c>
      <c r="EK11" s="26"/>
      <c r="EL11" s="26"/>
      <c r="EM11" s="81" t="n">
        <f aca="false">EL11-EK11</f>
        <v>0</v>
      </c>
      <c r="EN11" s="26"/>
      <c r="EO11" s="26"/>
      <c r="EP11" s="81" t="n">
        <f aca="false">EO11-EN11</f>
        <v>0</v>
      </c>
      <c r="EQ11" s="81" t="n">
        <f aca="false">+C11+F11+I11+L11+O11+R11+U11+X11+AA11+AD11+AG11+AJ11+AM11+AP11+AS11+AV11+AY11+BB11+BE11+BH11+BK11+BN11+BQ11+BT11+BW11+BZ11+CC11+CF11+CI11+CL11+CO11+CR11+CU11+CX11+DA11+DD11+DG11+DJ11+DM11+DP11+DS11+DV11+DY11+EB11+EE11+EH11+EK11+EN11</f>
        <v>240000</v>
      </c>
      <c r="ER11" s="81" t="n">
        <f aca="false">+D11+G11+J11+M11+P11+S11+V11+Y11+AB11+AE11+AH11+AK11+AN11+AQ11+AT11+AW11+AZ11+BC11+BF11+BI11+BL11+BO11+BR11+BU11+BX11+CA11+CD11+CG11+CJ11+CM11+CP11+CS11+CV11+CY11+DB11+DE11+DH11+DK11+DN11+DQ11+DT11+DW11+DZ11+EC11+EF11+EI11+EL11+EO11</f>
        <v>234024</v>
      </c>
      <c r="ES11" s="81" t="n">
        <f aca="false">ER11-EQ11</f>
        <v>-5976</v>
      </c>
      <c r="ET11" s="26" t="n">
        <f aca="false">+ET10+ES11</f>
        <v>-115446</v>
      </c>
      <c r="EU11" s="87"/>
      <c r="EV11" s="81" t="n">
        <f aca="false">+EQ11-AG11</f>
        <v>105000</v>
      </c>
      <c r="EW11" s="81" t="n">
        <f aca="false">+ER11-AH11</f>
        <v>101016</v>
      </c>
      <c r="EX11" s="26" t="n">
        <f aca="false">+EW11-EV11</f>
        <v>-3984</v>
      </c>
      <c r="EY11" s="26" t="n">
        <f aca="false">+EY10+EX11</f>
        <v>-58672</v>
      </c>
      <c r="EZ11" s="87"/>
      <c r="FA11" s="26" t="n">
        <f aca="false">+AI11</f>
        <v>-1992</v>
      </c>
      <c r="FB11" s="26" t="n">
        <f aca="false">+FB10+FA11</f>
        <v>-56774</v>
      </c>
      <c r="FC11" s="87"/>
      <c r="FD11" s="87"/>
      <c r="FE11" s="87"/>
      <c r="FF11" s="87"/>
      <c r="FG11" s="87"/>
      <c r="FH11" s="87"/>
      <c r="FI11" s="87"/>
    </row>
    <row r="12" customFormat="false" ht="12.75" hidden="false" customHeight="false" outlineLevel="0" collapsed="false">
      <c r="A12" s="80" t="n">
        <f aca="false">+BaseloadMarkets!A12</f>
        <v>36714</v>
      </c>
      <c r="B12" s="80" t="str">
        <f aca="false">+BaseloadMarkets!B12</f>
        <v>Fri</v>
      </c>
      <c r="C12" s="26" t="n">
        <v>10000</v>
      </c>
      <c r="D12" s="26" t="n">
        <v>10000</v>
      </c>
      <c r="E12" s="81" t="n">
        <f aca="false">D12-C12</f>
        <v>0</v>
      </c>
      <c r="F12" s="26" t="n">
        <v>10000</v>
      </c>
      <c r="G12" s="26" t="n">
        <v>10000</v>
      </c>
      <c r="H12" s="81" t="n">
        <f aca="false">G12-F12</f>
        <v>0</v>
      </c>
      <c r="I12" s="26" t="n">
        <v>10000</v>
      </c>
      <c r="J12" s="26" t="n">
        <v>10000</v>
      </c>
      <c r="K12" s="81" t="n">
        <f aca="false">J12-I12</f>
        <v>0</v>
      </c>
      <c r="L12" s="26" t="n">
        <v>5000</v>
      </c>
      <c r="M12" s="26" t="n">
        <v>5000</v>
      </c>
      <c r="N12" s="81" t="n">
        <f aca="false">M12-L12</f>
        <v>0</v>
      </c>
      <c r="O12" s="26" t="n">
        <v>10000</v>
      </c>
      <c r="P12" s="26" t="n">
        <v>10000</v>
      </c>
      <c r="Q12" s="81" t="n">
        <f aca="false">P12-O12</f>
        <v>0</v>
      </c>
      <c r="R12" s="26" t="n">
        <f aca="false">5000+5000</f>
        <v>10000</v>
      </c>
      <c r="S12" s="26" t="n">
        <f aca="false">5000+5000</f>
        <v>10000</v>
      </c>
      <c r="T12" s="81" t="n">
        <f aca="false">S12-R12</f>
        <v>0</v>
      </c>
      <c r="U12" s="26" t="n">
        <f aca="false">5000+5000</f>
        <v>10000</v>
      </c>
      <c r="V12" s="26" t="n">
        <f aca="false">5000+5000</f>
        <v>10000</v>
      </c>
      <c r="W12" s="81" t="n">
        <f aca="false">V12-U12</f>
        <v>0</v>
      </c>
      <c r="X12" s="26" t="n">
        <f aca="false">5000+5000</f>
        <v>10000</v>
      </c>
      <c r="Y12" s="26" t="n">
        <f aca="false">5000+5000</f>
        <v>10000</v>
      </c>
      <c r="Z12" s="81" t="n">
        <f aca="false">Y12-X12</f>
        <v>0</v>
      </c>
      <c r="AA12" s="26" t="n">
        <f aca="false">5000+5000</f>
        <v>10000</v>
      </c>
      <c r="AB12" s="26" t="n">
        <f aca="false">5000+5000</f>
        <v>10000</v>
      </c>
      <c r="AC12" s="81" t="n">
        <f aca="false">AB12-AA12</f>
        <v>0</v>
      </c>
      <c r="AD12" s="26" t="n">
        <f aca="false">5000+5000</f>
        <v>10000</v>
      </c>
      <c r="AE12" s="26" t="n">
        <f aca="false">5000+5000</f>
        <v>10000</v>
      </c>
      <c r="AF12" s="81" t="n">
        <f aca="false">AE12-AD12</f>
        <v>0</v>
      </c>
      <c r="AG12" s="83" t="n">
        <v>195000</v>
      </c>
      <c r="AH12" s="83" t="n">
        <v>184855</v>
      </c>
      <c r="AI12" s="120" t="n">
        <f aca="false">AH12-AG12</f>
        <v>-10145</v>
      </c>
      <c r="AJ12" s="26" t="n">
        <f aca="false">5000+5000</f>
        <v>10000</v>
      </c>
      <c r="AK12" s="26" t="n">
        <v>6018</v>
      </c>
      <c r="AL12" s="81" t="n">
        <f aca="false">AK12-AJ12</f>
        <v>-3982</v>
      </c>
      <c r="AM12" s="26"/>
      <c r="AN12" s="26"/>
      <c r="AO12" s="81" t="n">
        <f aca="false">AN12-AM12</f>
        <v>0</v>
      </c>
      <c r="AP12" s="26"/>
      <c r="AQ12" s="26"/>
      <c r="AR12" s="81" t="n">
        <f aca="false">AQ12-AP12</f>
        <v>0</v>
      </c>
      <c r="AS12" s="26"/>
      <c r="AT12" s="26"/>
      <c r="AU12" s="81" t="n">
        <f aca="false">AT12-AS12</f>
        <v>0</v>
      </c>
      <c r="AV12" s="26"/>
      <c r="AW12" s="26"/>
      <c r="AX12" s="81" t="n">
        <f aca="false">AW12-AV12</f>
        <v>0</v>
      </c>
      <c r="AY12" s="26"/>
      <c r="AZ12" s="26"/>
      <c r="BA12" s="81" t="n">
        <f aca="false">AZ12-AY12</f>
        <v>0</v>
      </c>
      <c r="BB12" s="26"/>
      <c r="BC12" s="26"/>
      <c r="BD12" s="81" t="n">
        <f aca="false">BC12-BB12</f>
        <v>0</v>
      </c>
      <c r="BE12" s="26"/>
      <c r="BF12" s="26"/>
      <c r="BG12" s="81" t="n">
        <f aca="false">BF12-BE12</f>
        <v>0</v>
      </c>
      <c r="BH12" s="26"/>
      <c r="BI12" s="26"/>
      <c r="BJ12" s="81" t="n">
        <f aca="false">BI12-BH12</f>
        <v>0</v>
      </c>
      <c r="BK12" s="26"/>
      <c r="BL12" s="26"/>
      <c r="BM12" s="81" t="n">
        <f aca="false">BL12-BK12</f>
        <v>0</v>
      </c>
      <c r="BN12" s="26"/>
      <c r="BO12" s="26"/>
      <c r="BP12" s="81" t="n">
        <f aca="false">BO12-BN12</f>
        <v>0</v>
      </c>
      <c r="BQ12" s="26"/>
      <c r="BR12" s="26"/>
      <c r="BS12" s="81" t="n">
        <f aca="false">BR12-BQ12</f>
        <v>0</v>
      </c>
      <c r="BT12" s="26"/>
      <c r="BU12" s="26"/>
      <c r="BV12" s="81" t="n">
        <f aca="false">BU12-BT12</f>
        <v>0</v>
      </c>
      <c r="BW12" s="26"/>
      <c r="BX12" s="26"/>
      <c r="BY12" s="81" t="n">
        <f aca="false">BX12-BW12</f>
        <v>0</v>
      </c>
      <c r="BZ12" s="26"/>
      <c r="CA12" s="26"/>
      <c r="CB12" s="81" t="n">
        <f aca="false">CA12-BZ12</f>
        <v>0</v>
      </c>
      <c r="CC12" s="26"/>
      <c r="CD12" s="26"/>
      <c r="CE12" s="81" t="n">
        <f aca="false">CD12-CC12</f>
        <v>0</v>
      </c>
      <c r="CF12" s="26"/>
      <c r="CG12" s="26"/>
      <c r="CH12" s="81" t="n">
        <f aca="false">CG12-CF12</f>
        <v>0</v>
      </c>
      <c r="CI12" s="26"/>
      <c r="CJ12" s="26"/>
      <c r="CK12" s="81" t="n">
        <f aca="false">CJ12-CI12</f>
        <v>0</v>
      </c>
      <c r="CL12" s="26"/>
      <c r="CM12" s="26"/>
      <c r="CN12" s="81" t="n">
        <f aca="false">CM12-CL12</f>
        <v>0</v>
      </c>
      <c r="CO12" s="26"/>
      <c r="CP12" s="26"/>
      <c r="CQ12" s="81" t="n">
        <f aca="false">CP12-CO12</f>
        <v>0</v>
      </c>
      <c r="CR12" s="26"/>
      <c r="CS12" s="26"/>
      <c r="CT12" s="81" t="n">
        <f aca="false">CS12-CR12</f>
        <v>0</v>
      </c>
      <c r="CU12" s="26"/>
      <c r="CV12" s="26"/>
      <c r="CW12" s="81" t="n">
        <f aca="false">CV12-CU12</f>
        <v>0</v>
      </c>
      <c r="CX12" s="26"/>
      <c r="CY12" s="26"/>
      <c r="CZ12" s="81" t="n">
        <f aca="false">CY12-CX12</f>
        <v>0</v>
      </c>
      <c r="DA12" s="26"/>
      <c r="DB12" s="26"/>
      <c r="DC12" s="81" t="n">
        <f aca="false">DB12-DA12</f>
        <v>0</v>
      </c>
      <c r="DD12" s="26"/>
      <c r="DE12" s="26"/>
      <c r="DF12" s="81" t="n">
        <f aca="false">DE12-DD12</f>
        <v>0</v>
      </c>
      <c r="DG12" s="26"/>
      <c r="DH12" s="26"/>
      <c r="DI12" s="81" t="n">
        <f aca="false">DH12-DG12</f>
        <v>0</v>
      </c>
      <c r="DJ12" s="26"/>
      <c r="DK12" s="26"/>
      <c r="DL12" s="81" t="n">
        <f aca="false">DK12-DJ12</f>
        <v>0</v>
      </c>
      <c r="DM12" s="26"/>
      <c r="DN12" s="26"/>
      <c r="DO12" s="81" t="n">
        <f aca="false">DN12-DM12</f>
        <v>0</v>
      </c>
      <c r="DP12" s="26"/>
      <c r="DQ12" s="26"/>
      <c r="DR12" s="81" t="n">
        <f aca="false">DQ12-DP12</f>
        <v>0</v>
      </c>
      <c r="DS12" s="26"/>
      <c r="DT12" s="26"/>
      <c r="DU12" s="81" t="n">
        <f aca="false">DT12-DS12</f>
        <v>0</v>
      </c>
      <c r="DV12" s="26"/>
      <c r="DW12" s="26"/>
      <c r="DX12" s="81" t="n">
        <f aca="false">DW12-DV12</f>
        <v>0</v>
      </c>
      <c r="DY12" s="26"/>
      <c r="DZ12" s="26"/>
      <c r="EA12" s="81" t="n">
        <f aca="false">DZ12-DY12</f>
        <v>0</v>
      </c>
      <c r="EB12" s="26"/>
      <c r="EC12" s="26"/>
      <c r="ED12" s="81" t="n">
        <f aca="false">EC12-EB12</f>
        <v>0</v>
      </c>
      <c r="EE12" s="26"/>
      <c r="EF12" s="26"/>
      <c r="EG12" s="81" t="n">
        <f aca="false">EF12-EE12</f>
        <v>0</v>
      </c>
      <c r="EH12" s="26"/>
      <c r="EI12" s="26"/>
      <c r="EJ12" s="81" t="n">
        <f aca="false">EI12-EH12</f>
        <v>0</v>
      </c>
      <c r="EK12" s="26"/>
      <c r="EL12" s="26"/>
      <c r="EM12" s="81" t="n">
        <f aca="false">EL12-EK12</f>
        <v>0</v>
      </c>
      <c r="EN12" s="26"/>
      <c r="EO12" s="26"/>
      <c r="EP12" s="81" t="n">
        <f aca="false">EO12-EN12</f>
        <v>0</v>
      </c>
      <c r="EQ12" s="81" t="n">
        <f aca="false">+C12+F12+I12+L12+O12+R12+U12+X12+AA12+AD12+AG12+AJ12+AM12+AP12+AS12+AV12+AY12+BB12+BE12+BH12+BK12+BN12+BQ12+BT12+BW12+BZ12+CC12+CF12+CI12+CL12+CO12+CR12+CU12+CX12+DA12+DD12+DG12+DJ12+DM12+DP12+DS12+DV12+DY12+EB12+EE12+EH12+EK12+EN12</f>
        <v>300000</v>
      </c>
      <c r="ER12" s="81" t="n">
        <f aca="false">+D12+G12+J12+M12+P12+S12+V12+Y12+AB12+AE12+AH12+AK12+AN12+AQ12+AT12+AW12+AZ12+BC12+BF12+BI12+BL12+BO12+BR12+BU12+BX12+CA12+CD12+CG12+CJ12+CM12+CP12+CS12+CV12+CY12+DB12+DE12+DH12+DK12+DN12+DQ12+DT12+DW12+DZ12+EC12+EF12+EI12+EL12+EO12</f>
        <v>285873</v>
      </c>
      <c r="ES12" s="81" t="n">
        <f aca="false">ER12-EQ12</f>
        <v>-14127</v>
      </c>
      <c r="ET12" s="26" t="n">
        <f aca="false">+ET11+ES12</f>
        <v>-129573</v>
      </c>
      <c r="EU12" s="87"/>
      <c r="EV12" s="81" t="n">
        <f aca="false">+EQ12-AG12</f>
        <v>105000</v>
      </c>
      <c r="EW12" s="81" t="n">
        <f aca="false">+ER12-AH12</f>
        <v>101018</v>
      </c>
      <c r="EX12" s="26" t="n">
        <f aca="false">+EW12-EV12</f>
        <v>-3982</v>
      </c>
      <c r="EY12" s="26" t="n">
        <f aca="false">+EY11+EX12</f>
        <v>-62654</v>
      </c>
      <c r="EZ12" s="87"/>
      <c r="FA12" s="26" t="n">
        <f aca="false">+AI12</f>
        <v>-10145</v>
      </c>
      <c r="FB12" s="26" t="n">
        <f aca="false">+FB11+FA12</f>
        <v>-66919</v>
      </c>
      <c r="FC12" s="87"/>
      <c r="FD12" s="87"/>
      <c r="FE12" s="87"/>
      <c r="FF12" s="87"/>
      <c r="FG12" s="87"/>
      <c r="FH12" s="87"/>
      <c r="FI12" s="87"/>
    </row>
    <row r="13" customFormat="false" ht="12.75" hidden="false" customHeight="false" outlineLevel="0" collapsed="false">
      <c r="A13" s="80" t="n">
        <f aca="false">+BaseloadMarkets!A13</f>
        <v>36715</v>
      </c>
      <c r="B13" s="80" t="str">
        <f aca="false">+BaseloadMarkets!B13</f>
        <v>Sat</v>
      </c>
      <c r="C13" s="26" t="n">
        <v>10000</v>
      </c>
      <c r="D13" s="26" t="n">
        <v>10000</v>
      </c>
      <c r="E13" s="81" t="n">
        <f aca="false">D13-C13</f>
        <v>0</v>
      </c>
      <c r="F13" s="26" t="n">
        <v>10000</v>
      </c>
      <c r="G13" s="26" t="n">
        <v>10000</v>
      </c>
      <c r="H13" s="81" t="n">
        <f aca="false">G13-F13</f>
        <v>0</v>
      </c>
      <c r="I13" s="26" t="n">
        <v>10000</v>
      </c>
      <c r="J13" s="26" t="n">
        <v>10000</v>
      </c>
      <c r="K13" s="81" t="n">
        <f aca="false">J13-I13</f>
        <v>0</v>
      </c>
      <c r="L13" s="26" t="n">
        <v>5000</v>
      </c>
      <c r="M13" s="26" t="n">
        <v>5000</v>
      </c>
      <c r="N13" s="81" t="n">
        <f aca="false">M13-L13</f>
        <v>0</v>
      </c>
      <c r="O13" s="26" t="n">
        <v>10000</v>
      </c>
      <c r="P13" s="26" t="n">
        <v>10000</v>
      </c>
      <c r="Q13" s="81" t="n">
        <f aca="false">P13-O13</f>
        <v>0</v>
      </c>
      <c r="R13" s="26" t="n">
        <f aca="false">5000+5000</f>
        <v>10000</v>
      </c>
      <c r="S13" s="26" t="n">
        <f aca="false">5000+5000</f>
        <v>10000</v>
      </c>
      <c r="T13" s="81" t="n">
        <f aca="false">S13-R13</f>
        <v>0</v>
      </c>
      <c r="U13" s="26" t="n">
        <f aca="false">5000+5000</f>
        <v>10000</v>
      </c>
      <c r="V13" s="26" t="n">
        <f aca="false">5000+5000</f>
        <v>10000</v>
      </c>
      <c r="W13" s="81" t="n">
        <f aca="false">V13-U13</f>
        <v>0</v>
      </c>
      <c r="X13" s="26" t="n">
        <f aca="false">5000+5000</f>
        <v>10000</v>
      </c>
      <c r="Y13" s="26" t="n">
        <f aca="false">5000+5000</f>
        <v>10000</v>
      </c>
      <c r="Z13" s="81" t="n">
        <f aca="false">Y13-X13</f>
        <v>0</v>
      </c>
      <c r="AA13" s="26" t="n">
        <f aca="false">5000+5000</f>
        <v>10000</v>
      </c>
      <c r="AB13" s="26" t="n">
        <f aca="false">5000+5000</f>
        <v>10000</v>
      </c>
      <c r="AC13" s="81" t="n">
        <f aca="false">AB13-AA13</f>
        <v>0</v>
      </c>
      <c r="AD13" s="26" t="n">
        <f aca="false">5000+5000</f>
        <v>10000</v>
      </c>
      <c r="AE13" s="26" t="n">
        <f aca="false">5000+5000</f>
        <v>10000</v>
      </c>
      <c r="AF13" s="81" t="n">
        <f aca="false">AE13-AD13</f>
        <v>0</v>
      </c>
      <c r="AG13" s="83" t="n">
        <v>120000</v>
      </c>
      <c r="AH13" s="83" t="n">
        <v>117570</v>
      </c>
      <c r="AI13" s="120" t="n">
        <f aca="false">AH13-AG13</f>
        <v>-2430</v>
      </c>
      <c r="AJ13" s="26" t="n">
        <f aca="false">5000+5000</f>
        <v>10000</v>
      </c>
      <c r="AK13" s="26" t="n">
        <f aca="false">5000+5000</f>
        <v>10000</v>
      </c>
      <c r="AL13" s="81" t="n">
        <f aca="false">AK13-AJ13</f>
        <v>0</v>
      </c>
      <c r="AM13" s="26"/>
      <c r="AN13" s="26"/>
      <c r="AO13" s="81" t="n">
        <f aca="false">AN13-AM13</f>
        <v>0</v>
      </c>
      <c r="AP13" s="26"/>
      <c r="AQ13" s="26"/>
      <c r="AR13" s="81" t="n">
        <f aca="false">AQ13-AP13</f>
        <v>0</v>
      </c>
      <c r="AS13" s="26"/>
      <c r="AT13" s="26"/>
      <c r="AU13" s="81" t="n">
        <f aca="false">AT13-AS13</f>
        <v>0</v>
      </c>
      <c r="AV13" s="26"/>
      <c r="AW13" s="26"/>
      <c r="AX13" s="81" t="n">
        <f aca="false">AW13-AV13</f>
        <v>0</v>
      </c>
      <c r="AY13" s="26"/>
      <c r="AZ13" s="26"/>
      <c r="BA13" s="81" t="n">
        <f aca="false">AZ13-AY13</f>
        <v>0</v>
      </c>
      <c r="BB13" s="26"/>
      <c r="BC13" s="26"/>
      <c r="BD13" s="81" t="n">
        <f aca="false">BC13-BB13</f>
        <v>0</v>
      </c>
      <c r="BE13" s="26"/>
      <c r="BF13" s="26"/>
      <c r="BG13" s="81" t="n">
        <f aca="false">BF13-BE13</f>
        <v>0</v>
      </c>
      <c r="BH13" s="26"/>
      <c r="BI13" s="26"/>
      <c r="BJ13" s="81" t="n">
        <f aca="false">BI13-BH13</f>
        <v>0</v>
      </c>
      <c r="BK13" s="26"/>
      <c r="BL13" s="26"/>
      <c r="BM13" s="81" t="n">
        <f aca="false">BL13-BK13</f>
        <v>0</v>
      </c>
      <c r="BN13" s="26"/>
      <c r="BO13" s="26"/>
      <c r="BP13" s="81" t="n">
        <f aca="false">BO13-BN13</f>
        <v>0</v>
      </c>
      <c r="BQ13" s="26"/>
      <c r="BR13" s="26"/>
      <c r="BS13" s="81" t="n">
        <f aca="false">BR13-BQ13</f>
        <v>0</v>
      </c>
      <c r="BT13" s="26"/>
      <c r="BU13" s="26"/>
      <c r="BV13" s="81" t="n">
        <f aca="false">BU13-BT13</f>
        <v>0</v>
      </c>
      <c r="BW13" s="26"/>
      <c r="BX13" s="26"/>
      <c r="BY13" s="81" t="n">
        <f aca="false">BX13-BW13</f>
        <v>0</v>
      </c>
      <c r="BZ13" s="26"/>
      <c r="CA13" s="26"/>
      <c r="CB13" s="81" t="n">
        <f aca="false">CA13-BZ13</f>
        <v>0</v>
      </c>
      <c r="CC13" s="26"/>
      <c r="CD13" s="26"/>
      <c r="CE13" s="81" t="n">
        <f aca="false">CD13-CC13</f>
        <v>0</v>
      </c>
      <c r="CF13" s="26"/>
      <c r="CG13" s="26"/>
      <c r="CH13" s="81" t="n">
        <f aca="false">CG13-CF13</f>
        <v>0</v>
      </c>
      <c r="CI13" s="26"/>
      <c r="CJ13" s="26"/>
      <c r="CK13" s="81" t="n">
        <f aca="false">CJ13-CI13</f>
        <v>0</v>
      </c>
      <c r="CL13" s="26"/>
      <c r="CM13" s="26"/>
      <c r="CN13" s="81" t="n">
        <f aca="false">CM13-CL13</f>
        <v>0</v>
      </c>
      <c r="CO13" s="26"/>
      <c r="CP13" s="26"/>
      <c r="CQ13" s="81" t="n">
        <f aca="false">CP13-CO13</f>
        <v>0</v>
      </c>
      <c r="CR13" s="26"/>
      <c r="CS13" s="26"/>
      <c r="CT13" s="81" t="n">
        <f aca="false">CS13-CR13</f>
        <v>0</v>
      </c>
      <c r="CU13" s="26"/>
      <c r="CV13" s="26"/>
      <c r="CW13" s="81" t="n">
        <f aca="false">CV13-CU13</f>
        <v>0</v>
      </c>
      <c r="CX13" s="26"/>
      <c r="CY13" s="26"/>
      <c r="CZ13" s="81" t="n">
        <f aca="false">CY13-CX13</f>
        <v>0</v>
      </c>
      <c r="DA13" s="26"/>
      <c r="DB13" s="26"/>
      <c r="DC13" s="81" t="n">
        <f aca="false">DB13-DA13</f>
        <v>0</v>
      </c>
      <c r="DD13" s="26"/>
      <c r="DE13" s="26"/>
      <c r="DF13" s="81" t="n">
        <f aca="false">DE13-DD13</f>
        <v>0</v>
      </c>
      <c r="DG13" s="26"/>
      <c r="DH13" s="26"/>
      <c r="DI13" s="81" t="n">
        <f aca="false">DH13-DG13</f>
        <v>0</v>
      </c>
      <c r="DJ13" s="26"/>
      <c r="DK13" s="26"/>
      <c r="DL13" s="81" t="n">
        <f aca="false">DK13-DJ13</f>
        <v>0</v>
      </c>
      <c r="DM13" s="26"/>
      <c r="DN13" s="26"/>
      <c r="DO13" s="81" t="n">
        <f aca="false">DN13-DM13</f>
        <v>0</v>
      </c>
      <c r="DP13" s="26"/>
      <c r="DQ13" s="26"/>
      <c r="DR13" s="81" t="n">
        <f aca="false">DQ13-DP13</f>
        <v>0</v>
      </c>
      <c r="DS13" s="26"/>
      <c r="DT13" s="26"/>
      <c r="DU13" s="81" t="n">
        <f aca="false">DT13-DS13</f>
        <v>0</v>
      </c>
      <c r="DV13" s="26"/>
      <c r="DW13" s="26"/>
      <c r="DX13" s="81" t="n">
        <f aca="false">DW13-DV13</f>
        <v>0</v>
      </c>
      <c r="DY13" s="26"/>
      <c r="DZ13" s="26"/>
      <c r="EA13" s="81" t="n">
        <f aca="false">DZ13-DY13</f>
        <v>0</v>
      </c>
      <c r="EB13" s="26"/>
      <c r="EC13" s="26"/>
      <c r="ED13" s="81" t="n">
        <f aca="false">EC13-EB13</f>
        <v>0</v>
      </c>
      <c r="EE13" s="26"/>
      <c r="EF13" s="26"/>
      <c r="EG13" s="81" t="n">
        <f aca="false">EF13-EE13</f>
        <v>0</v>
      </c>
      <c r="EH13" s="26"/>
      <c r="EI13" s="26"/>
      <c r="EJ13" s="81" t="n">
        <f aca="false">EI13-EH13</f>
        <v>0</v>
      </c>
      <c r="EK13" s="26"/>
      <c r="EL13" s="26"/>
      <c r="EM13" s="81" t="n">
        <f aca="false">EL13-EK13</f>
        <v>0</v>
      </c>
      <c r="EN13" s="26"/>
      <c r="EO13" s="26"/>
      <c r="EP13" s="81" t="n">
        <f aca="false">EO13-EN13</f>
        <v>0</v>
      </c>
      <c r="EQ13" s="81" t="n">
        <f aca="false">+C13+F13+I13+L13+O13+R13+U13+X13+AA13+AD13+AG13+AJ13+AM13+AP13+AS13+AV13+AY13+BB13+BE13+BH13+BK13+BN13+BQ13+BT13+BW13+BZ13+CC13+CF13+CI13+CL13+CO13+CR13+CU13+CX13+DA13+DD13+DG13+DJ13+DM13+DP13+DS13+DV13+DY13+EB13+EE13+EH13+EK13+EN13</f>
        <v>225000</v>
      </c>
      <c r="ER13" s="81" t="n">
        <f aca="false">+D13+G13+J13+M13+P13+S13+V13+Y13+AB13+AE13+AH13+AK13+AN13+AQ13+AT13+AW13+AZ13+BC13+BF13+BI13+BL13+BO13+BR13+BU13+BX13+CA13+CD13+CG13+CJ13+CM13+CP13+CS13+CV13+CY13+DB13+DE13+DH13+DK13+DN13+DQ13+DT13+DW13+DZ13+EC13+EF13+EI13+EL13+EO13</f>
        <v>222570</v>
      </c>
      <c r="ES13" s="81" t="n">
        <f aca="false">ER13-EQ13</f>
        <v>-2430</v>
      </c>
      <c r="ET13" s="26" t="n">
        <f aca="false">+ET12+ES13</f>
        <v>-132003</v>
      </c>
      <c r="EU13" s="87"/>
      <c r="EV13" s="81" t="n">
        <f aca="false">+EQ13-AG13</f>
        <v>105000</v>
      </c>
      <c r="EW13" s="81" t="n">
        <f aca="false">+ER13-AH13</f>
        <v>105000</v>
      </c>
      <c r="EX13" s="26" t="n">
        <f aca="false">+EW13-EV13</f>
        <v>0</v>
      </c>
      <c r="EY13" s="26" t="n">
        <f aca="false">+EY12+EX13</f>
        <v>-62654</v>
      </c>
      <c r="EZ13" s="87"/>
      <c r="FA13" s="26" t="n">
        <f aca="false">+AI13</f>
        <v>-2430</v>
      </c>
      <c r="FB13" s="26" t="n">
        <f aca="false">+FB12+FA13</f>
        <v>-69349</v>
      </c>
      <c r="FC13" s="87"/>
      <c r="FD13" s="87"/>
      <c r="FE13" s="87"/>
      <c r="FF13" s="87"/>
      <c r="FG13" s="87"/>
      <c r="FH13" s="87"/>
      <c r="FI13" s="87"/>
    </row>
    <row r="14" customFormat="false" ht="12.75" hidden="false" customHeight="false" outlineLevel="0" collapsed="false">
      <c r="A14" s="80" t="n">
        <f aca="false">+BaseloadMarkets!A14</f>
        <v>36716</v>
      </c>
      <c r="B14" s="80" t="str">
        <f aca="false">+BaseloadMarkets!B14</f>
        <v>Sun</v>
      </c>
      <c r="C14" s="26" t="n">
        <v>10000</v>
      </c>
      <c r="D14" s="26" t="n">
        <v>10000</v>
      </c>
      <c r="E14" s="81" t="n">
        <f aca="false">D14-C14</f>
        <v>0</v>
      </c>
      <c r="F14" s="26" t="n">
        <v>10000</v>
      </c>
      <c r="G14" s="26" t="n">
        <v>10000</v>
      </c>
      <c r="H14" s="81" t="n">
        <f aca="false">G14-F14</f>
        <v>0</v>
      </c>
      <c r="I14" s="26" t="n">
        <v>10000</v>
      </c>
      <c r="J14" s="26" t="n">
        <v>10000</v>
      </c>
      <c r="K14" s="81" t="n">
        <f aca="false">J14-I14</f>
        <v>0</v>
      </c>
      <c r="L14" s="26" t="n">
        <v>5000</v>
      </c>
      <c r="M14" s="26" t="n">
        <v>5000</v>
      </c>
      <c r="N14" s="81" t="n">
        <f aca="false">M14-L14</f>
        <v>0</v>
      </c>
      <c r="O14" s="26" t="n">
        <v>10000</v>
      </c>
      <c r="P14" s="26" t="n">
        <v>10000</v>
      </c>
      <c r="Q14" s="81" t="n">
        <f aca="false">P14-O14</f>
        <v>0</v>
      </c>
      <c r="R14" s="26" t="n">
        <f aca="false">5000+5000</f>
        <v>10000</v>
      </c>
      <c r="S14" s="26" t="n">
        <f aca="false">5000+5000</f>
        <v>10000</v>
      </c>
      <c r="T14" s="81" t="n">
        <f aca="false">S14-R14</f>
        <v>0</v>
      </c>
      <c r="U14" s="26" t="n">
        <f aca="false">5000+5000</f>
        <v>10000</v>
      </c>
      <c r="V14" s="26" t="n">
        <f aca="false">5000+5000</f>
        <v>10000</v>
      </c>
      <c r="W14" s="81" t="n">
        <f aca="false">V14-U14</f>
        <v>0</v>
      </c>
      <c r="X14" s="26" t="n">
        <f aca="false">5000+5000</f>
        <v>10000</v>
      </c>
      <c r="Y14" s="26" t="n">
        <f aca="false">5000+5000</f>
        <v>10000</v>
      </c>
      <c r="Z14" s="81" t="n">
        <f aca="false">Y14-X14</f>
        <v>0</v>
      </c>
      <c r="AA14" s="26" t="n">
        <f aca="false">5000+5000</f>
        <v>10000</v>
      </c>
      <c r="AB14" s="26" t="n">
        <f aca="false">5000+5000</f>
        <v>10000</v>
      </c>
      <c r="AC14" s="81" t="n">
        <f aca="false">AB14-AA14</f>
        <v>0</v>
      </c>
      <c r="AD14" s="26" t="n">
        <f aca="false">5000+5000</f>
        <v>10000</v>
      </c>
      <c r="AE14" s="26" t="n">
        <f aca="false">5000+5000</f>
        <v>10000</v>
      </c>
      <c r="AF14" s="81" t="n">
        <f aca="false">AE14-AD14</f>
        <v>0</v>
      </c>
      <c r="AG14" s="83" t="n">
        <v>120000</v>
      </c>
      <c r="AH14" s="83" t="n">
        <f aca="false">120000-5000+3517-9321-25679+18062+9321</f>
        <v>110900</v>
      </c>
      <c r="AI14" s="120" t="n">
        <f aca="false">AH14-AG14</f>
        <v>-9100</v>
      </c>
      <c r="AJ14" s="26" t="n">
        <f aca="false">5000+5000</f>
        <v>10000</v>
      </c>
      <c r="AK14" s="26" t="n">
        <f aca="false">5000+5000</f>
        <v>10000</v>
      </c>
      <c r="AL14" s="81" t="n">
        <f aca="false">AK14-AJ14</f>
        <v>0</v>
      </c>
      <c r="AM14" s="26"/>
      <c r="AN14" s="26"/>
      <c r="AO14" s="81" t="n">
        <f aca="false">AN14-AM14</f>
        <v>0</v>
      </c>
      <c r="AP14" s="26"/>
      <c r="AQ14" s="26"/>
      <c r="AR14" s="81" t="n">
        <f aca="false">AQ14-AP14</f>
        <v>0</v>
      </c>
      <c r="AS14" s="26"/>
      <c r="AT14" s="26"/>
      <c r="AU14" s="81" t="n">
        <f aca="false">AT14-AS14</f>
        <v>0</v>
      </c>
      <c r="AV14" s="26"/>
      <c r="AW14" s="26"/>
      <c r="AX14" s="81" t="n">
        <f aca="false">AW14-AV14</f>
        <v>0</v>
      </c>
      <c r="AY14" s="26"/>
      <c r="AZ14" s="26"/>
      <c r="BA14" s="81" t="n">
        <f aca="false">AZ14-AY14</f>
        <v>0</v>
      </c>
      <c r="BB14" s="26"/>
      <c r="BC14" s="26"/>
      <c r="BD14" s="81" t="n">
        <f aca="false">BC14-BB14</f>
        <v>0</v>
      </c>
      <c r="BE14" s="26"/>
      <c r="BF14" s="26"/>
      <c r="BG14" s="81" t="n">
        <f aca="false">BF14-BE14</f>
        <v>0</v>
      </c>
      <c r="BH14" s="26"/>
      <c r="BI14" s="26"/>
      <c r="BJ14" s="81" t="n">
        <f aca="false">BI14-BH14</f>
        <v>0</v>
      </c>
      <c r="BK14" s="26"/>
      <c r="BL14" s="26"/>
      <c r="BM14" s="81" t="n">
        <f aca="false">BL14-BK14</f>
        <v>0</v>
      </c>
      <c r="BN14" s="26"/>
      <c r="BO14" s="26"/>
      <c r="BP14" s="81" t="n">
        <f aca="false">BO14-BN14</f>
        <v>0</v>
      </c>
      <c r="BQ14" s="26"/>
      <c r="BR14" s="26"/>
      <c r="BS14" s="81" t="n">
        <f aca="false">BR14-BQ14</f>
        <v>0</v>
      </c>
      <c r="BT14" s="26"/>
      <c r="BU14" s="26"/>
      <c r="BV14" s="81" t="n">
        <f aca="false">BU14-BT14</f>
        <v>0</v>
      </c>
      <c r="BW14" s="26"/>
      <c r="BX14" s="26"/>
      <c r="BY14" s="81" t="n">
        <f aca="false">BX14-BW14</f>
        <v>0</v>
      </c>
      <c r="BZ14" s="26"/>
      <c r="CA14" s="26"/>
      <c r="CB14" s="81" t="n">
        <f aca="false">CA14-BZ14</f>
        <v>0</v>
      </c>
      <c r="CC14" s="26"/>
      <c r="CD14" s="26"/>
      <c r="CE14" s="81" t="n">
        <f aca="false">CD14-CC14</f>
        <v>0</v>
      </c>
      <c r="CF14" s="26"/>
      <c r="CG14" s="26"/>
      <c r="CH14" s="81" t="n">
        <f aca="false">CG14-CF14</f>
        <v>0</v>
      </c>
      <c r="CI14" s="26"/>
      <c r="CJ14" s="26"/>
      <c r="CK14" s="81" t="n">
        <f aca="false">CJ14-CI14</f>
        <v>0</v>
      </c>
      <c r="CL14" s="26"/>
      <c r="CM14" s="26"/>
      <c r="CN14" s="81" t="n">
        <f aca="false">CM14-CL14</f>
        <v>0</v>
      </c>
      <c r="CO14" s="26"/>
      <c r="CP14" s="26"/>
      <c r="CQ14" s="81" t="n">
        <f aca="false">CP14-CO14</f>
        <v>0</v>
      </c>
      <c r="CR14" s="26"/>
      <c r="CS14" s="26"/>
      <c r="CT14" s="81" t="n">
        <f aca="false">CS14-CR14</f>
        <v>0</v>
      </c>
      <c r="CU14" s="26"/>
      <c r="CV14" s="26"/>
      <c r="CW14" s="81" t="n">
        <f aca="false">CV14-CU14</f>
        <v>0</v>
      </c>
      <c r="CX14" s="26"/>
      <c r="CY14" s="26"/>
      <c r="CZ14" s="81" t="n">
        <f aca="false">CY14-CX14</f>
        <v>0</v>
      </c>
      <c r="DA14" s="26"/>
      <c r="DB14" s="26"/>
      <c r="DC14" s="81" t="n">
        <f aca="false">DB14-DA14</f>
        <v>0</v>
      </c>
      <c r="DD14" s="26"/>
      <c r="DE14" s="26"/>
      <c r="DF14" s="81" t="n">
        <f aca="false">DE14-DD14</f>
        <v>0</v>
      </c>
      <c r="DG14" s="26"/>
      <c r="DH14" s="26"/>
      <c r="DI14" s="81" t="n">
        <f aca="false">DH14-DG14</f>
        <v>0</v>
      </c>
      <c r="DJ14" s="26"/>
      <c r="DK14" s="26"/>
      <c r="DL14" s="81" t="n">
        <f aca="false">DK14-DJ14</f>
        <v>0</v>
      </c>
      <c r="DM14" s="26"/>
      <c r="DN14" s="26"/>
      <c r="DO14" s="81" t="n">
        <f aca="false">DN14-DM14</f>
        <v>0</v>
      </c>
      <c r="DP14" s="26"/>
      <c r="DQ14" s="26"/>
      <c r="DR14" s="81" t="n">
        <f aca="false">DQ14-DP14</f>
        <v>0</v>
      </c>
      <c r="DS14" s="26"/>
      <c r="DT14" s="26"/>
      <c r="DU14" s="81" t="n">
        <f aca="false">DT14-DS14</f>
        <v>0</v>
      </c>
      <c r="DV14" s="26"/>
      <c r="DW14" s="26"/>
      <c r="DX14" s="81" t="n">
        <f aca="false">DW14-DV14</f>
        <v>0</v>
      </c>
      <c r="DY14" s="26"/>
      <c r="DZ14" s="26"/>
      <c r="EA14" s="81" t="n">
        <f aca="false">DZ14-DY14</f>
        <v>0</v>
      </c>
      <c r="EB14" s="26"/>
      <c r="EC14" s="26"/>
      <c r="ED14" s="81" t="n">
        <f aca="false">EC14-EB14</f>
        <v>0</v>
      </c>
      <c r="EE14" s="26"/>
      <c r="EF14" s="26"/>
      <c r="EG14" s="81" t="n">
        <f aca="false">EF14-EE14</f>
        <v>0</v>
      </c>
      <c r="EH14" s="26"/>
      <c r="EI14" s="26"/>
      <c r="EJ14" s="81" t="n">
        <f aca="false">EI14-EH14</f>
        <v>0</v>
      </c>
      <c r="EK14" s="26"/>
      <c r="EL14" s="26"/>
      <c r="EM14" s="81" t="n">
        <f aca="false">EL14-EK14</f>
        <v>0</v>
      </c>
      <c r="EN14" s="26"/>
      <c r="EO14" s="26"/>
      <c r="EP14" s="81" t="n">
        <f aca="false">EO14-EN14</f>
        <v>0</v>
      </c>
      <c r="EQ14" s="81" t="n">
        <f aca="false">+C14+F14+I14+L14+O14+R14+U14+X14+AA14+AD14+AG14+AJ14+AM14+AP14+AS14+AV14+AY14+BB14+BE14+BH14+BK14+BN14+BQ14+BT14+BW14+BZ14+CC14+CF14+CI14+CL14+CO14+CR14+CU14+CX14+DA14+DD14+DG14+DJ14+DM14+DP14+DS14+DV14+DY14+EB14+EE14+EH14+EK14+EN14</f>
        <v>225000</v>
      </c>
      <c r="ER14" s="81" t="n">
        <f aca="false">+D14+G14+J14+M14+P14+S14+V14+Y14+AB14+AE14+AH14+AK14+AN14+AQ14+AT14+AW14+AZ14+BC14+BF14+BI14+BL14+BO14+BR14+BU14+BX14+CA14+CD14+CG14+CJ14+CM14+CP14+CS14+CV14+CY14+DB14+DE14+DH14+DK14+DN14+DQ14+DT14+DW14+DZ14+EC14+EF14+EI14+EL14+EO14</f>
        <v>215900</v>
      </c>
      <c r="ES14" s="81" t="n">
        <f aca="false">ER14-EQ14</f>
        <v>-9100</v>
      </c>
      <c r="ET14" s="26" t="n">
        <f aca="false">+ET13+ES14</f>
        <v>-141103</v>
      </c>
      <c r="EU14" s="87"/>
      <c r="EV14" s="81" t="n">
        <f aca="false">+EQ14-AG14</f>
        <v>105000</v>
      </c>
      <c r="EW14" s="81" t="n">
        <f aca="false">+ER14-AH14</f>
        <v>105000</v>
      </c>
      <c r="EX14" s="26" t="n">
        <f aca="false">+EW14-EV14</f>
        <v>0</v>
      </c>
      <c r="EY14" s="26" t="n">
        <f aca="false">+EY13+EX14</f>
        <v>-62654</v>
      </c>
      <c r="EZ14" s="87"/>
      <c r="FA14" s="26" t="n">
        <f aca="false">+AI14</f>
        <v>-9100</v>
      </c>
      <c r="FB14" s="26" t="n">
        <f aca="false">+FB13+FA14</f>
        <v>-78449</v>
      </c>
      <c r="FC14" s="87"/>
      <c r="FD14" s="87"/>
      <c r="FE14" s="87"/>
      <c r="FF14" s="87"/>
      <c r="FG14" s="87"/>
      <c r="FH14" s="87"/>
      <c r="FI14" s="87"/>
    </row>
    <row r="15" customFormat="false" ht="12.75" hidden="false" customHeight="false" outlineLevel="0" collapsed="false">
      <c r="A15" s="80" t="n">
        <f aca="false">+BaseloadMarkets!A15</f>
        <v>36717</v>
      </c>
      <c r="B15" s="80" t="str">
        <f aca="false">+BaseloadMarkets!B15</f>
        <v>Mon</v>
      </c>
      <c r="C15" s="26" t="n">
        <v>10000</v>
      </c>
      <c r="D15" s="26" t="n">
        <v>10000</v>
      </c>
      <c r="E15" s="81" t="n">
        <f aca="false">D15-C15</f>
        <v>0</v>
      </c>
      <c r="F15" s="26" t="n">
        <v>10000</v>
      </c>
      <c r="G15" s="26" t="n">
        <v>10000</v>
      </c>
      <c r="H15" s="81" t="n">
        <f aca="false">G15-F15</f>
        <v>0</v>
      </c>
      <c r="I15" s="26" t="n">
        <v>10000</v>
      </c>
      <c r="J15" s="26" t="n">
        <v>10000</v>
      </c>
      <c r="K15" s="81" t="n">
        <f aca="false">J15-I15</f>
        <v>0</v>
      </c>
      <c r="L15" s="26" t="n">
        <v>5000</v>
      </c>
      <c r="M15" s="26" t="n">
        <v>5000</v>
      </c>
      <c r="N15" s="81" t="n">
        <f aca="false">M15-L15</f>
        <v>0</v>
      </c>
      <c r="O15" s="26" t="n">
        <v>10000</v>
      </c>
      <c r="P15" s="26" t="n">
        <v>10000</v>
      </c>
      <c r="Q15" s="81" t="n">
        <f aca="false">P15-O15</f>
        <v>0</v>
      </c>
      <c r="R15" s="26" t="n">
        <f aca="false">5000+5000</f>
        <v>10000</v>
      </c>
      <c r="S15" s="26" t="n">
        <f aca="false">5000+5000</f>
        <v>10000</v>
      </c>
      <c r="T15" s="81" t="n">
        <f aca="false">S15-R15</f>
        <v>0</v>
      </c>
      <c r="U15" s="26" t="n">
        <f aca="false">5000+5000</f>
        <v>10000</v>
      </c>
      <c r="V15" s="26" t="n">
        <f aca="false">5000+5000</f>
        <v>10000</v>
      </c>
      <c r="W15" s="81" t="n">
        <f aca="false">V15-U15</f>
        <v>0</v>
      </c>
      <c r="X15" s="26" t="n">
        <f aca="false">5000+5000</f>
        <v>10000</v>
      </c>
      <c r="Y15" s="26" t="n">
        <f aca="false">5000+5000</f>
        <v>10000</v>
      </c>
      <c r="Z15" s="81" t="n">
        <f aca="false">Y15-X15</f>
        <v>0</v>
      </c>
      <c r="AA15" s="26" t="n">
        <f aca="false">5000+5000</f>
        <v>10000</v>
      </c>
      <c r="AB15" s="26" t="n">
        <f aca="false">5000+5000</f>
        <v>10000</v>
      </c>
      <c r="AC15" s="81" t="n">
        <f aca="false">AB15-AA15</f>
        <v>0</v>
      </c>
      <c r="AD15" s="26" t="n">
        <f aca="false">5000+5000</f>
        <v>10000</v>
      </c>
      <c r="AE15" s="26" t="n">
        <f aca="false">5000+5000</f>
        <v>10000</v>
      </c>
      <c r="AF15" s="81" t="n">
        <f aca="false">AE15-AD15</f>
        <v>0</v>
      </c>
      <c r="AG15" s="83" t="n">
        <v>120000</v>
      </c>
      <c r="AH15" s="83" t="n">
        <v>118296</v>
      </c>
      <c r="AI15" s="120" t="n">
        <f aca="false">AH15-AG15</f>
        <v>-1704</v>
      </c>
      <c r="AJ15" s="26" t="n">
        <f aca="false">5000+5000</f>
        <v>10000</v>
      </c>
      <c r="AK15" s="26" t="n">
        <f aca="false">5000+5000</f>
        <v>10000</v>
      </c>
      <c r="AL15" s="81" t="n">
        <f aca="false">AK15-AJ15</f>
        <v>0</v>
      </c>
      <c r="AM15" s="26"/>
      <c r="AN15" s="26"/>
      <c r="AO15" s="81" t="n">
        <f aca="false">AN15-AM15</f>
        <v>0</v>
      </c>
      <c r="AP15" s="26"/>
      <c r="AQ15" s="26"/>
      <c r="AR15" s="81" t="n">
        <f aca="false">AQ15-AP15</f>
        <v>0</v>
      </c>
      <c r="AS15" s="26"/>
      <c r="AT15" s="26"/>
      <c r="AU15" s="81" t="n">
        <f aca="false">AT15-AS15</f>
        <v>0</v>
      </c>
      <c r="AV15" s="26"/>
      <c r="AW15" s="26"/>
      <c r="AX15" s="81" t="n">
        <f aca="false">AW15-AV15</f>
        <v>0</v>
      </c>
      <c r="AY15" s="26"/>
      <c r="AZ15" s="26"/>
      <c r="BA15" s="81" t="n">
        <f aca="false">AZ15-AY15</f>
        <v>0</v>
      </c>
      <c r="BB15" s="26"/>
      <c r="BC15" s="26"/>
      <c r="BD15" s="81" t="n">
        <f aca="false">BC15-BB15</f>
        <v>0</v>
      </c>
      <c r="BE15" s="26"/>
      <c r="BF15" s="26"/>
      <c r="BG15" s="81" t="n">
        <f aca="false">BF15-BE15</f>
        <v>0</v>
      </c>
      <c r="BH15" s="26"/>
      <c r="BI15" s="26"/>
      <c r="BJ15" s="81" t="n">
        <f aca="false">BI15-BH15</f>
        <v>0</v>
      </c>
      <c r="BK15" s="26"/>
      <c r="BL15" s="26"/>
      <c r="BM15" s="81" t="n">
        <f aca="false">BL15-BK15</f>
        <v>0</v>
      </c>
      <c r="BN15" s="26"/>
      <c r="BO15" s="26"/>
      <c r="BP15" s="81" t="n">
        <f aca="false">BO15-BN15</f>
        <v>0</v>
      </c>
      <c r="BQ15" s="26"/>
      <c r="BR15" s="26"/>
      <c r="BS15" s="81" t="n">
        <f aca="false">BR15-BQ15</f>
        <v>0</v>
      </c>
      <c r="BT15" s="26"/>
      <c r="BU15" s="26"/>
      <c r="BV15" s="81" t="n">
        <f aca="false">BU15-BT15</f>
        <v>0</v>
      </c>
      <c r="BW15" s="26"/>
      <c r="BX15" s="26"/>
      <c r="BY15" s="81" t="n">
        <f aca="false">BX15-BW15</f>
        <v>0</v>
      </c>
      <c r="BZ15" s="26"/>
      <c r="CA15" s="26"/>
      <c r="CB15" s="81" t="n">
        <f aca="false">CA15-BZ15</f>
        <v>0</v>
      </c>
      <c r="CC15" s="26"/>
      <c r="CD15" s="26"/>
      <c r="CE15" s="81" t="n">
        <f aca="false">CD15-CC15</f>
        <v>0</v>
      </c>
      <c r="CF15" s="26"/>
      <c r="CG15" s="26"/>
      <c r="CH15" s="81" t="n">
        <f aca="false">CG15-CF15</f>
        <v>0</v>
      </c>
      <c r="CI15" s="26"/>
      <c r="CJ15" s="26"/>
      <c r="CK15" s="81" t="n">
        <f aca="false">CJ15-CI15</f>
        <v>0</v>
      </c>
      <c r="CL15" s="26"/>
      <c r="CM15" s="26"/>
      <c r="CN15" s="81" t="n">
        <f aca="false">CM15-CL15</f>
        <v>0</v>
      </c>
      <c r="CO15" s="26"/>
      <c r="CP15" s="26"/>
      <c r="CQ15" s="81" t="n">
        <f aca="false">CP15-CO15</f>
        <v>0</v>
      </c>
      <c r="CR15" s="26"/>
      <c r="CS15" s="26"/>
      <c r="CT15" s="81" t="n">
        <f aca="false">CS15-CR15</f>
        <v>0</v>
      </c>
      <c r="CU15" s="26"/>
      <c r="CV15" s="26"/>
      <c r="CW15" s="81" t="n">
        <f aca="false">CV15-CU15</f>
        <v>0</v>
      </c>
      <c r="CX15" s="26"/>
      <c r="CY15" s="26"/>
      <c r="CZ15" s="81" t="n">
        <f aca="false">CY15-CX15</f>
        <v>0</v>
      </c>
      <c r="DA15" s="26"/>
      <c r="DB15" s="26"/>
      <c r="DC15" s="81" t="n">
        <f aca="false">DB15-DA15</f>
        <v>0</v>
      </c>
      <c r="DD15" s="26"/>
      <c r="DE15" s="26"/>
      <c r="DF15" s="81" t="n">
        <f aca="false">DE15-DD15</f>
        <v>0</v>
      </c>
      <c r="DG15" s="26"/>
      <c r="DH15" s="26"/>
      <c r="DI15" s="81" t="n">
        <f aca="false">DH15-DG15</f>
        <v>0</v>
      </c>
      <c r="DJ15" s="26"/>
      <c r="DK15" s="26"/>
      <c r="DL15" s="81" t="n">
        <f aca="false">DK15-DJ15</f>
        <v>0</v>
      </c>
      <c r="DM15" s="26"/>
      <c r="DN15" s="26"/>
      <c r="DO15" s="81" t="n">
        <f aca="false">DN15-DM15</f>
        <v>0</v>
      </c>
      <c r="DP15" s="26"/>
      <c r="DQ15" s="26"/>
      <c r="DR15" s="81" t="n">
        <f aca="false">DQ15-DP15</f>
        <v>0</v>
      </c>
      <c r="DS15" s="26"/>
      <c r="DT15" s="26"/>
      <c r="DU15" s="81" t="n">
        <f aca="false">DT15-DS15</f>
        <v>0</v>
      </c>
      <c r="DV15" s="26"/>
      <c r="DW15" s="26"/>
      <c r="DX15" s="81" t="n">
        <f aca="false">DW15-DV15</f>
        <v>0</v>
      </c>
      <c r="DY15" s="26"/>
      <c r="DZ15" s="26"/>
      <c r="EA15" s="81" t="n">
        <f aca="false">DZ15-DY15</f>
        <v>0</v>
      </c>
      <c r="EB15" s="26"/>
      <c r="EC15" s="26"/>
      <c r="ED15" s="81" t="n">
        <f aca="false">EC15-EB15</f>
        <v>0</v>
      </c>
      <c r="EE15" s="26"/>
      <c r="EF15" s="26"/>
      <c r="EG15" s="81" t="n">
        <f aca="false">EF15-EE15</f>
        <v>0</v>
      </c>
      <c r="EH15" s="26"/>
      <c r="EI15" s="26"/>
      <c r="EJ15" s="81" t="n">
        <f aca="false">EI15-EH15</f>
        <v>0</v>
      </c>
      <c r="EK15" s="26"/>
      <c r="EL15" s="26"/>
      <c r="EM15" s="81" t="n">
        <f aca="false">EL15-EK15</f>
        <v>0</v>
      </c>
      <c r="EN15" s="26"/>
      <c r="EO15" s="26"/>
      <c r="EP15" s="81" t="n">
        <f aca="false">EO15-EN15</f>
        <v>0</v>
      </c>
      <c r="EQ15" s="81" t="n">
        <f aca="false">+C15+F15+I15+L15+O15+R15+U15+X15+AA15+AD15+AG15+AJ15+AM15+AP15+AS15+AV15+AY15+BB15+BE15+BH15+BK15+BN15+BQ15+BT15+BW15+BZ15+CC15+CF15+CI15+CL15+CO15+CR15+CU15+CX15+DA15+DD15+DG15+DJ15+DM15+DP15+DS15+DV15+DY15+EB15+EE15+EH15+EK15+EN15</f>
        <v>225000</v>
      </c>
      <c r="ER15" s="81" t="n">
        <f aca="false">+D15+G15+J15+M15+P15+S15+V15+Y15+AB15+AE15+AH15+AK15+AN15+AQ15+AT15+AW15+AZ15+BC15+BF15+BI15+BL15+BO15+BR15+BU15+BX15+CA15+CD15+CG15+CJ15+CM15+CP15+CS15+CV15+CY15+DB15+DE15+DH15+DK15+DN15+DQ15+DT15+DW15+DZ15+EC15+EF15+EI15+EL15+EO15</f>
        <v>223296</v>
      </c>
      <c r="ES15" s="81" t="n">
        <f aca="false">ER15-EQ15</f>
        <v>-1704</v>
      </c>
      <c r="ET15" s="26" t="n">
        <f aca="false">+ET14+ES15</f>
        <v>-142807</v>
      </c>
      <c r="EU15" s="87"/>
      <c r="EV15" s="81" t="n">
        <f aca="false">+EQ15-AG15</f>
        <v>105000</v>
      </c>
      <c r="EW15" s="81" t="n">
        <f aca="false">+ER15-AH15</f>
        <v>105000</v>
      </c>
      <c r="EX15" s="26" t="n">
        <f aca="false">+EW15-EV15</f>
        <v>0</v>
      </c>
      <c r="EY15" s="26" t="n">
        <f aca="false">+EY14+EX15</f>
        <v>-62654</v>
      </c>
      <c r="EZ15" s="87"/>
      <c r="FA15" s="26" t="n">
        <f aca="false">+AI15</f>
        <v>-1704</v>
      </c>
      <c r="FB15" s="26" t="n">
        <f aca="false">+FB14+FA15</f>
        <v>-80153</v>
      </c>
      <c r="FC15" s="87"/>
      <c r="FD15" s="87"/>
      <c r="FE15" s="87"/>
      <c r="FF15" s="87"/>
      <c r="FG15" s="87"/>
      <c r="FH15" s="87"/>
      <c r="FI15" s="87"/>
    </row>
    <row r="16" customFormat="false" ht="12.75" hidden="false" customHeight="false" outlineLevel="0" collapsed="false">
      <c r="A16" s="80" t="n">
        <f aca="false">+BaseloadMarkets!A16</f>
        <v>36718</v>
      </c>
      <c r="B16" s="80" t="str">
        <f aca="false">+BaseloadMarkets!B16</f>
        <v>Tues</v>
      </c>
      <c r="C16" s="26" t="n">
        <v>10000</v>
      </c>
      <c r="D16" s="26" t="n">
        <v>10000</v>
      </c>
      <c r="E16" s="81" t="n">
        <f aca="false">D16-C16</f>
        <v>0</v>
      </c>
      <c r="F16" s="26" t="n">
        <v>10000</v>
      </c>
      <c r="G16" s="26" t="n">
        <v>10000</v>
      </c>
      <c r="H16" s="81" t="n">
        <f aca="false">G16-F16</f>
        <v>0</v>
      </c>
      <c r="I16" s="26" t="n">
        <v>10000</v>
      </c>
      <c r="J16" s="26" t="n">
        <v>10000</v>
      </c>
      <c r="K16" s="81" t="n">
        <f aca="false">J16-I16</f>
        <v>0</v>
      </c>
      <c r="L16" s="26" t="n">
        <v>5000</v>
      </c>
      <c r="M16" s="26" t="n">
        <v>5000</v>
      </c>
      <c r="N16" s="81" t="n">
        <f aca="false">M16-L16</f>
        <v>0</v>
      </c>
      <c r="O16" s="26" t="n">
        <v>10000</v>
      </c>
      <c r="P16" s="26" t="n">
        <v>10000</v>
      </c>
      <c r="Q16" s="81" t="n">
        <f aca="false">P16-O16</f>
        <v>0</v>
      </c>
      <c r="R16" s="26" t="n">
        <f aca="false">5000+5000</f>
        <v>10000</v>
      </c>
      <c r="S16" s="26" t="n">
        <f aca="false">5000+5000</f>
        <v>10000</v>
      </c>
      <c r="T16" s="81" t="n">
        <f aca="false">S16-R16</f>
        <v>0</v>
      </c>
      <c r="U16" s="26" t="n">
        <f aca="false">5000+5000</f>
        <v>10000</v>
      </c>
      <c r="V16" s="26" t="n">
        <f aca="false">5000+5000</f>
        <v>10000</v>
      </c>
      <c r="W16" s="81" t="n">
        <f aca="false">V16-U16</f>
        <v>0</v>
      </c>
      <c r="X16" s="26" t="n">
        <f aca="false">5000+5000</f>
        <v>10000</v>
      </c>
      <c r="Y16" s="26" t="n">
        <f aca="false">5000+5000</f>
        <v>10000</v>
      </c>
      <c r="Z16" s="81" t="n">
        <f aca="false">Y16-X16</f>
        <v>0</v>
      </c>
      <c r="AA16" s="26" t="n">
        <f aca="false">5000+5000</f>
        <v>10000</v>
      </c>
      <c r="AB16" s="26" t="n">
        <f aca="false">5000+5000</f>
        <v>10000</v>
      </c>
      <c r="AC16" s="81" t="n">
        <f aca="false">AB16-AA16</f>
        <v>0</v>
      </c>
      <c r="AD16" s="26" t="n">
        <f aca="false">5000+5000</f>
        <v>10000</v>
      </c>
      <c r="AE16" s="26" t="n">
        <f aca="false">5000+5000</f>
        <v>10000</v>
      </c>
      <c r="AF16" s="81" t="n">
        <f aca="false">AE16-AD16</f>
        <v>0</v>
      </c>
      <c r="AG16" s="83" t="n">
        <v>380000</v>
      </c>
      <c r="AH16" s="83" t="n">
        <f aca="false">353962-2214</f>
        <v>351748</v>
      </c>
      <c r="AI16" s="120" t="n">
        <f aca="false">AH16-AG16</f>
        <v>-28252</v>
      </c>
      <c r="AJ16" s="26" t="n">
        <f aca="false">5000+5000</f>
        <v>10000</v>
      </c>
      <c r="AK16" s="26" t="n">
        <f aca="false">5000+5000</f>
        <v>10000</v>
      </c>
      <c r="AL16" s="81" t="n">
        <f aca="false">AK16-AJ16</f>
        <v>0</v>
      </c>
      <c r="AM16" s="26"/>
      <c r="AN16" s="26"/>
      <c r="AO16" s="81" t="n">
        <f aca="false">AN16-AM16</f>
        <v>0</v>
      </c>
      <c r="AP16" s="26"/>
      <c r="AQ16" s="26"/>
      <c r="AR16" s="81" t="n">
        <f aca="false">AQ16-AP16</f>
        <v>0</v>
      </c>
      <c r="AS16" s="26"/>
      <c r="AT16" s="26"/>
      <c r="AU16" s="81" t="n">
        <f aca="false">AT16-AS16</f>
        <v>0</v>
      </c>
      <c r="AV16" s="26"/>
      <c r="AW16" s="26"/>
      <c r="AX16" s="81" t="n">
        <f aca="false">AW16-AV16</f>
        <v>0</v>
      </c>
      <c r="AY16" s="26"/>
      <c r="AZ16" s="26"/>
      <c r="BA16" s="81" t="n">
        <f aca="false">AZ16-AY16</f>
        <v>0</v>
      </c>
      <c r="BB16" s="26"/>
      <c r="BC16" s="26"/>
      <c r="BD16" s="81" t="n">
        <f aca="false">BC16-BB16</f>
        <v>0</v>
      </c>
      <c r="BE16" s="26"/>
      <c r="BF16" s="26"/>
      <c r="BG16" s="81" t="n">
        <f aca="false">BF16-BE16</f>
        <v>0</v>
      </c>
      <c r="BH16" s="26"/>
      <c r="BI16" s="26"/>
      <c r="BJ16" s="81" t="n">
        <f aca="false">BI16-BH16</f>
        <v>0</v>
      </c>
      <c r="BK16" s="26"/>
      <c r="BL16" s="26"/>
      <c r="BM16" s="81" t="n">
        <f aca="false">BL16-BK16</f>
        <v>0</v>
      </c>
      <c r="BN16" s="26"/>
      <c r="BO16" s="26"/>
      <c r="BP16" s="81" t="n">
        <f aca="false">BO16-BN16</f>
        <v>0</v>
      </c>
      <c r="BQ16" s="26"/>
      <c r="BR16" s="26"/>
      <c r="BS16" s="81" t="n">
        <f aca="false">BR16-BQ16</f>
        <v>0</v>
      </c>
      <c r="BT16" s="26"/>
      <c r="BU16" s="26"/>
      <c r="BV16" s="81" t="n">
        <f aca="false">BU16-BT16</f>
        <v>0</v>
      </c>
      <c r="BW16" s="26"/>
      <c r="BX16" s="26"/>
      <c r="BY16" s="81" t="n">
        <f aca="false">BX16-BW16</f>
        <v>0</v>
      </c>
      <c r="BZ16" s="26"/>
      <c r="CA16" s="26"/>
      <c r="CB16" s="81" t="n">
        <f aca="false">CA16-BZ16</f>
        <v>0</v>
      </c>
      <c r="CC16" s="26"/>
      <c r="CD16" s="26"/>
      <c r="CE16" s="81" t="n">
        <f aca="false">CD16-CC16</f>
        <v>0</v>
      </c>
      <c r="CF16" s="26"/>
      <c r="CG16" s="26"/>
      <c r="CH16" s="81" t="n">
        <f aca="false">CG16-CF16</f>
        <v>0</v>
      </c>
      <c r="CI16" s="26"/>
      <c r="CJ16" s="26"/>
      <c r="CK16" s="81" t="n">
        <f aca="false">CJ16-CI16</f>
        <v>0</v>
      </c>
      <c r="CL16" s="26"/>
      <c r="CM16" s="26"/>
      <c r="CN16" s="81" t="n">
        <f aca="false">CM16-CL16</f>
        <v>0</v>
      </c>
      <c r="CO16" s="26"/>
      <c r="CP16" s="26"/>
      <c r="CQ16" s="81" t="n">
        <f aca="false">CP16-CO16</f>
        <v>0</v>
      </c>
      <c r="CR16" s="26"/>
      <c r="CS16" s="26"/>
      <c r="CT16" s="81" t="n">
        <f aca="false">CS16-CR16</f>
        <v>0</v>
      </c>
      <c r="CU16" s="26"/>
      <c r="CV16" s="26"/>
      <c r="CW16" s="81" t="n">
        <f aca="false">CV16-CU16</f>
        <v>0</v>
      </c>
      <c r="CX16" s="26"/>
      <c r="CY16" s="26"/>
      <c r="CZ16" s="81" t="n">
        <f aca="false">CY16-CX16</f>
        <v>0</v>
      </c>
      <c r="DA16" s="26"/>
      <c r="DB16" s="26"/>
      <c r="DC16" s="81" t="n">
        <f aca="false">DB16-DA16</f>
        <v>0</v>
      </c>
      <c r="DD16" s="26"/>
      <c r="DE16" s="26"/>
      <c r="DF16" s="81" t="n">
        <f aca="false">DE16-DD16</f>
        <v>0</v>
      </c>
      <c r="DG16" s="26"/>
      <c r="DH16" s="26"/>
      <c r="DI16" s="81" t="n">
        <f aca="false">DH16-DG16</f>
        <v>0</v>
      </c>
      <c r="DJ16" s="26"/>
      <c r="DK16" s="26"/>
      <c r="DL16" s="81" t="n">
        <f aca="false">DK16-DJ16</f>
        <v>0</v>
      </c>
      <c r="DM16" s="26"/>
      <c r="DN16" s="26"/>
      <c r="DO16" s="81" t="n">
        <f aca="false">DN16-DM16</f>
        <v>0</v>
      </c>
      <c r="DP16" s="26"/>
      <c r="DQ16" s="26"/>
      <c r="DR16" s="81" t="n">
        <f aca="false">DQ16-DP16</f>
        <v>0</v>
      </c>
      <c r="DS16" s="26"/>
      <c r="DT16" s="26"/>
      <c r="DU16" s="81" t="n">
        <f aca="false">DT16-DS16</f>
        <v>0</v>
      </c>
      <c r="DV16" s="26"/>
      <c r="DW16" s="26"/>
      <c r="DX16" s="81" t="n">
        <f aca="false">DW16-DV16</f>
        <v>0</v>
      </c>
      <c r="DY16" s="26"/>
      <c r="DZ16" s="26"/>
      <c r="EA16" s="81" t="n">
        <f aca="false">DZ16-DY16</f>
        <v>0</v>
      </c>
      <c r="EB16" s="26"/>
      <c r="EC16" s="26"/>
      <c r="ED16" s="81" t="n">
        <f aca="false">EC16-EB16</f>
        <v>0</v>
      </c>
      <c r="EE16" s="26"/>
      <c r="EF16" s="26"/>
      <c r="EG16" s="81" t="n">
        <f aca="false">EF16-EE16</f>
        <v>0</v>
      </c>
      <c r="EH16" s="26"/>
      <c r="EI16" s="26"/>
      <c r="EJ16" s="81" t="n">
        <f aca="false">EI16-EH16</f>
        <v>0</v>
      </c>
      <c r="EK16" s="26"/>
      <c r="EL16" s="26"/>
      <c r="EM16" s="81" t="n">
        <f aca="false">EL16-EK16</f>
        <v>0</v>
      </c>
      <c r="EN16" s="26"/>
      <c r="EO16" s="26"/>
      <c r="EP16" s="81" t="n">
        <f aca="false">EO16-EN16</f>
        <v>0</v>
      </c>
      <c r="EQ16" s="81" t="n">
        <f aca="false">+C16+F16+I16+L16+O16+R16+U16+X16+AA16+AD16+AG16+AJ16+AM16+AP16+AS16+AV16+AY16+BB16+BE16+BH16+BK16+BN16+BQ16+BT16+BW16+BZ16+CC16+CF16+CI16+CL16+CO16+CR16+CU16+CX16+DA16+DD16+DG16+DJ16+DM16+DP16+DS16+DV16+DY16+EB16+EE16+EH16+EK16+EN16</f>
        <v>485000</v>
      </c>
      <c r="ER16" s="81" t="n">
        <f aca="false">+D16+G16+J16+M16+P16+S16+V16+Y16+AB16+AE16+AH16+AK16+AN16+AQ16+AT16+AW16+AZ16+BC16+BF16+BI16+BL16+BO16+BR16+BU16+BX16+CA16+CD16+CG16+CJ16+CM16+CP16+CS16+CV16+CY16+DB16+DE16+DH16+DK16+DN16+DQ16+DT16+DW16+DZ16+EC16+EF16+EI16+EL16+EO16</f>
        <v>456748</v>
      </c>
      <c r="ES16" s="81" t="n">
        <f aca="false">ER16-EQ16</f>
        <v>-28252</v>
      </c>
      <c r="ET16" s="26" t="n">
        <f aca="false">+ET15+ES16</f>
        <v>-171059</v>
      </c>
      <c r="EU16" s="87"/>
      <c r="EV16" s="81" t="n">
        <f aca="false">+EQ16-AG16</f>
        <v>105000</v>
      </c>
      <c r="EW16" s="81" t="n">
        <f aca="false">+ER16-AH16</f>
        <v>105000</v>
      </c>
      <c r="EX16" s="26" t="n">
        <f aca="false">+EW16-EV16</f>
        <v>0</v>
      </c>
      <c r="EY16" s="26" t="n">
        <f aca="false">+EY15+EX16</f>
        <v>-62654</v>
      </c>
      <c r="EZ16" s="87"/>
      <c r="FA16" s="26" t="n">
        <f aca="false">+AI16</f>
        <v>-28252</v>
      </c>
      <c r="FB16" s="26" t="n">
        <f aca="false">+FB15+FA16</f>
        <v>-108405</v>
      </c>
      <c r="FC16" s="87"/>
      <c r="FD16" s="87"/>
      <c r="FE16" s="87"/>
      <c r="FF16" s="87"/>
      <c r="FG16" s="87"/>
      <c r="FH16" s="87"/>
      <c r="FI16" s="87"/>
    </row>
    <row r="17" customFormat="false" ht="12.75" hidden="false" customHeight="false" outlineLevel="0" collapsed="false">
      <c r="A17" s="80" t="n">
        <f aca="false">+BaseloadMarkets!A17</f>
        <v>36719</v>
      </c>
      <c r="B17" s="80" t="str">
        <f aca="false">+BaseloadMarkets!B17</f>
        <v>Wed</v>
      </c>
      <c r="C17" s="26" t="n">
        <v>10000</v>
      </c>
      <c r="D17" s="26" t="n">
        <v>10000</v>
      </c>
      <c r="E17" s="81" t="n">
        <f aca="false">D17-C17</f>
        <v>0</v>
      </c>
      <c r="F17" s="26" t="n">
        <v>10000</v>
      </c>
      <c r="G17" s="26" t="n">
        <v>10000</v>
      </c>
      <c r="H17" s="81" t="n">
        <f aca="false">G17-F17</f>
        <v>0</v>
      </c>
      <c r="I17" s="26" t="n">
        <v>10000</v>
      </c>
      <c r="J17" s="26" t="n">
        <v>10000</v>
      </c>
      <c r="K17" s="81" t="n">
        <f aca="false">J17-I17</f>
        <v>0</v>
      </c>
      <c r="L17" s="26" t="n">
        <v>5000</v>
      </c>
      <c r="M17" s="26" t="n">
        <v>5000</v>
      </c>
      <c r="N17" s="81" t="n">
        <f aca="false">M17-L17</f>
        <v>0</v>
      </c>
      <c r="O17" s="26" t="n">
        <v>10000</v>
      </c>
      <c r="P17" s="26" t="n">
        <v>10000</v>
      </c>
      <c r="Q17" s="81" t="n">
        <f aca="false">P17-O17</f>
        <v>0</v>
      </c>
      <c r="R17" s="26" t="n">
        <f aca="false">5000+5000</f>
        <v>10000</v>
      </c>
      <c r="S17" s="26" t="n">
        <f aca="false">5000+5000</f>
        <v>10000</v>
      </c>
      <c r="T17" s="81" t="n">
        <f aca="false">S17-R17</f>
        <v>0</v>
      </c>
      <c r="U17" s="26" t="n">
        <f aca="false">5000+5000</f>
        <v>10000</v>
      </c>
      <c r="V17" s="26" t="n">
        <f aca="false">5000+5000</f>
        <v>10000</v>
      </c>
      <c r="W17" s="81" t="n">
        <f aca="false">V17-U17</f>
        <v>0</v>
      </c>
      <c r="X17" s="26" t="n">
        <f aca="false">5000+5000</f>
        <v>10000</v>
      </c>
      <c r="Y17" s="26" t="n">
        <f aca="false">5000+5000</f>
        <v>10000</v>
      </c>
      <c r="Z17" s="81" t="n">
        <f aca="false">Y17-X17</f>
        <v>0</v>
      </c>
      <c r="AA17" s="26" t="n">
        <f aca="false">5000+5000</f>
        <v>10000</v>
      </c>
      <c r="AB17" s="26" t="n">
        <f aca="false">5000+5000</f>
        <v>10000</v>
      </c>
      <c r="AC17" s="81" t="n">
        <f aca="false">AB17-AA17</f>
        <v>0</v>
      </c>
      <c r="AD17" s="26" t="n">
        <f aca="false">5000+5000</f>
        <v>10000</v>
      </c>
      <c r="AE17" s="26" t="n">
        <f aca="false">5000+5000</f>
        <v>10000</v>
      </c>
      <c r="AF17" s="81" t="n">
        <f aca="false">AE17-AD17</f>
        <v>0</v>
      </c>
      <c r="AG17" s="83" t="n">
        <v>255000</v>
      </c>
      <c r="AH17" s="83" t="n">
        <f aca="false">255000-10000+1026</f>
        <v>246026</v>
      </c>
      <c r="AI17" s="120" t="n">
        <f aca="false">AH17-AG17</f>
        <v>-8974</v>
      </c>
      <c r="AJ17" s="26" t="n">
        <f aca="false">5000+5000</f>
        <v>10000</v>
      </c>
      <c r="AK17" s="26" t="n">
        <f aca="false">5000+5000</f>
        <v>10000</v>
      </c>
      <c r="AL17" s="81" t="n">
        <f aca="false">AK17-AJ17</f>
        <v>0</v>
      </c>
      <c r="AM17" s="26"/>
      <c r="AN17" s="26"/>
      <c r="AO17" s="81" t="n">
        <f aca="false">AN17-AM17</f>
        <v>0</v>
      </c>
      <c r="AP17" s="26"/>
      <c r="AQ17" s="26"/>
      <c r="AR17" s="81" t="n">
        <f aca="false">AQ17-AP17</f>
        <v>0</v>
      </c>
      <c r="AS17" s="26"/>
      <c r="AT17" s="26"/>
      <c r="AU17" s="81" t="n">
        <f aca="false">AT17-AS17</f>
        <v>0</v>
      </c>
      <c r="AV17" s="26"/>
      <c r="AW17" s="26"/>
      <c r="AX17" s="81" t="n">
        <f aca="false">AW17-AV17</f>
        <v>0</v>
      </c>
      <c r="AY17" s="26"/>
      <c r="AZ17" s="26"/>
      <c r="BA17" s="81" t="n">
        <f aca="false">AZ17-AY17</f>
        <v>0</v>
      </c>
      <c r="BB17" s="26"/>
      <c r="BC17" s="26"/>
      <c r="BD17" s="81" t="n">
        <f aca="false">BC17-BB17</f>
        <v>0</v>
      </c>
      <c r="BE17" s="26"/>
      <c r="BF17" s="26"/>
      <c r="BG17" s="81" t="n">
        <f aca="false">BF17-BE17</f>
        <v>0</v>
      </c>
      <c r="BH17" s="26"/>
      <c r="BI17" s="26"/>
      <c r="BJ17" s="81" t="n">
        <f aca="false">BI17-BH17</f>
        <v>0</v>
      </c>
      <c r="BK17" s="26"/>
      <c r="BL17" s="26"/>
      <c r="BM17" s="81" t="n">
        <f aca="false">BL17-BK17</f>
        <v>0</v>
      </c>
      <c r="BN17" s="26"/>
      <c r="BO17" s="26"/>
      <c r="BP17" s="81" t="n">
        <f aca="false">BO17-BN17</f>
        <v>0</v>
      </c>
      <c r="BQ17" s="26"/>
      <c r="BR17" s="26"/>
      <c r="BS17" s="81" t="n">
        <f aca="false">BR17-BQ17</f>
        <v>0</v>
      </c>
      <c r="BT17" s="26"/>
      <c r="BU17" s="26"/>
      <c r="BV17" s="81" t="n">
        <f aca="false">BU17-BT17</f>
        <v>0</v>
      </c>
      <c r="BW17" s="26"/>
      <c r="BX17" s="26"/>
      <c r="BY17" s="81" t="n">
        <f aca="false">BX17-BW17</f>
        <v>0</v>
      </c>
      <c r="BZ17" s="26"/>
      <c r="CA17" s="26"/>
      <c r="CB17" s="81" t="n">
        <f aca="false">CA17-BZ17</f>
        <v>0</v>
      </c>
      <c r="CC17" s="26"/>
      <c r="CD17" s="26"/>
      <c r="CE17" s="81" t="n">
        <f aca="false">CD17-CC17</f>
        <v>0</v>
      </c>
      <c r="CF17" s="26"/>
      <c r="CG17" s="26"/>
      <c r="CH17" s="81" t="n">
        <f aca="false">CG17-CF17</f>
        <v>0</v>
      </c>
      <c r="CI17" s="26"/>
      <c r="CJ17" s="26"/>
      <c r="CK17" s="81" t="n">
        <f aca="false">CJ17-CI17</f>
        <v>0</v>
      </c>
      <c r="CL17" s="26"/>
      <c r="CM17" s="26"/>
      <c r="CN17" s="81" t="n">
        <f aca="false">CM17-CL17</f>
        <v>0</v>
      </c>
      <c r="CO17" s="26"/>
      <c r="CP17" s="26"/>
      <c r="CQ17" s="81" t="n">
        <f aca="false">CP17-CO17</f>
        <v>0</v>
      </c>
      <c r="CR17" s="26"/>
      <c r="CS17" s="26"/>
      <c r="CT17" s="81" t="n">
        <f aca="false">CS17-CR17</f>
        <v>0</v>
      </c>
      <c r="CU17" s="26"/>
      <c r="CV17" s="26"/>
      <c r="CW17" s="81" t="n">
        <f aca="false">CV17-CU17</f>
        <v>0</v>
      </c>
      <c r="CX17" s="26"/>
      <c r="CY17" s="26"/>
      <c r="CZ17" s="81" t="n">
        <f aca="false">CY17-CX17</f>
        <v>0</v>
      </c>
      <c r="DA17" s="26"/>
      <c r="DB17" s="26"/>
      <c r="DC17" s="81" t="n">
        <f aca="false">DB17-DA17</f>
        <v>0</v>
      </c>
      <c r="DD17" s="26"/>
      <c r="DE17" s="26"/>
      <c r="DF17" s="81" t="n">
        <f aca="false">DE17-DD17</f>
        <v>0</v>
      </c>
      <c r="DG17" s="26"/>
      <c r="DH17" s="26"/>
      <c r="DI17" s="81" t="n">
        <f aca="false">DH17-DG17</f>
        <v>0</v>
      </c>
      <c r="DJ17" s="26"/>
      <c r="DK17" s="26"/>
      <c r="DL17" s="81" t="n">
        <f aca="false">DK17-DJ17</f>
        <v>0</v>
      </c>
      <c r="DM17" s="26"/>
      <c r="DN17" s="26"/>
      <c r="DO17" s="81" t="n">
        <f aca="false">DN17-DM17</f>
        <v>0</v>
      </c>
      <c r="DP17" s="26"/>
      <c r="DQ17" s="26"/>
      <c r="DR17" s="81" t="n">
        <f aca="false">DQ17-DP17</f>
        <v>0</v>
      </c>
      <c r="DS17" s="26"/>
      <c r="DT17" s="26"/>
      <c r="DU17" s="81" t="n">
        <f aca="false">DT17-DS17</f>
        <v>0</v>
      </c>
      <c r="DV17" s="26"/>
      <c r="DW17" s="26"/>
      <c r="DX17" s="81" t="n">
        <f aca="false">DW17-DV17</f>
        <v>0</v>
      </c>
      <c r="DY17" s="26"/>
      <c r="DZ17" s="26"/>
      <c r="EA17" s="81" t="n">
        <f aca="false">DZ17-DY17</f>
        <v>0</v>
      </c>
      <c r="EB17" s="26"/>
      <c r="EC17" s="26"/>
      <c r="ED17" s="81" t="n">
        <f aca="false">EC17-EB17</f>
        <v>0</v>
      </c>
      <c r="EE17" s="26"/>
      <c r="EF17" s="26"/>
      <c r="EG17" s="81" t="n">
        <f aca="false">EF17-EE17</f>
        <v>0</v>
      </c>
      <c r="EH17" s="26"/>
      <c r="EI17" s="26"/>
      <c r="EJ17" s="81" t="n">
        <f aca="false">EI17-EH17</f>
        <v>0</v>
      </c>
      <c r="EK17" s="26"/>
      <c r="EL17" s="26"/>
      <c r="EM17" s="81" t="n">
        <f aca="false">EL17-EK17</f>
        <v>0</v>
      </c>
      <c r="EN17" s="26"/>
      <c r="EO17" s="26"/>
      <c r="EP17" s="81" t="n">
        <f aca="false">EO17-EN17</f>
        <v>0</v>
      </c>
      <c r="EQ17" s="81" t="n">
        <f aca="false">+C17+F17+I17+L17+O17+R17+U17+X17+AA17+AD17+AG17+AJ17+AM17+AP17+AS17+AV17+AY17+BB17+BE17+BH17+BK17+BN17+BQ17+BT17+BW17+BZ17+CC17+CF17+CI17+CL17+CO17+CR17+CU17+CX17+DA17+DD17+DG17+DJ17+DM17+DP17+DS17+DV17+DY17+EB17+EE17+EH17+EK17+EN17</f>
        <v>360000</v>
      </c>
      <c r="ER17" s="81" t="n">
        <f aca="false">+D17+G17+J17+M17+P17+S17+V17+Y17+AB17+AE17+AH17+AK17+AN17+AQ17+AT17+AW17+AZ17+BC17+BF17+BI17+BL17+BO17+BR17+BU17+BX17+CA17+CD17+CG17+CJ17+CM17+CP17+CS17+CV17+CY17+DB17+DE17+DH17+DK17+DN17+DQ17+DT17+DW17+DZ17+EC17+EF17+EI17+EL17+EO17</f>
        <v>351026</v>
      </c>
      <c r="ES17" s="81" t="n">
        <f aca="false">ER17-EQ17</f>
        <v>-8974</v>
      </c>
      <c r="ET17" s="26" t="n">
        <f aca="false">+ET16+ES17</f>
        <v>-180033</v>
      </c>
      <c r="EU17" s="87"/>
      <c r="EV17" s="81" t="n">
        <f aca="false">+EQ17-AG17</f>
        <v>105000</v>
      </c>
      <c r="EW17" s="81" t="n">
        <f aca="false">+ER17-AH17</f>
        <v>105000</v>
      </c>
      <c r="EX17" s="26" t="n">
        <f aca="false">+EW17-EV17</f>
        <v>0</v>
      </c>
      <c r="EY17" s="26" t="n">
        <f aca="false">+EY16+EX17</f>
        <v>-62654</v>
      </c>
      <c r="EZ17" s="87"/>
      <c r="FA17" s="26" t="n">
        <f aca="false">+AI17</f>
        <v>-8974</v>
      </c>
      <c r="FB17" s="26" t="n">
        <f aca="false">+FB16+FA17</f>
        <v>-117379</v>
      </c>
      <c r="FC17" s="87"/>
      <c r="FD17" s="87"/>
      <c r="FE17" s="87"/>
      <c r="FF17" s="87"/>
      <c r="FG17" s="87"/>
      <c r="FH17" s="87"/>
      <c r="FI17" s="87"/>
    </row>
    <row r="18" customFormat="false" ht="12.75" hidden="false" customHeight="false" outlineLevel="0" collapsed="false">
      <c r="A18" s="80" t="n">
        <f aca="false">+BaseloadMarkets!A18</f>
        <v>36720</v>
      </c>
      <c r="B18" s="80" t="str">
        <f aca="false">+BaseloadMarkets!B18</f>
        <v>Thu</v>
      </c>
      <c r="C18" s="26" t="n">
        <v>10000</v>
      </c>
      <c r="D18" s="26" t="n">
        <v>10000</v>
      </c>
      <c r="E18" s="81" t="n">
        <f aca="false">D18-C18</f>
        <v>0</v>
      </c>
      <c r="F18" s="26" t="n">
        <v>10000</v>
      </c>
      <c r="G18" s="26" t="n">
        <v>10000</v>
      </c>
      <c r="H18" s="81" t="n">
        <f aca="false">G18-F18</f>
        <v>0</v>
      </c>
      <c r="I18" s="26" t="n">
        <v>10000</v>
      </c>
      <c r="J18" s="26" t="n">
        <v>10000</v>
      </c>
      <c r="K18" s="81" t="n">
        <f aca="false">J18-I18</f>
        <v>0</v>
      </c>
      <c r="L18" s="26" t="n">
        <v>5000</v>
      </c>
      <c r="M18" s="26" t="n">
        <v>5000</v>
      </c>
      <c r="N18" s="81" t="n">
        <f aca="false">M18-L18</f>
        <v>0</v>
      </c>
      <c r="O18" s="26" t="n">
        <v>10000</v>
      </c>
      <c r="P18" s="26" t="n">
        <v>10000</v>
      </c>
      <c r="Q18" s="81" t="n">
        <f aca="false">P18-O18</f>
        <v>0</v>
      </c>
      <c r="R18" s="26" t="n">
        <f aca="false">5000+5000</f>
        <v>10000</v>
      </c>
      <c r="S18" s="26" t="n">
        <f aca="false">5000+5000</f>
        <v>10000</v>
      </c>
      <c r="T18" s="81" t="n">
        <f aca="false">S18-R18</f>
        <v>0</v>
      </c>
      <c r="U18" s="26" t="n">
        <f aca="false">5000+5000</f>
        <v>10000</v>
      </c>
      <c r="V18" s="26" t="n">
        <f aca="false">5000+5000</f>
        <v>10000</v>
      </c>
      <c r="W18" s="81" t="n">
        <f aca="false">V18-U18</f>
        <v>0</v>
      </c>
      <c r="X18" s="26" t="n">
        <f aca="false">5000+5000</f>
        <v>10000</v>
      </c>
      <c r="Y18" s="26" t="n">
        <f aca="false">5000+5000</f>
        <v>10000</v>
      </c>
      <c r="Z18" s="81" t="n">
        <f aca="false">Y18-X18</f>
        <v>0</v>
      </c>
      <c r="AA18" s="26" t="n">
        <f aca="false">5000+5000</f>
        <v>10000</v>
      </c>
      <c r="AB18" s="26" t="n">
        <f aca="false">5000+5000</f>
        <v>10000</v>
      </c>
      <c r="AC18" s="81" t="n">
        <f aca="false">AB18-AA18</f>
        <v>0</v>
      </c>
      <c r="AD18" s="26" t="n">
        <f aca="false">5000+5000</f>
        <v>10000</v>
      </c>
      <c r="AE18" s="26" t="n">
        <f aca="false">5000+5000</f>
        <v>10000</v>
      </c>
      <c r="AF18" s="81" t="n">
        <f aca="false">AE18-AD18</f>
        <v>0</v>
      </c>
      <c r="AG18" s="83" t="n">
        <v>315000</v>
      </c>
      <c r="AH18" s="83" t="n">
        <f aca="false">315000-5000+4813-5000+4813</f>
        <v>314626</v>
      </c>
      <c r="AI18" s="120" t="n">
        <f aca="false">AH18-AG18</f>
        <v>-374</v>
      </c>
      <c r="AJ18" s="26" t="n">
        <f aca="false">5000+5000</f>
        <v>10000</v>
      </c>
      <c r="AK18" s="26" t="n">
        <f aca="false">5000+5000</f>
        <v>10000</v>
      </c>
      <c r="AL18" s="81" t="n">
        <f aca="false">AK18-AJ18</f>
        <v>0</v>
      </c>
      <c r="AM18" s="26"/>
      <c r="AN18" s="26"/>
      <c r="AO18" s="81" t="n">
        <f aca="false">AN18-AM18</f>
        <v>0</v>
      </c>
      <c r="AP18" s="26"/>
      <c r="AQ18" s="26"/>
      <c r="AR18" s="81" t="n">
        <f aca="false">AQ18-AP18</f>
        <v>0</v>
      </c>
      <c r="AS18" s="26"/>
      <c r="AT18" s="26"/>
      <c r="AU18" s="81" t="n">
        <f aca="false">AT18-AS18</f>
        <v>0</v>
      </c>
      <c r="AV18" s="26"/>
      <c r="AW18" s="26"/>
      <c r="AX18" s="81" t="n">
        <f aca="false">AW18-AV18</f>
        <v>0</v>
      </c>
      <c r="AY18" s="26"/>
      <c r="AZ18" s="26"/>
      <c r="BA18" s="81" t="n">
        <f aca="false">AZ18-AY18</f>
        <v>0</v>
      </c>
      <c r="BB18" s="26"/>
      <c r="BC18" s="26"/>
      <c r="BD18" s="81" t="n">
        <f aca="false">BC18-BB18</f>
        <v>0</v>
      </c>
      <c r="BE18" s="26"/>
      <c r="BF18" s="26"/>
      <c r="BG18" s="81" t="n">
        <f aca="false">BF18-BE18</f>
        <v>0</v>
      </c>
      <c r="BH18" s="26"/>
      <c r="BI18" s="26"/>
      <c r="BJ18" s="81" t="n">
        <f aca="false">BI18-BH18</f>
        <v>0</v>
      </c>
      <c r="BK18" s="26"/>
      <c r="BL18" s="26"/>
      <c r="BM18" s="81" t="n">
        <f aca="false">BL18-BK18</f>
        <v>0</v>
      </c>
      <c r="BN18" s="26"/>
      <c r="BO18" s="26"/>
      <c r="BP18" s="81" t="n">
        <f aca="false">BO18-BN18</f>
        <v>0</v>
      </c>
      <c r="BQ18" s="26"/>
      <c r="BR18" s="26"/>
      <c r="BS18" s="81" t="n">
        <f aca="false">BR18-BQ18</f>
        <v>0</v>
      </c>
      <c r="BT18" s="26"/>
      <c r="BU18" s="26"/>
      <c r="BV18" s="81" t="n">
        <f aca="false">BU18-BT18</f>
        <v>0</v>
      </c>
      <c r="BW18" s="26"/>
      <c r="BX18" s="26"/>
      <c r="BY18" s="81" t="n">
        <f aca="false">BX18-BW18</f>
        <v>0</v>
      </c>
      <c r="BZ18" s="26"/>
      <c r="CA18" s="26"/>
      <c r="CB18" s="81" t="n">
        <f aca="false">CA18-BZ18</f>
        <v>0</v>
      </c>
      <c r="CC18" s="26"/>
      <c r="CD18" s="26"/>
      <c r="CE18" s="81" t="n">
        <f aca="false">CD18-CC18</f>
        <v>0</v>
      </c>
      <c r="CF18" s="26"/>
      <c r="CG18" s="26"/>
      <c r="CH18" s="81" t="n">
        <f aca="false">CG18-CF18</f>
        <v>0</v>
      </c>
      <c r="CI18" s="26"/>
      <c r="CJ18" s="26"/>
      <c r="CK18" s="81" t="n">
        <f aca="false">CJ18-CI18</f>
        <v>0</v>
      </c>
      <c r="CL18" s="26"/>
      <c r="CM18" s="26"/>
      <c r="CN18" s="81" t="n">
        <f aca="false">CM18-CL18</f>
        <v>0</v>
      </c>
      <c r="CO18" s="26"/>
      <c r="CP18" s="26"/>
      <c r="CQ18" s="81" t="n">
        <f aca="false">CP18-CO18</f>
        <v>0</v>
      </c>
      <c r="CR18" s="26"/>
      <c r="CS18" s="26"/>
      <c r="CT18" s="81" t="n">
        <f aca="false">CS18-CR18</f>
        <v>0</v>
      </c>
      <c r="CU18" s="26"/>
      <c r="CV18" s="26"/>
      <c r="CW18" s="81" t="n">
        <f aca="false">CV18-CU18</f>
        <v>0</v>
      </c>
      <c r="CX18" s="26"/>
      <c r="CY18" s="26"/>
      <c r="CZ18" s="81" t="n">
        <f aca="false">CY18-CX18</f>
        <v>0</v>
      </c>
      <c r="DA18" s="26"/>
      <c r="DB18" s="26"/>
      <c r="DC18" s="81" t="n">
        <f aca="false">DB18-DA18</f>
        <v>0</v>
      </c>
      <c r="DD18" s="26"/>
      <c r="DE18" s="26"/>
      <c r="DF18" s="81" t="n">
        <f aca="false">DE18-DD18</f>
        <v>0</v>
      </c>
      <c r="DG18" s="26"/>
      <c r="DH18" s="26"/>
      <c r="DI18" s="81" t="n">
        <f aca="false">DH18-DG18</f>
        <v>0</v>
      </c>
      <c r="DJ18" s="26"/>
      <c r="DK18" s="26"/>
      <c r="DL18" s="81" t="n">
        <f aca="false">DK18-DJ18</f>
        <v>0</v>
      </c>
      <c r="DM18" s="26"/>
      <c r="DN18" s="26"/>
      <c r="DO18" s="81" t="n">
        <f aca="false">DN18-DM18</f>
        <v>0</v>
      </c>
      <c r="DP18" s="26"/>
      <c r="DQ18" s="26"/>
      <c r="DR18" s="81" t="n">
        <f aca="false">DQ18-DP18</f>
        <v>0</v>
      </c>
      <c r="DS18" s="26"/>
      <c r="DT18" s="26"/>
      <c r="DU18" s="81" t="n">
        <f aca="false">DT18-DS18</f>
        <v>0</v>
      </c>
      <c r="DV18" s="26"/>
      <c r="DW18" s="26"/>
      <c r="DX18" s="81" t="n">
        <f aca="false">DW18-DV18</f>
        <v>0</v>
      </c>
      <c r="DY18" s="26"/>
      <c r="DZ18" s="26"/>
      <c r="EA18" s="81" t="n">
        <f aca="false">DZ18-DY18</f>
        <v>0</v>
      </c>
      <c r="EB18" s="26"/>
      <c r="EC18" s="26"/>
      <c r="ED18" s="81" t="n">
        <f aca="false">EC18-EB18</f>
        <v>0</v>
      </c>
      <c r="EE18" s="26"/>
      <c r="EF18" s="26"/>
      <c r="EG18" s="81" t="n">
        <f aca="false">EF18-EE18</f>
        <v>0</v>
      </c>
      <c r="EH18" s="26"/>
      <c r="EI18" s="26"/>
      <c r="EJ18" s="81" t="n">
        <f aca="false">EI18-EH18</f>
        <v>0</v>
      </c>
      <c r="EK18" s="26"/>
      <c r="EL18" s="26"/>
      <c r="EM18" s="81" t="n">
        <f aca="false">EL18-EK18</f>
        <v>0</v>
      </c>
      <c r="EN18" s="26"/>
      <c r="EO18" s="26"/>
      <c r="EP18" s="81" t="n">
        <f aca="false">EO18-EN18</f>
        <v>0</v>
      </c>
      <c r="EQ18" s="81" t="n">
        <f aca="false">+C18+F18+I18+L18+O18+R18+U18+X18+AA18+AD18+AG18+AJ18+AM18+AP18+AS18+AV18+AY18+BB18+BE18+BH18+BK18+BN18+BQ18+BT18+BW18+BZ18+CC18+CF18+CI18+CL18+CO18+CR18+CU18+CX18+DA18+DD18+DG18+DJ18+DM18+DP18+DS18+DV18+DY18+EB18+EE18+EH18+EK18+EN18</f>
        <v>420000</v>
      </c>
      <c r="ER18" s="81" t="n">
        <f aca="false">+D18+G18+J18+M18+P18+S18+V18+Y18+AB18+AE18+AH18+AK18+AN18+AQ18+AT18+AW18+AZ18+BC18+BF18+BI18+BL18+BO18+BR18+BU18+BX18+CA18+CD18+CG18+CJ18+CM18+CP18+CS18+CV18+CY18+DB18+DE18+DH18+DK18+DN18+DQ18+DT18+DW18+DZ18+EC18+EF18+EI18+EL18+EO18</f>
        <v>419626</v>
      </c>
      <c r="ES18" s="81" t="n">
        <f aca="false">ER18-EQ18</f>
        <v>-374</v>
      </c>
      <c r="ET18" s="26" t="n">
        <f aca="false">+ET17+ES18</f>
        <v>-180407</v>
      </c>
      <c r="EU18" s="87"/>
      <c r="EV18" s="81" t="n">
        <f aca="false">+EQ18-AG18</f>
        <v>105000</v>
      </c>
      <c r="EW18" s="81" t="n">
        <f aca="false">+ER18-AH18</f>
        <v>105000</v>
      </c>
      <c r="EX18" s="26" t="n">
        <f aca="false">+EW18-EV18</f>
        <v>0</v>
      </c>
      <c r="EY18" s="26" t="n">
        <f aca="false">+EY17+EX18</f>
        <v>-62654</v>
      </c>
      <c r="EZ18" s="87"/>
      <c r="FA18" s="26" t="n">
        <f aca="false">+AI18</f>
        <v>-374</v>
      </c>
      <c r="FB18" s="26" t="n">
        <f aca="false">+FB17+FA18</f>
        <v>-117753</v>
      </c>
      <c r="FC18" s="87"/>
      <c r="FD18" s="87"/>
      <c r="FE18" s="87"/>
      <c r="FF18" s="87"/>
      <c r="FG18" s="87"/>
      <c r="FH18" s="87"/>
      <c r="FI18" s="87"/>
    </row>
    <row r="19" customFormat="false" ht="12.75" hidden="false" customHeight="false" outlineLevel="0" collapsed="false">
      <c r="A19" s="80" t="n">
        <f aca="false">+BaseloadMarkets!A19</f>
        <v>36721</v>
      </c>
      <c r="B19" s="80" t="str">
        <f aca="false">+BaseloadMarkets!B19</f>
        <v>Fri</v>
      </c>
      <c r="C19" s="26" t="n">
        <v>10000</v>
      </c>
      <c r="D19" s="26" t="n">
        <v>10000</v>
      </c>
      <c r="E19" s="81" t="n">
        <f aca="false">D19-C19</f>
        <v>0</v>
      </c>
      <c r="F19" s="26" t="n">
        <v>10000</v>
      </c>
      <c r="G19" s="26" t="n">
        <v>10000</v>
      </c>
      <c r="H19" s="81" t="n">
        <f aca="false">G19-F19</f>
        <v>0</v>
      </c>
      <c r="I19" s="26" t="n">
        <v>10000</v>
      </c>
      <c r="J19" s="26" t="n">
        <v>10000</v>
      </c>
      <c r="K19" s="81" t="n">
        <f aca="false">J19-I19</f>
        <v>0</v>
      </c>
      <c r="L19" s="26" t="n">
        <v>5000</v>
      </c>
      <c r="M19" s="26" t="n">
        <v>5000</v>
      </c>
      <c r="N19" s="81" t="n">
        <f aca="false">M19-L19</f>
        <v>0</v>
      </c>
      <c r="O19" s="26" t="n">
        <v>10000</v>
      </c>
      <c r="P19" s="26" t="n">
        <v>10000</v>
      </c>
      <c r="Q19" s="81" t="n">
        <f aca="false">P19-O19</f>
        <v>0</v>
      </c>
      <c r="R19" s="26" t="n">
        <f aca="false">5000+5000</f>
        <v>10000</v>
      </c>
      <c r="S19" s="26" t="n">
        <f aca="false">5000+5000</f>
        <v>10000</v>
      </c>
      <c r="T19" s="81" t="n">
        <f aca="false">S19-R19</f>
        <v>0</v>
      </c>
      <c r="U19" s="26" t="n">
        <f aca="false">5000+5000</f>
        <v>10000</v>
      </c>
      <c r="V19" s="26" t="n">
        <f aca="false">5000+5000</f>
        <v>10000</v>
      </c>
      <c r="W19" s="81" t="n">
        <f aca="false">V19-U19</f>
        <v>0</v>
      </c>
      <c r="X19" s="26" t="n">
        <f aca="false">5000+5000</f>
        <v>10000</v>
      </c>
      <c r="Y19" s="26" t="n">
        <f aca="false">5000+5000</f>
        <v>10000</v>
      </c>
      <c r="Z19" s="81" t="n">
        <f aca="false">Y19-X19</f>
        <v>0</v>
      </c>
      <c r="AA19" s="26" t="n">
        <f aca="false">5000+5000</f>
        <v>10000</v>
      </c>
      <c r="AB19" s="26" t="n">
        <f aca="false">5000+5000</f>
        <v>10000</v>
      </c>
      <c r="AC19" s="81" t="n">
        <f aca="false">AB19-AA19</f>
        <v>0</v>
      </c>
      <c r="AD19" s="26" t="n">
        <f aca="false">5000+5000</f>
        <v>10000</v>
      </c>
      <c r="AE19" s="26" t="n">
        <f aca="false">5000+5000</f>
        <v>10000</v>
      </c>
      <c r="AF19" s="81" t="n">
        <f aca="false">AE19-AD19</f>
        <v>0</v>
      </c>
      <c r="AG19" s="83" t="n">
        <v>175000</v>
      </c>
      <c r="AH19" s="83" t="n">
        <f aca="false">175000-5000+2647-5000+2992</f>
        <v>170639</v>
      </c>
      <c r="AI19" s="120" t="n">
        <f aca="false">AH19-AG19</f>
        <v>-4361</v>
      </c>
      <c r="AJ19" s="26" t="n">
        <f aca="false">5000+5000</f>
        <v>10000</v>
      </c>
      <c r="AK19" s="26" t="n">
        <f aca="false">5000+5000</f>
        <v>10000</v>
      </c>
      <c r="AL19" s="81" t="n">
        <f aca="false">AK19-AJ19</f>
        <v>0</v>
      </c>
      <c r="AM19" s="26"/>
      <c r="AN19" s="26"/>
      <c r="AO19" s="81" t="n">
        <f aca="false">AN19-AM19</f>
        <v>0</v>
      </c>
      <c r="AP19" s="26"/>
      <c r="AQ19" s="26"/>
      <c r="AR19" s="81" t="n">
        <f aca="false">AQ19-AP19</f>
        <v>0</v>
      </c>
      <c r="AS19" s="26"/>
      <c r="AT19" s="26"/>
      <c r="AU19" s="81" t="n">
        <f aca="false">AT19-AS19</f>
        <v>0</v>
      </c>
      <c r="AV19" s="26"/>
      <c r="AW19" s="26"/>
      <c r="AX19" s="81" t="n">
        <f aca="false">AW19-AV19</f>
        <v>0</v>
      </c>
      <c r="AY19" s="26"/>
      <c r="AZ19" s="26"/>
      <c r="BA19" s="81" t="n">
        <f aca="false">AZ19-AY19</f>
        <v>0</v>
      </c>
      <c r="BB19" s="26"/>
      <c r="BC19" s="26"/>
      <c r="BD19" s="81" t="n">
        <f aca="false">BC19-BB19</f>
        <v>0</v>
      </c>
      <c r="BE19" s="26"/>
      <c r="BF19" s="26"/>
      <c r="BG19" s="81" t="n">
        <f aca="false">BF19-BE19</f>
        <v>0</v>
      </c>
      <c r="BH19" s="26"/>
      <c r="BI19" s="26"/>
      <c r="BJ19" s="81" t="n">
        <f aca="false">BI19-BH19</f>
        <v>0</v>
      </c>
      <c r="BK19" s="26"/>
      <c r="BL19" s="26"/>
      <c r="BM19" s="81" t="n">
        <f aca="false">BL19-BK19</f>
        <v>0</v>
      </c>
      <c r="BN19" s="26"/>
      <c r="BO19" s="26"/>
      <c r="BP19" s="81" t="n">
        <f aca="false">BO19-BN19</f>
        <v>0</v>
      </c>
      <c r="BQ19" s="26"/>
      <c r="BR19" s="26"/>
      <c r="BS19" s="81" t="n">
        <f aca="false">BR19-BQ19</f>
        <v>0</v>
      </c>
      <c r="BT19" s="26"/>
      <c r="BU19" s="26"/>
      <c r="BV19" s="81" t="n">
        <f aca="false">BU19-BT19</f>
        <v>0</v>
      </c>
      <c r="BW19" s="26"/>
      <c r="BX19" s="26"/>
      <c r="BY19" s="81" t="n">
        <f aca="false">BX19-BW19</f>
        <v>0</v>
      </c>
      <c r="BZ19" s="26"/>
      <c r="CA19" s="26"/>
      <c r="CB19" s="81" t="n">
        <f aca="false">CA19-BZ19</f>
        <v>0</v>
      </c>
      <c r="CC19" s="26"/>
      <c r="CD19" s="26"/>
      <c r="CE19" s="81" t="n">
        <f aca="false">CD19-CC19</f>
        <v>0</v>
      </c>
      <c r="CF19" s="26"/>
      <c r="CG19" s="26"/>
      <c r="CH19" s="81" t="n">
        <f aca="false">CG19-CF19</f>
        <v>0</v>
      </c>
      <c r="CI19" s="26"/>
      <c r="CJ19" s="26"/>
      <c r="CK19" s="81" t="n">
        <f aca="false">CJ19-CI19</f>
        <v>0</v>
      </c>
      <c r="CL19" s="26"/>
      <c r="CM19" s="26"/>
      <c r="CN19" s="81" t="n">
        <f aca="false">CM19-CL19</f>
        <v>0</v>
      </c>
      <c r="CO19" s="26"/>
      <c r="CP19" s="26"/>
      <c r="CQ19" s="81" t="n">
        <f aca="false">CP19-CO19</f>
        <v>0</v>
      </c>
      <c r="CR19" s="26"/>
      <c r="CS19" s="26"/>
      <c r="CT19" s="81" t="n">
        <f aca="false">CS19-CR19</f>
        <v>0</v>
      </c>
      <c r="CU19" s="26"/>
      <c r="CV19" s="26"/>
      <c r="CW19" s="81" t="n">
        <f aca="false">CV19-CU19</f>
        <v>0</v>
      </c>
      <c r="CX19" s="26"/>
      <c r="CY19" s="26"/>
      <c r="CZ19" s="81" t="n">
        <f aca="false">CY19-CX19</f>
        <v>0</v>
      </c>
      <c r="DA19" s="26"/>
      <c r="DB19" s="26"/>
      <c r="DC19" s="81" t="n">
        <f aca="false">DB19-DA19</f>
        <v>0</v>
      </c>
      <c r="DD19" s="26"/>
      <c r="DE19" s="26"/>
      <c r="DF19" s="81" t="n">
        <f aca="false">DE19-DD19</f>
        <v>0</v>
      </c>
      <c r="DG19" s="26"/>
      <c r="DH19" s="26"/>
      <c r="DI19" s="81" t="n">
        <f aca="false">DH19-DG19</f>
        <v>0</v>
      </c>
      <c r="DJ19" s="26"/>
      <c r="DK19" s="26"/>
      <c r="DL19" s="81" t="n">
        <f aca="false">DK19-DJ19</f>
        <v>0</v>
      </c>
      <c r="DM19" s="26"/>
      <c r="DN19" s="26"/>
      <c r="DO19" s="81" t="n">
        <f aca="false">DN19-DM19</f>
        <v>0</v>
      </c>
      <c r="DP19" s="26"/>
      <c r="DQ19" s="26"/>
      <c r="DR19" s="81" t="n">
        <f aca="false">DQ19-DP19</f>
        <v>0</v>
      </c>
      <c r="DS19" s="26"/>
      <c r="DT19" s="26"/>
      <c r="DU19" s="81" t="n">
        <f aca="false">DT19-DS19</f>
        <v>0</v>
      </c>
      <c r="DV19" s="26"/>
      <c r="DW19" s="26"/>
      <c r="DX19" s="81" t="n">
        <f aca="false">DW19-DV19</f>
        <v>0</v>
      </c>
      <c r="DY19" s="26"/>
      <c r="DZ19" s="26"/>
      <c r="EA19" s="81" t="n">
        <f aca="false">DZ19-DY19</f>
        <v>0</v>
      </c>
      <c r="EB19" s="26"/>
      <c r="EC19" s="26"/>
      <c r="ED19" s="81" t="n">
        <f aca="false">EC19-EB19</f>
        <v>0</v>
      </c>
      <c r="EE19" s="26"/>
      <c r="EF19" s="26"/>
      <c r="EG19" s="81" t="n">
        <f aca="false">EF19-EE19</f>
        <v>0</v>
      </c>
      <c r="EH19" s="26"/>
      <c r="EI19" s="26"/>
      <c r="EJ19" s="81" t="n">
        <f aca="false">EI19-EH19</f>
        <v>0</v>
      </c>
      <c r="EK19" s="26"/>
      <c r="EL19" s="26"/>
      <c r="EM19" s="81" t="n">
        <f aca="false">EL19-EK19</f>
        <v>0</v>
      </c>
      <c r="EN19" s="26"/>
      <c r="EO19" s="26"/>
      <c r="EP19" s="81" t="n">
        <f aca="false">EO19-EN19</f>
        <v>0</v>
      </c>
      <c r="EQ19" s="81" t="n">
        <f aca="false">+C19+F19+I19+L19+O19+R19+U19+X19+AA19+AD19+AG19+AJ19+AM19+AP19+AS19+AV19+AY19+BB19+BE19+BH19+BK19+BN19+BQ19+BT19+BW19+BZ19+CC19+CF19+CI19+CL19+CO19+CR19+CU19+CX19+DA19+DD19+DG19+DJ19+DM19+DP19+DS19+DV19+DY19+EB19+EE19+EH19+EK19+EN19</f>
        <v>280000</v>
      </c>
      <c r="ER19" s="81" t="n">
        <f aca="false">+D19+G19+J19+M19+P19+S19+V19+Y19+AB19+AE19+AH19+AK19+AN19+AQ19+AT19+AW19+AZ19+BC19+BF19+BI19+BL19+BO19+BR19+BU19+BX19+CA19+CD19+CG19+CJ19+CM19+CP19+CS19+CV19+CY19+DB19+DE19+DH19+DK19+DN19+DQ19+DT19+DW19+DZ19+EC19+EF19+EI19+EL19+EO19</f>
        <v>275639</v>
      </c>
      <c r="ES19" s="81" t="n">
        <f aca="false">ER19-EQ19</f>
        <v>-4361</v>
      </c>
      <c r="ET19" s="26" t="n">
        <f aca="false">+ET18+ES19</f>
        <v>-184768</v>
      </c>
      <c r="EU19" s="87"/>
      <c r="EV19" s="81" t="n">
        <f aca="false">+EQ19-AG19</f>
        <v>105000</v>
      </c>
      <c r="EW19" s="81" t="n">
        <f aca="false">+ER19-AH19</f>
        <v>105000</v>
      </c>
      <c r="EX19" s="26" t="n">
        <f aca="false">+EW19-EV19</f>
        <v>0</v>
      </c>
      <c r="EY19" s="26" t="n">
        <f aca="false">+EY18+EX19</f>
        <v>-62654</v>
      </c>
      <c r="EZ19" s="87"/>
      <c r="FA19" s="26" t="n">
        <f aca="false">+AI19</f>
        <v>-4361</v>
      </c>
      <c r="FB19" s="26" t="n">
        <f aca="false">+FB18+FA19</f>
        <v>-122114</v>
      </c>
      <c r="FC19" s="87"/>
      <c r="FD19" s="87"/>
      <c r="FE19" s="87"/>
      <c r="FF19" s="87"/>
      <c r="FG19" s="87"/>
      <c r="FH19" s="87"/>
      <c r="FI19" s="87"/>
    </row>
    <row r="20" customFormat="false" ht="12.75" hidden="false" customHeight="false" outlineLevel="0" collapsed="false">
      <c r="A20" s="80" t="n">
        <f aca="false">+BaseloadMarkets!A20</f>
        <v>36722</v>
      </c>
      <c r="B20" s="80" t="str">
        <f aca="false">+BaseloadMarkets!B20</f>
        <v>Sat</v>
      </c>
      <c r="C20" s="26" t="n">
        <v>10000</v>
      </c>
      <c r="D20" s="26" t="n">
        <v>10000</v>
      </c>
      <c r="E20" s="81" t="n">
        <f aca="false">D20-C20</f>
        <v>0</v>
      </c>
      <c r="F20" s="26" t="n">
        <v>10000</v>
      </c>
      <c r="G20" s="26" t="n">
        <v>10000</v>
      </c>
      <c r="H20" s="81" t="n">
        <f aca="false">G20-F20</f>
        <v>0</v>
      </c>
      <c r="I20" s="26" t="n">
        <v>10000</v>
      </c>
      <c r="J20" s="26" t="n">
        <v>10000</v>
      </c>
      <c r="K20" s="81" t="n">
        <f aca="false">J20-I20</f>
        <v>0</v>
      </c>
      <c r="L20" s="26" t="n">
        <v>5000</v>
      </c>
      <c r="M20" s="26" t="n">
        <v>5000</v>
      </c>
      <c r="N20" s="81" t="n">
        <f aca="false">M20-L20</f>
        <v>0</v>
      </c>
      <c r="O20" s="26" t="n">
        <v>10000</v>
      </c>
      <c r="P20" s="26" t="n">
        <v>10000</v>
      </c>
      <c r="Q20" s="81" t="n">
        <f aca="false">P20-O20</f>
        <v>0</v>
      </c>
      <c r="R20" s="26" t="n">
        <f aca="false">5000+5000</f>
        <v>10000</v>
      </c>
      <c r="S20" s="26" t="n">
        <f aca="false">5000+5000</f>
        <v>10000</v>
      </c>
      <c r="T20" s="81" t="n">
        <f aca="false">S20-R20</f>
        <v>0</v>
      </c>
      <c r="U20" s="26" t="n">
        <f aca="false">5000+5000</f>
        <v>10000</v>
      </c>
      <c r="V20" s="26" t="n">
        <f aca="false">5000+5000</f>
        <v>10000</v>
      </c>
      <c r="W20" s="81" t="n">
        <f aca="false">V20-U20</f>
        <v>0</v>
      </c>
      <c r="X20" s="26" t="n">
        <f aca="false">5000+5000</f>
        <v>10000</v>
      </c>
      <c r="Y20" s="26" t="n">
        <f aca="false">5000+5000</f>
        <v>10000</v>
      </c>
      <c r="Z20" s="81" t="n">
        <f aca="false">Y20-X20</f>
        <v>0</v>
      </c>
      <c r="AA20" s="26" t="n">
        <f aca="false">5000+5000</f>
        <v>10000</v>
      </c>
      <c r="AB20" s="26" t="n">
        <f aca="false">5000+5000</f>
        <v>10000</v>
      </c>
      <c r="AC20" s="81" t="n">
        <f aca="false">AB20-AA20</f>
        <v>0</v>
      </c>
      <c r="AD20" s="26" t="n">
        <f aca="false">5000+5000</f>
        <v>10000</v>
      </c>
      <c r="AE20" s="26" t="n">
        <f aca="false">5000+5000</f>
        <v>10000</v>
      </c>
      <c r="AF20" s="81" t="n">
        <f aca="false">AE20-AD20</f>
        <v>0</v>
      </c>
      <c r="AG20" s="83" t="n">
        <v>65000</v>
      </c>
      <c r="AH20" s="83" t="n">
        <v>65000</v>
      </c>
      <c r="AI20" s="120" t="n">
        <f aca="false">AH20-AG20</f>
        <v>0</v>
      </c>
      <c r="AJ20" s="26" t="n">
        <f aca="false">5000+5000</f>
        <v>10000</v>
      </c>
      <c r="AK20" s="26" t="n">
        <f aca="false">5000+5000</f>
        <v>10000</v>
      </c>
      <c r="AL20" s="81" t="n">
        <f aca="false">AK20-AJ20</f>
        <v>0</v>
      </c>
      <c r="AM20" s="26"/>
      <c r="AN20" s="26"/>
      <c r="AO20" s="81" t="n">
        <f aca="false">AN20-AM20</f>
        <v>0</v>
      </c>
      <c r="AP20" s="26"/>
      <c r="AQ20" s="26"/>
      <c r="AR20" s="81" t="n">
        <f aca="false">AQ20-AP20</f>
        <v>0</v>
      </c>
      <c r="AS20" s="26"/>
      <c r="AT20" s="26"/>
      <c r="AU20" s="81" t="n">
        <f aca="false">AT20-AS20</f>
        <v>0</v>
      </c>
      <c r="AV20" s="26"/>
      <c r="AW20" s="26"/>
      <c r="AX20" s="81" t="n">
        <f aca="false">AW20-AV20</f>
        <v>0</v>
      </c>
      <c r="AY20" s="26"/>
      <c r="AZ20" s="26"/>
      <c r="BA20" s="81" t="n">
        <f aca="false">AZ20-AY20</f>
        <v>0</v>
      </c>
      <c r="BB20" s="26"/>
      <c r="BC20" s="26"/>
      <c r="BD20" s="81" t="n">
        <f aca="false">BC20-BB20</f>
        <v>0</v>
      </c>
      <c r="BE20" s="26"/>
      <c r="BF20" s="26"/>
      <c r="BG20" s="81" t="n">
        <f aca="false">BF20-BE20</f>
        <v>0</v>
      </c>
      <c r="BH20" s="26"/>
      <c r="BI20" s="26"/>
      <c r="BJ20" s="81" t="n">
        <f aca="false">BI20-BH20</f>
        <v>0</v>
      </c>
      <c r="BK20" s="26"/>
      <c r="BL20" s="26"/>
      <c r="BM20" s="81" t="n">
        <f aca="false">BL20-BK20</f>
        <v>0</v>
      </c>
      <c r="BN20" s="26"/>
      <c r="BO20" s="26"/>
      <c r="BP20" s="81" t="n">
        <f aca="false">BO20-BN20</f>
        <v>0</v>
      </c>
      <c r="BQ20" s="26"/>
      <c r="BR20" s="26"/>
      <c r="BS20" s="81" t="n">
        <f aca="false">BR20-BQ20</f>
        <v>0</v>
      </c>
      <c r="BT20" s="26"/>
      <c r="BU20" s="26"/>
      <c r="BV20" s="81" t="n">
        <f aca="false">BU20-BT20</f>
        <v>0</v>
      </c>
      <c r="BW20" s="26"/>
      <c r="BX20" s="26"/>
      <c r="BY20" s="81" t="n">
        <f aca="false">BX20-BW20</f>
        <v>0</v>
      </c>
      <c r="BZ20" s="26"/>
      <c r="CA20" s="26"/>
      <c r="CB20" s="81" t="n">
        <f aca="false">CA20-BZ20</f>
        <v>0</v>
      </c>
      <c r="CC20" s="26"/>
      <c r="CD20" s="26"/>
      <c r="CE20" s="81" t="n">
        <f aca="false">CD20-CC20</f>
        <v>0</v>
      </c>
      <c r="CF20" s="26"/>
      <c r="CG20" s="26"/>
      <c r="CH20" s="81" t="n">
        <f aca="false">CG20-CF20</f>
        <v>0</v>
      </c>
      <c r="CI20" s="26"/>
      <c r="CJ20" s="26"/>
      <c r="CK20" s="81" t="n">
        <f aca="false">CJ20-CI20</f>
        <v>0</v>
      </c>
      <c r="CL20" s="26"/>
      <c r="CM20" s="26"/>
      <c r="CN20" s="81" t="n">
        <f aca="false">CM20-CL20</f>
        <v>0</v>
      </c>
      <c r="CO20" s="26"/>
      <c r="CP20" s="26"/>
      <c r="CQ20" s="81" t="n">
        <f aca="false">CP20-CO20</f>
        <v>0</v>
      </c>
      <c r="CR20" s="26"/>
      <c r="CS20" s="26"/>
      <c r="CT20" s="81" t="n">
        <f aca="false">CS20-CR20</f>
        <v>0</v>
      </c>
      <c r="CU20" s="26"/>
      <c r="CV20" s="26"/>
      <c r="CW20" s="81" t="n">
        <f aca="false">CV20-CU20</f>
        <v>0</v>
      </c>
      <c r="CX20" s="26"/>
      <c r="CY20" s="26"/>
      <c r="CZ20" s="81" t="n">
        <f aca="false">CY20-CX20</f>
        <v>0</v>
      </c>
      <c r="DA20" s="26"/>
      <c r="DB20" s="26"/>
      <c r="DC20" s="81" t="n">
        <f aca="false">DB20-DA20</f>
        <v>0</v>
      </c>
      <c r="DD20" s="26"/>
      <c r="DE20" s="26"/>
      <c r="DF20" s="81" t="n">
        <f aca="false">DE20-DD20</f>
        <v>0</v>
      </c>
      <c r="DG20" s="26"/>
      <c r="DH20" s="26"/>
      <c r="DI20" s="81" t="n">
        <f aca="false">DH20-DG20</f>
        <v>0</v>
      </c>
      <c r="DJ20" s="26"/>
      <c r="DK20" s="26"/>
      <c r="DL20" s="81" t="n">
        <f aca="false">DK20-DJ20</f>
        <v>0</v>
      </c>
      <c r="DM20" s="26"/>
      <c r="DN20" s="26"/>
      <c r="DO20" s="81" t="n">
        <f aca="false">DN20-DM20</f>
        <v>0</v>
      </c>
      <c r="DP20" s="26"/>
      <c r="DQ20" s="26"/>
      <c r="DR20" s="81" t="n">
        <f aca="false">DQ20-DP20</f>
        <v>0</v>
      </c>
      <c r="DS20" s="26"/>
      <c r="DT20" s="26"/>
      <c r="DU20" s="81" t="n">
        <f aca="false">DT20-DS20</f>
        <v>0</v>
      </c>
      <c r="DV20" s="26"/>
      <c r="DW20" s="26"/>
      <c r="DX20" s="81" t="n">
        <f aca="false">DW20-DV20</f>
        <v>0</v>
      </c>
      <c r="DY20" s="26"/>
      <c r="DZ20" s="26"/>
      <c r="EA20" s="81" t="n">
        <f aca="false">DZ20-DY20</f>
        <v>0</v>
      </c>
      <c r="EB20" s="26"/>
      <c r="EC20" s="26"/>
      <c r="ED20" s="81" t="n">
        <f aca="false">EC20-EB20</f>
        <v>0</v>
      </c>
      <c r="EE20" s="26"/>
      <c r="EF20" s="26"/>
      <c r="EG20" s="81" t="n">
        <f aca="false">EF20-EE20</f>
        <v>0</v>
      </c>
      <c r="EH20" s="26"/>
      <c r="EI20" s="26"/>
      <c r="EJ20" s="81" t="n">
        <f aca="false">EI20-EH20</f>
        <v>0</v>
      </c>
      <c r="EK20" s="26"/>
      <c r="EL20" s="26"/>
      <c r="EM20" s="81" t="n">
        <f aca="false">EL20-EK20</f>
        <v>0</v>
      </c>
      <c r="EN20" s="26"/>
      <c r="EO20" s="26"/>
      <c r="EP20" s="81" t="n">
        <f aca="false">EO20-EN20</f>
        <v>0</v>
      </c>
      <c r="EQ20" s="81" t="n">
        <f aca="false">+C20+F20+I20+L20+O20+R20+U20+X20+AA20+AD20+AG20+AJ20+AM20+AP20+AS20+AV20+AY20+BB20+BE20+BH20+BK20+BN20+BQ20+BT20+BW20+BZ20+CC20+CF20+CI20+CL20+CO20+CR20+CU20+CX20+DA20+DD20+DG20+DJ20+DM20+DP20+DS20+DV20+DY20+EB20+EE20+EH20+EK20+EN20</f>
        <v>170000</v>
      </c>
      <c r="ER20" s="81" t="n">
        <f aca="false">+D20+G20+J20+M20+P20+S20+V20+Y20+AB20+AE20+AH20+AK20+AN20+AQ20+AT20+AW20+AZ20+BC20+BF20+BI20+BL20+BO20+BR20+BU20+BX20+CA20+CD20+CG20+CJ20+CM20+CP20+CS20+CV20+CY20+DB20+DE20+DH20+DK20+DN20+DQ20+DT20+DW20+DZ20+EC20+EF20+EI20+EL20+EO20</f>
        <v>170000</v>
      </c>
      <c r="ES20" s="81" t="n">
        <f aca="false">ER20-EQ20</f>
        <v>0</v>
      </c>
      <c r="ET20" s="26" t="n">
        <f aca="false">+ET19+ES20</f>
        <v>-184768</v>
      </c>
      <c r="EU20" s="87"/>
      <c r="EV20" s="81" t="n">
        <f aca="false">+EQ20-AG20</f>
        <v>105000</v>
      </c>
      <c r="EW20" s="81" t="n">
        <f aca="false">+ER20-AH20</f>
        <v>105000</v>
      </c>
      <c r="EX20" s="26" t="n">
        <f aca="false">+EW20-EV20</f>
        <v>0</v>
      </c>
      <c r="EY20" s="26" t="n">
        <f aca="false">+EY19+EX20</f>
        <v>-62654</v>
      </c>
      <c r="EZ20" s="87"/>
      <c r="FA20" s="26" t="n">
        <f aca="false">+AI20</f>
        <v>0</v>
      </c>
      <c r="FB20" s="26" t="n">
        <f aca="false">+FB19+FA20</f>
        <v>-122114</v>
      </c>
      <c r="FC20" s="87"/>
      <c r="FD20" s="87"/>
      <c r="FE20" s="87"/>
      <c r="FF20" s="87"/>
      <c r="FG20" s="87"/>
      <c r="FH20" s="87"/>
      <c r="FI20" s="87"/>
    </row>
    <row r="21" customFormat="false" ht="12.75" hidden="false" customHeight="false" outlineLevel="0" collapsed="false">
      <c r="A21" s="80" t="n">
        <f aca="false">+BaseloadMarkets!A21</f>
        <v>36723</v>
      </c>
      <c r="B21" s="80" t="str">
        <f aca="false">+BaseloadMarkets!B21</f>
        <v>Sun</v>
      </c>
      <c r="C21" s="26" t="n">
        <v>10000</v>
      </c>
      <c r="D21" s="26" t="n">
        <v>10000</v>
      </c>
      <c r="E21" s="81" t="n">
        <f aca="false">D21-C21</f>
        <v>0</v>
      </c>
      <c r="F21" s="26" t="n">
        <v>10000</v>
      </c>
      <c r="G21" s="26" t="n">
        <v>10000</v>
      </c>
      <c r="H21" s="81" t="n">
        <f aca="false">G21-F21</f>
        <v>0</v>
      </c>
      <c r="I21" s="26" t="n">
        <v>10000</v>
      </c>
      <c r="J21" s="26" t="n">
        <v>10000</v>
      </c>
      <c r="K21" s="81" t="n">
        <f aca="false">J21-I21</f>
        <v>0</v>
      </c>
      <c r="L21" s="26" t="n">
        <v>5000</v>
      </c>
      <c r="M21" s="26" t="n">
        <v>5000</v>
      </c>
      <c r="N21" s="81" t="n">
        <f aca="false">M21-L21</f>
        <v>0</v>
      </c>
      <c r="O21" s="26" t="n">
        <v>10000</v>
      </c>
      <c r="P21" s="26" t="n">
        <v>10000</v>
      </c>
      <c r="Q21" s="81" t="n">
        <f aca="false">P21-O21</f>
        <v>0</v>
      </c>
      <c r="R21" s="26" t="n">
        <f aca="false">5000+5000</f>
        <v>10000</v>
      </c>
      <c r="S21" s="26" t="n">
        <f aca="false">5000+5000</f>
        <v>10000</v>
      </c>
      <c r="T21" s="81" t="n">
        <f aca="false">S21-R21</f>
        <v>0</v>
      </c>
      <c r="U21" s="26" t="n">
        <f aca="false">5000+5000</f>
        <v>10000</v>
      </c>
      <c r="V21" s="26" t="n">
        <f aca="false">5000+5000</f>
        <v>10000</v>
      </c>
      <c r="W21" s="81" t="n">
        <f aca="false">V21-U21</f>
        <v>0</v>
      </c>
      <c r="X21" s="26" t="n">
        <f aca="false">5000+5000</f>
        <v>10000</v>
      </c>
      <c r="Y21" s="26" t="n">
        <f aca="false">5000+5000</f>
        <v>10000</v>
      </c>
      <c r="Z21" s="81" t="n">
        <f aca="false">Y21-X21</f>
        <v>0</v>
      </c>
      <c r="AA21" s="26" t="n">
        <f aca="false">5000+5000</f>
        <v>10000</v>
      </c>
      <c r="AB21" s="26" t="n">
        <f aca="false">5000+5000</f>
        <v>10000</v>
      </c>
      <c r="AC21" s="81" t="n">
        <f aca="false">AB21-AA21</f>
        <v>0</v>
      </c>
      <c r="AD21" s="26" t="n">
        <f aca="false">5000+5000</f>
        <v>10000</v>
      </c>
      <c r="AE21" s="26" t="n">
        <f aca="false">5000+5000</f>
        <v>10000</v>
      </c>
      <c r="AF21" s="81" t="n">
        <f aca="false">AE21-AD21</f>
        <v>0</v>
      </c>
      <c r="AG21" s="83" t="n">
        <v>65000</v>
      </c>
      <c r="AH21" s="83" t="n">
        <v>65000</v>
      </c>
      <c r="AI21" s="120" t="n">
        <f aca="false">AH21-AG21</f>
        <v>0</v>
      </c>
      <c r="AJ21" s="26" t="n">
        <f aca="false">5000+5000</f>
        <v>10000</v>
      </c>
      <c r="AK21" s="26" t="n">
        <f aca="false">5000+5000</f>
        <v>10000</v>
      </c>
      <c r="AL21" s="81" t="n">
        <f aca="false">AK21-AJ21</f>
        <v>0</v>
      </c>
      <c r="AM21" s="26"/>
      <c r="AN21" s="26"/>
      <c r="AO21" s="81" t="n">
        <f aca="false">AN21-AM21</f>
        <v>0</v>
      </c>
      <c r="AP21" s="26"/>
      <c r="AQ21" s="26"/>
      <c r="AR21" s="81" t="n">
        <f aca="false">AQ21-AP21</f>
        <v>0</v>
      </c>
      <c r="AS21" s="26"/>
      <c r="AT21" s="26"/>
      <c r="AU21" s="81" t="n">
        <f aca="false">AT21-AS21</f>
        <v>0</v>
      </c>
      <c r="AV21" s="26"/>
      <c r="AW21" s="26"/>
      <c r="AX21" s="81" t="n">
        <f aca="false">AW21-AV21</f>
        <v>0</v>
      </c>
      <c r="AY21" s="26"/>
      <c r="AZ21" s="26"/>
      <c r="BA21" s="81" t="n">
        <f aca="false">AZ21-AY21</f>
        <v>0</v>
      </c>
      <c r="BB21" s="26"/>
      <c r="BC21" s="26"/>
      <c r="BD21" s="81" t="n">
        <f aca="false">BC21-BB21</f>
        <v>0</v>
      </c>
      <c r="BE21" s="26"/>
      <c r="BF21" s="26"/>
      <c r="BG21" s="81" t="n">
        <f aca="false">BF21-BE21</f>
        <v>0</v>
      </c>
      <c r="BH21" s="26"/>
      <c r="BI21" s="26"/>
      <c r="BJ21" s="81" t="n">
        <f aca="false">BI21-BH21</f>
        <v>0</v>
      </c>
      <c r="BK21" s="26"/>
      <c r="BL21" s="26"/>
      <c r="BM21" s="81" t="n">
        <f aca="false">BL21-BK21</f>
        <v>0</v>
      </c>
      <c r="BN21" s="26"/>
      <c r="BO21" s="26"/>
      <c r="BP21" s="81" t="n">
        <f aca="false">BO21-BN21</f>
        <v>0</v>
      </c>
      <c r="BQ21" s="26"/>
      <c r="BR21" s="26"/>
      <c r="BS21" s="81" t="n">
        <f aca="false">BR21-BQ21</f>
        <v>0</v>
      </c>
      <c r="BT21" s="26"/>
      <c r="BU21" s="26"/>
      <c r="BV21" s="81" t="n">
        <f aca="false">BU21-BT21</f>
        <v>0</v>
      </c>
      <c r="BW21" s="26"/>
      <c r="BX21" s="26"/>
      <c r="BY21" s="81" t="n">
        <f aca="false">BX21-BW21</f>
        <v>0</v>
      </c>
      <c r="BZ21" s="26"/>
      <c r="CA21" s="26"/>
      <c r="CB21" s="81" t="n">
        <f aca="false">CA21-BZ21</f>
        <v>0</v>
      </c>
      <c r="CC21" s="26"/>
      <c r="CD21" s="26"/>
      <c r="CE21" s="81" t="n">
        <f aca="false">CD21-CC21</f>
        <v>0</v>
      </c>
      <c r="CF21" s="26"/>
      <c r="CG21" s="26"/>
      <c r="CH21" s="81" t="n">
        <f aca="false">CG21-CF21</f>
        <v>0</v>
      </c>
      <c r="CI21" s="26"/>
      <c r="CJ21" s="26"/>
      <c r="CK21" s="81" t="n">
        <f aca="false">CJ21-CI21</f>
        <v>0</v>
      </c>
      <c r="CL21" s="26"/>
      <c r="CM21" s="26"/>
      <c r="CN21" s="81" t="n">
        <f aca="false">CM21-CL21</f>
        <v>0</v>
      </c>
      <c r="CO21" s="26"/>
      <c r="CP21" s="26"/>
      <c r="CQ21" s="81" t="n">
        <f aca="false">CP21-CO21</f>
        <v>0</v>
      </c>
      <c r="CR21" s="26"/>
      <c r="CS21" s="26"/>
      <c r="CT21" s="81" t="n">
        <f aca="false">CS21-CR21</f>
        <v>0</v>
      </c>
      <c r="CU21" s="26"/>
      <c r="CV21" s="26"/>
      <c r="CW21" s="81" t="n">
        <f aca="false">CV21-CU21</f>
        <v>0</v>
      </c>
      <c r="CX21" s="26"/>
      <c r="CY21" s="26"/>
      <c r="CZ21" s="81" t="n">
        <f aca="false">CY21-CX21</f>
        <v>0</v>
      </c>
      <c r="DA21" s="26"/>
      <c r="DB21" s="26"/>
      <c r="DC21" s="81" t="n">
        <f aca="false">DB21-DA21</f>
        <v>0</v>
      </c>
      <c r="DD21" s="26"/>
      <c r="DE21" s="26"/>
      <c r="DF21" s="81" t="n">
        <f aca="false">DE21-DD21</f>
        <v>0</v>
      </c>
      <c r="DG21" s="26"/>
      <c r="DH21" s="26"/>
      <c r="DI21" s="81" t="n">
        <f aca="false">DH21-DG21</f>
        <v>0</v>
      </c>
      <c r="DJ21" s="26"/>
      <c r="DK21" s="26"/>
      <c r="DL21" s="81" t="n">
        <f aca="false">DK21-DJ21</f>
        <v>0</v>
      </c>
      <c r="DM21" s="26"/>
      <c r="DN21" s="26"/>
      <c r="DO21" s="81" t="n">
        <f aca="false">DN21-DM21</f>
        <v>0</v>
      </c>
      <c r="DP21" s="26"/>
      <c r="DQ21" s="26"/>
      <c r="DR21" s="81" t="n">
        <f aca="false">DQ21-DP21</f>
        <v>0</v>
      </c>
      <c r="DS21" s="26"/>
      <c r="DT21" s="26"/>
      <c r="DU21" s="81" t="n">
        <f aca="false">DT21-DS21</f>
        <v>0</v>
      </c>
      <c r="DV21" s="26"/>
      <c r="DW21" s="26"/>
      <c r="DX21" s="81" t="n">
        <f aca="false">DW21-DV21</f>
        <v>0</v>
      </c>
      <c r="DY21" s="26"/>
      <c r="DZ21" s="26"/>
      <c r="EA21" s="81" t="n">
        <f aca="false">DZ21-DY21</f>
        <v>0</v>
      </c>
      <c r="EB21" s="26"/>
      <c r="EC21" s="26"/>
      <c r="ED21" s="81" t="n">
        <f aca="false">EC21-EB21</f>
        <v>0</v>
      </c>
      <c r="EE21" s="26"/>
      <c r="EF21" s="26"/>
      <c r="EG21" s="81" t="n">
        <f aca="false">EF21-EE21</f>
        <v>0</v>
      </c>
      <c r="EH21" s="26"/>
      <c r="EI21" s="26"/>
      <c r="EJ21" s="81" t="n">
        <f aca="false">EI21-EH21</f>
        <v>0</v>
      </c>
      <c r="EK21" s="26"/>
      <c r="EL21" s="26"/>
      <c r="EM21" s="81" t="n">
        <f aca="false">EL21-EK21</f>
        <v>0</v>
      </c>
      <c r="EN21" s="26"/>
      <c r="EO21" s="26"/>
      <c r="EP21" s="81" t="n">
        <f aca="false">EO21-EN21</f>
        <v>0</v>
      </c>
      <c r="EQ21" s="81" t="n">
        <f aca="false">+C21+F21+I21+L21+O21+R21+U21+X21+AA21+AD21+AG21+AJ21+AM21+AP21+AS21+AV21+AY21+BB21+BE21+BH21+BK21+BN21+BQ21+BT21+BW21+BZ21+CC21+CF21+CI21+CL21+CO21+CR21+CU21+CX21+DA21+DD21+DG21+DJ21+DM21+DP21+DS21+DV21+DY21+EB21+EE21+EH21+EK21+EN21</f>
        <v>170000</v>
      </c>
      <c r="ER21" s="81" t="n">
        <f aca="false">+D21+G21+J21+M21+P21+S21+V21+Y21+AB21+AE21+AH21+AK21+AN21+AQ21+AT21+AW21+AZ21+BC21+BF21+BI21+BL21+BO21+BR21+BU21+BX21+CA21+CD21+CG21+CJ21+CM21+CP21+CS21+CV21+CY21+DB21+DE21+DH21+DK21+DN21+DQ21+DT21+DW21+DZ21+EC21+EF21+EI21+EL21+EO21</f>
        <v>170000</v>
      </c>
      <c r="ES21" s="81" t="n">
        <f aca="false">ER21-EQ21</f>
        <v>0</v>
      </c>
      <c r="ET21" s="26" t="n">
        <f aca="false">+ET20+ES21</f>
        <v>-184768</v>
      </c>
      <c r="EU21" s="87"/>
      <c r="EV21" s="81" t="n">
        <f aca="false">+EQ21-AG21</f>
        <v>105000</v>
      </c>
      <c r="EW21" s="81" t="n">
        <f aca="false">+ER21-AH21</f>
        <v>105000</v>
      </c>
      <c r="EX21" s="26" t="n">
        <f aca="false">+EW21-EV21</f>
        <v>0</v>
      </c>
      <c r="EY21" s="26" t="n">
        <f aca="false">+EY20+EX21</f>
        <v>-62654</v>
      </c>
      <c r="EZ21" s="87"/>
      <c r="FA21" s="26" t="n">
        <f aca="false">+AI21</f>
        <v>0</v>
      </c>
      <c r="FB21" s="26" t="n">
        <f aca="false">+FB20+FA21</f>
        <v>-122114</v>
      </c>
      <c r="FC21" s="87"/>
      <c r="FD21" s="87"/>
      <c r="FE21" s="87"/>
      <c r="FF21" s="87"/>
      <c r="FG21" s="87"/>
      <c r="FH21" s="87"/>
      <c r="FI21" s="87"/>
    </row>
    <row r="22" customFormat="false" ht="12.75" hidden="false" customHeight="false" outlineLevel="0" collapsed="false">
      <c r="A22" s="80" t="n">
        <f aca="false">+BaseloadMarkets!A22</f>
        <v>36724</v>
      </c>
      <c r="B22" s="80" t="str">
        <f aca="false">+BaseloadMarkets!B22</f>
        <v>Mon</v>
      </c>
      <c r="C22" s="26" t="n">
        <v>10000</v>
      </c>
      <c r="D22" s="26" t="n">
        <v>10000</v>
      </c>
      <c r="E22" s="81" t="n">
        <f aca="false">D22-C22</f>
        <v>0</v>
      </c>
      <c r="F22" s="26" t="n">
        <v>10000</v>
      </c>
      <c r="G22" s="26" t="n">
        <v>10000</v>
      </c>
      <c r="H22" s="81" t="n">
        <f aca="false">G22-F22</f>
        <v>0</v>
      </c>
      <c r="I22" s="26" t="n">
        <v>10000</v>
      </c>
      <c r="J22" s="26" t="n">
        <v>10000</v>
      </c>
      <c r="K22" s="81" t="n">
        <f aca="false">J22-I22</f>
        <v>0</v>
      </c>
      <c r="L22" s="26" t="n">
        <v>5000</v>
      </c>
      <c r="M22" s="26" t="n">
        <v>5000</v>
      </c>
      <c r="N22" s="81" t="n">
        <f aca="false">M22-L22</f>
        <v>0</v>
      </c>
      <c r="O22" s="26" t="n">
        <v>10000</v>
      </c>
      <c r="P22" s="26" t="n">
        <v>10000</v>
      </c>
      <c r="Q22" s="81" t="n">
        <f aca="false">P22-O22</f>
        <v>0</v>
      </c>
      <c r="R22" s="26" t="n">
        <f aca="false">5000+5000</f>
        <v>10000</v>
      </c>
      <c r="S22" s="26" t="n">
        <f aca="false">5000+5000</f>
        <v>10000</v>
      </c>
      <c r="T22" s="81" t="n">
        <f aca="false">S22-R22</f>
        <v>0</v>
      </c>
      <c r="U22" s="26" t="n">
        <f aca="false">5000+5000</f>
        <v>10000</v>
      </c>
      <c r="V22" s="26" t="n">
        <f aca="false">5000+5000</f>
        <v>10000</v>
      </c>
      <c r="W22" s="81" t="n">
        <f aca="false">V22-U22</f>
        <v>0</v>
      </c>
      <c r="X22" s="26" t="n">
        <f aca="false">5000+5000</f>
        <v>10000</v>
      </c>
      <c r="Y22" s="26" t="n">
        <f aca="false">5000+5000</f>
        <v>10000</v>
      </c>
      <c r="Z22" s="81" t="n">
        <f aca="false">Y22-X22</f>
        <v>0</v>
      </c>
      <c r="AA22" s="26" t="n">
        <f aca="false">5000+5000</f>
        <v>10000</v>
      </c>
      <c r="AB22" s="26" t="n">
        <f aca="false">5000+5000</f>
        <v>10000</v>
      </c>
      <c r="AC22" s="81" t="n">
        <f aca="false">AB22-AA22</f>
        <v>0</v>
      </c>
      <c r="AD22" s="26" t="n">
        <f aca="false">5000+5000</f>
        <v>10000</v>
      </c>
      <c r="AE22" s="26" t="n">
        <f aca="false">5000+5000</f>
        <v>10000</v>
      </c>
      <c r="AF22" s="81" t="n">
        <f aca="false">AE22-AD22</f>
        <v>0</v>
      </c>
      <c r="AG22" s="83" t="n">
        <v>65000</v>
      </c>
      <c r="AH22" s="83" t="n">
        <v>65000</v>
      </c>
      <c r="AI22" s="120" t="n">
        <f aca="false">AH22-AG22</f>
        <v>0</v>
      </c>
      <c r="AJ22" s="26" t="n">
        <f aca="false">5000+5000</f>
        <v>10000</v>
      </c>
      <c r="AK22" s="26" t="n">
        <f aca="false">5000+5000</f>
        <v>10000</v>
      </c>
      <c r="AL22" s="81" t="n">
        <f aca="false">AK22-AJ22</f>
        <v>0</v>
      </c>
      <c r="AM22" s="26"/>
      <c r="AN22" s="26"/>
      <c r="AO22" s="81" t="n">
        <f aca="false">AN22-AM22</f>
        <v>0</v>
      </c>
      <c r="AP22" s="26"/>
      <c r="AQ22" s="26"/>
      <c r="AR22" s="81" t="n">
        <f aca="false">AQ22-AP22</f>
        <v>0</v>
      </c>
      <c r="AS22" s="26"/>
      <c r="AT22" s="26"/>
      <c r="AU22" s="81" t="n">
        <f aca="false">AT22-AS22</f>
        <v>0</v>
      </c>
      <c r="AV22" s="26"/>
      <c r="AW22" s="26"/>
      <c r="AX22" s="81" t="n">
        <f aca="false">AW22-AV22</f>
        <v>0</v>
      </c>
      <c r="AY22" s="26"/>
      <c r="AZ22" s="26"/>
      <c r="BA22" s="81" t="n">
        <f aca="false">AZ22-AY22</f>
        <v>0</v>
      </c>
      <c r="BB22" s="26"/>
      <c r="BC22" s="26"/>
      <c r="BD22" s="81" t="n">
        <f aca="false">BC22-BB22</f>
        <v>0</v>
      </c>
      <c r="BE22" s="26"/>
      <c r="BF22" s="26"/>
      <c r="BG22" s="81" t="n">
        <f aca="false">BF22-BE22</f>
        <v>0</v>
      </c>
      <c r="BH22" s="26"/>
      <c r="BI22" s="26"/>
      <c r="BJ22" s="81" t="n">
        <f aca="false">BI22-BH22</f>
        <v>0</v>
      </c>
      <c r="BK22" s="26"/>
      <c r="BL22" s="26"/>
      <c r="BM22" s="81" t="n">
        <f aca="false">BL22-BK22</f>
        <v>0</v>
      </c>
      <c r="BN22" s="26"/>
      <c r="BO22" s="26"/>
      <c r="BP22" s="81" t="n">
        <f aca="false">BO22-BN22</f>
        <v>0</v>
      </c>
      <c r="BQ22" s="26"/>
      <c r="BR22" s="26"/>
      <c r="BS22" s="81" t="n">
        <f aca="false">BR22-BQ22</f>
        <v>0</v>
      </c>
      <c r="BT22" s="26"/>
      <c r="BU22" s="26"/>
      <c r="BV22" s="81" t="n">
        <f aca="false">BU22-BT22</f>
        <v>0</v>
      </c>
      <c r="BW22" s="26"/>
      <c r="BX22" s="26"/>
      <c r="BY22" s="81" t="n">
        <f aca="false">BX22-BW22</f>
        <v>0</v>
      </c>
      <c r="BZ22" s="26"/>
      <c r="CA22" s="26"/>
      <c r="CB22" s="81" t="n">
        <f aca="false">CA22-BZ22</f>
        <v>0</v>
      </c>
      <c r="CC22" s="26"/>
      <c r="CD22" s="26"/>
      <c r="CE22" s="81" t="n">
        <f aca="false">CD22-CC22</f>
        <v>0</v>
      </c>
      <c r="CF22" s="26"/>
      <c r="CG22" s="26"/>
      <c r="CH22" s="81" t="n">
        <f aca="false">CG22-CF22</f>
        <v>0</v>
      </c>
      <c r="CI22" s="26"/>
      <c r="CJ22" s="26"/>
      <c r="CK22" s="81" t="n">
        <f aca="false">CJ22-CI22</f>
        <v>0</v>
      </c>
      <c r="CL22" s="26"/>
      <c r="CM22" s="26"/>
      <c r="CN22" s="81" t="n">
        <f aca="false">CM22-CL22</f>
        <v>0</v>
      </c>
      <c r="CO22" s="26"/>
      <c r="CP22" s="26"/>
      <c r="CQ22" s="81" t="n">
        <f aca="false">CP22-CO22</f>
        <v>0</v>
      </c>
      <c r="CR22" s="26"/>
      <c r="CS22" s="26"/>
      <c r="CT22" s="81" t="n">
        <f aca="false">CS22-CR22</f>
        <v>0</v>
      </c>
      <c r="CU22" s="26"/>
      <c r="CV22" s="26"/>
      <c r="CW22" s="81" t="n">
        <f aca="false">CV22-CU22</f>
        <v>0</v>
      </c>
      <c r="CX22" s="26"/>
      <c r="CY22" s="26"/>
      <c r="CZ22" s="81" t="n">
        <f aca="false">CY22-CX22</f>
        <v>0</v>
      </c>
      <c r="DA22" s="26"/>
      <c r="DB22" s="26"/>
      <c r="DC22" s="81" t="n">
        <f aca="false">DB22-DA22</f>
        <v>0</v>
      </c>
      <c r="DD22" s="26"/>
      <c r="DE22" s="26"/>
      <c r="DF22" s="81" t="n">
        <f aca="false">DE22-DD22</f>
        <v>0</v>
      </c>
      <c r="DG22" s="26"/>
      <c r="DH22" s="26"/>
      <c r="DI22" s="81" t="n">
        <f aca="false">DH22-DG22</f>
        <v>0</v>
      </c>
      <c r="DJ22" s="26"/>
      <c r="DK22" s="26"/>
      <c r="DL22" s="81" t="n">
        <f aca="false">DK22-DJ22</f>
        <v>0</v>
      </c>
      <c r="DM22" s="26"/>
      <c r="DN22" s="26"/>
      <c r="DO22" s="81" t="n">
        <f aca="false">DN22-DM22</f>
        <v>0</v>
      </c>
      <c r="DP22" s="26"/>
      <c r="DQ22" s="26"/>
      <c r="DR22" s="81" t="n">
        <f aca="false">DQ22-DP22</f>
        <v>0</v>
      </c>
      <c r="DS22" s="26"/>
      <c r="DT22" s="26"/>
      <c r="DU22" s="81" t="n">
        <f aca="false">DT22-DS22</f>
        <v>0</v>
      </c>
      <c r="DV22" s="26"/>
      <c r="DW22" s="26"/>
      <c r="DX22" s="81" t="n">
        <f aca="false">DW22-DV22</f>
        <v>0</v>
      </c>
      <c r="DY22" s="26"/>
      <c r="DZ22" s="26"/>
      <c r="EA22" s="81" t="n">
        <f aca="false">DZ22-DY22</f>
        <v>0</v>
      </c>
      <c r="EB22" s="26"/>
      <c r="EC22" s="26"/>
      <c r="ED22" s="81" t="n">
        <f aca="false">EC22-EB22</f>
        <v>0</v>
      </c>
      <c r="EE22" s="26"/>
      <c r="EF22" s="26"/>
      <c r="EG22" s="81" t="n">
        <f aca="false">EF22-EE22</f>
        <v>0</v>
      </c>
      <c r="EH22" s="26"/>
      <c r="EI22" s="26"/>
      <c r="EJ22" s="81" t="n">
        <f aca="false">EI22-EH22</f>
        <v>0</v>
      </c>
      <c r="EK22" s="26"/>
      <c r="EL22" s="26"/>
      <c r="EM22" s="81" t="n">
        <f aca="false">EL22-EK22</f>
        <v>0</v>
      </c>
      <c r="EN22" s="26"/>
      <c r="EO22" s="26"/>
      <c r="EP22" s="81" t="n">
        <f aca="false">EO22-EN22</f>
        <v>0</v>
      </c>
      <c r="EQ22" s="81" t="n">
        <f aca="false">+C22+F22+I22+L22+O22+R22+U22+X22+AA22+AD22+AG22+AJ22+AM22+AP22+AS22+AV22+AY22+BB22+BE22+BH22+BK22+BN22+BQ22+BT22+BW22+BZ22+CC22+CF22+CI22+CL22+CO22+CR22+CU22+CX22+DA22+DD22+DG22+DJ22+DM22+DP22+DS22+DV22+DY22+EB22+EE22+EH22+EK22+EN22</f>
        <v>170000</v>
      </c>
      <c r="ER22" s="81" t="n">
        <f aca="false">+D22+G22+J22+M22+P22+S22+V22+Y22+AB22+AE22+AH22+AK22+AN22+AQ22+AT22+AW22+AZ22+BC22+BF22+BI22+BL22+BO22+BR22+BU22+BX22+CA22+CD22+CG22+CJ22+CM22+CP22+CS22+CV22+CY22+DB22+DE22+DH22+DK22+DN22+DQ22+DT22+DW22+DZ22+EC22+EF22+EI22+EL22+EO22</f>
        <v>170000</v>
      </c>
      <c r="ES22" s="81" t="n">
        <f aca="false">ER22-EQ22</f>
        <v>0</v>
      </c>
      <c r="ET22" s="26" t="n">
        <f aca="false">+ET21+ES22</f>
        <v>-184768</v>
      </c>
      <c r="EU22" s="87"/>
      <c r="EV22" s="81" t="n">
        <f aca="false">+EQ22-AG22</f>
        <v>105000</v>
      </c>
      <c r="EW22" s="81" t="n">
        <f aca="false">+ER22-AH22</f>
        <v>105000</v>
      </c>
      <c r="EX22" s="26" t="n">
        <f aca="false">+EW22-EV22</f>
        <v>0</v>
      </c>
      <c r="EY22" s="26" t="n">
        <f aca="false">+EY21+EX22</f>
        <v>-62654</v>
      </c>
      <c r="EZ22" s="87"/>
      <c r="FA22" s="26" t="n">
        <f aca="false">+AI22</f>
        <v>0</v>
      </c>
      <c r="FB22" s="26" t="n">
        <f aca="false">+FB21+FA22</f>
        <v>-122114</v>
      </c>
      <c r="FC22" s="87"/>
      <c r="FD22" s="87"/>
      <c r="FE22" s="87"/>
      <c r="FF22" s="87"/>
      <c r="FG22" s="87"/>
      <c r="FH22" s="87"/>
      <c r="FI22" s="87"/>
    </row>
    <row r="23" customFormat="false" ht="12.75" hidden="false" customHeight="false" outlineLevel="0" collapsed="false">
      <c r="A23" s="80" t="n">
        <f aca="false">+BaseloadMarkets!A23</f>
        <v>36725</v>
      </c>
      <c r="B23" s="80" t="str">
        <f aca="false">+BaseloadMarkets!B23</f>
        <v>Tues</v>
      </c>
      <c r="C23" s="26" t="n">
        <v>10000</v>
      </c>
      <c r="D23" s="26" t="n">
        <v>10000</v>
      </c>
      <c r="E23" s="81" t="n">
        <f aca="false">D23-C23</f>
        <v>0</v>
      </c>
      <c r="F23" s="26" t="n">
        <v>10000</v>
      </c>
      <c r="G23" s="26" t="n">
        <v>10000</v>
      </c>
      <c r="H23" s="81" t="n">
        <f aca="false">G23-F23</f>
        <v>0</v>
      </c>
      <c r="I23" s="26" t="n">
        <v>10000</v>
      </c>
      <c r="J23" s="26" t="n">
        <v>10000</v>
      </c>
      <c r="K23" s="81" t="n">
        <f aca="false">J23-I23</f>
        <v>0</v>
      </c>
      <c r="L23" s="26" t="n">
        <v>5000</v>
      </c>
      <c r="M23" s="26" t="n">
        <v>5000</v>
      </c>
      <c r="N23" s="81" t="n">
        <f aca="false">M23-L23</f>
        <v>0</v>
      </c>
      <c r="O23" s="26" t="n">
        <v>10000</v>
      </c>
      <c r="P23" s="26" t="n">
        <v>10000</v>
      </c>
      <c r="Q23" s="81" t="n">
        <f aca="false">P23-O23</f>
        <v>0</v>
      </c>
      <c r="R23" s="26" t="n">
        <f aca="false">5000+5000</f>
        <v>10000</v>
      </c>
      <c r="S23" s="26" t="n">
        <f aca="false">5000+5000</f>
        <v>10000</v>
      </c>
      <c r="T23" s="81" t="n">
        <f aca="false">S23-R23</f>
        <v>0</v>
      </c>
      <c r="U23" s="26" t="n">
        <f aca="false">5000+5000</f>
        <v>10000</v>
      </c>
      <c r="V23" s="26" t="n">
        <f aca="false">5000+5000</f>
        <v>10000</v>
      </c>
      <c r="W23" s="81" t="n">
        <f aca="false">V23-U23</f>
        <v>0</v>
      </c>
      <c r="X23" s="26" t="n">
        <f aca="false">5000+5000</f>
        <v>10000</v>
      </c>
      <c r="Y23" s="26" t="n">
        <f aca="false">5000+5000</f>
        <v>10000</v>
      </c>
      <c r="Z23" s="81" t="n">
        <f aca="false">Y23-X23</f>
        <v>0</v>
      </c>
      <c r="AA23" s="26" t="n">
        <f aca="false">5000+5000</f>
        <v>10000</v>
      </c>
      <c r="AB23" s="26" t="n">
        <f aca="false">5000+5000</f>
        <v>10000</v>
      </c>
      <c r="AC23" s="81" t="n">
        <f aca="false">AB23-AA23</f>
        <v>0</v>
      </c>
      <c r="AD23" s="26" t="n">
        <f aca="false">5000+5000</f>
        <v>10000</v>
      </c>
      <c r="AE23" s="26" t="n">
        <f aca="false">5000+5000</f>
        <v>10000</v>
      </c>
      <c r="AF23" s="81" t="n">
        <f aca="false">AE23-AD23</f>
        <v>0</v>
      </c>
      <c r="AG23" s="83" t="n">
        <v>370000</v>
      </c>
      <c r="AH23" s="83" t="n">
        <f aca="false">370000-10000+3008+3008</f>
        <v>366016</v>
      </c>
      <c r="AI23" s="120" t="n">
        <f aca="false">AH23-AG23</f>
        <v>-3984</v>
      </c>
      <c r="AJ23" s="26" t="n">
        <f aca="false">5000+5000</f>
        <v>10000</v>
      </c>
      <c r="AK23" s="26" t="n">
        <f aca="false">5000+5000</f>
        <v>10000</v>
      </c>
      <c r="AL23" s="81" t="n">
        <f aca="false">AK23-AJ23</f>
        <v>0</v>
      </c>
      <c r="AM23" s="26"/>
      <c r="AN23" s="26"/>
      <c r="AO23" s="81" t="n">
        <f aca="false">AN23-AM23</f>
        <v>0</v>
      </c>
      <c r="AP23" s="26"/>
      <c r="AQ23" s="26"/>
      <c r="AR23" s="81" t="n">
        <f aca="false">AQ23-AP23</f>
        <v>0</v>
      </c>
      <c r="AS23" s="26"/>
      <c r="AT23" s="26"/>
      <c r="AU23" s="81" t="n">
        <f aca="false">AT23-AS23</f>
        <v>0</v>
      </c>
      <c r="AV23" s="26"/>
      <c r="AW23" s="26"/>
      <c r="AX23" s="81" t="n">
        <f aca="false">AW23-AV23</f>
        <v>0</v>
      </c>
      <c r="AY23" s="26"/>
      <c r="AZ23" s="26"/>
      <c r="BA23" s="81" t="n">
        <f aca="false">AZ23-AY23</f>
        <v>0</v>
      </c>
      <c r="BB23" s="26"/>
      <c r="BC23" s="26"/>
      <c r="BD23" s="81" t="n">
        <f aca="false">BC23-BB23</f>
        <v>0</v>
      </c>
      <c r="BE23" s="26"/>
      <c r="BF23" s="26"/>
      <c r="BG23" s="81" t="n">
        <f aca="false">BF23-BE23</f>
        <v>0</v>
      </c>
      <c r="BH23" s="26"/>
      <c r="BI23" s="26"/>
      <c r="BJ23" s="81" t="n">
        <f aca="false">BI23-BH23</f>
        <v>0</v>
      </c>
      <c r="BK23" s="26"/>
      <c r="BL23" s="26"/>
      <c r="BM23" s="81" t="n">
        <f aca="false">BL23-BK23</f>
        <v>0</v>
      </c>
      <c r="BN23" s="26"/>
      <c r="BO23" s="26"/>
      <c r="BP23" s="81" t="n">
        <f aca="false">BO23-BN23</f>
        <v>0</v>
      </c>
      <c r="BQ23" s="26"/>
      <c r="BR23" s="26"/>
      <c r="BS23" s="81" t="n">
        <f aca="false">BR23-BQ23</f>
        <v>0</v>
      </c>
      <c r="BT23" s="26"/>
      <c r="BU23" s="26"/>
      <c r="BV23" s="81" t="n">
        <f aca="false">BU23-BT23</f>
        <v>0</v>
      </c>
      <c r="BW23" s="26"/>
      <c r="BX23" s="26"/>
      <c r="BY23" s="81" t="n">
        <f aca="false">BX23-BW23</f>
        <v>0</v>
      </c>
      <c r="BZ23" s="26"/>
      <c r="CA23" s="26"/>
      <c r="CB23" s="81" t="n">
        <f aca="false">CA23-BZ23</f>
        <v>0</v>
      </c>
      <c r="CC23" s="26"/>
      <c r="CD23" s="26"/>
      <c r="CE23" s="81" t="n">
        <f aca="false">CD23-CC23</f>
        <v>0</v>
      </c>
      <c r="CF23" s="26"/>
      <c r="CG23" s="26"/>
      <c r="CH23" s="81" t="n">
        <f aca="false">CG23-CF23</f>
        <v>0</v>
      </c>
      <c r="CI23" s="26"/>
      <c r="CJ23" s="26"/>
      <c r="CK23" s="81" t="n">
        <f aca="false">CJ23-CI23</f>
        <v>0</v>
      </c>
      <c r="CL23" s="26"/>
      <c r="CM23" s="26"/>
      <c r="CN23" s="81" t="n">
        <f aca="false">CM23-CL23</f>
        <v>0</v>
      </c>
      <c r="CO23" s="26"/>
      <c r="CP23" s="26"/>
      <c r="CQ23" s="81" t="n">
        <f aca="false">CP23-CO23</f>
        <v>0</v>
      </c>
      <c r="CR23" s="26"/>
      <c r="CS23" s="26"/>
      <c r="CT23" s="81" t="n">
        <f aca="false">CS23-CR23</f>
        <v>0</v>
      </c>
      <c r="CU23" s="26"/>
      <c r="CV23" s="26"/>
      <c r="CW23" s="81" t="n">
        <f aca="false">CV23-CU23</f>
        <v>0</v>
      </c>
      <c r="CX23" s="26"/>
      <c r="CY23" s="26"/>
      <c r="CZ23" s="81" t="n">
        <f aca="false">CY23-CX23</f>
        <v>0</v>
      </c>
      <c r="DA23" s="26"/>
      <c r="DB23" s="26"/>
      <c r="DC23" s="81" t="n">
        <f aca="false">DB23-DA23</f>
        <v>0</v>
      </c>
      <c r="DD23" s="26"/>
      <c r="DE23" s="26"/>
      <c r="DF23" s="81" t="n">
        <f aca="false">DE23-DD23</f>
        <v>0</v>
      </c>
      <c r="DG23" s="26"/>
      <c r="DH23" s="26"/>
      <c r="DI23" s="81" t="n">
        <f aca="false">DH23-DG23</f>
        <v>0</v>
      </c>
      <c r="DJ23" s="26"/>
      <c r="DK23" s="26"/>
      <c r="DL23" s="81" t="n">
        <f aca="false">DK23-DJ23</f>
        <v>0</v>
      </c>
      <c r="DM23" s="26"/>
      <c r="DN23" s="26"/>
      <c r="DO23" s="81" t="n">
        <f aca="false">DN23-DM23</f>
        <v>0</v>
      </c>
      <c r="DP23" s="26"/>
      <c r="DQ23" s="26"/>
      <c r="DR23" s="81" t="n">
        <f aca="false">DQ23-DP23</f>
        <v>0</v>
      </c>
      <c r="DS23" s="26"/>
      <c r="DT23" s="26"/>
      <c r="DU23" s="81" t="n">
        <f aca="false">DT23-DS23</f>
        <v>0</v>
      </c>
      <c r="DV23" s="26"/>
      <c r="DW23" s="26"/>
      <c r="DX23" s="81" t="n">
        <f aca="false">DW23-DV23</f>
        <v>0</v>
      </c>
      <c r="DY23" s="26"/>
      <c r="DZ23" s="26"/>
      <c r="EA23" s="81" t="n">
        <f aca="false">DZ23-DY23</f>
        <v>0</v>
      </c>
      <c r="EB23" s="26"/>
      <c r="EC23" s="26"/>
      <c r="ED23" s="81" t="n">
        <f aca="false">EC23-EB23</f>
        <v>0</v>
      </c>
      <c r="EE23" s="26"/>
      <c r="EF23" s="26"/>
      <c r="EG23" s="81" t="n">
        <f aca="false">EF23-EE23</f>
        <v>0</v>
      </c>
      <c r="EH23" s="26"/>
      <c r="EI23" s="26"/>
      <c r="EJ23" s="81" t="n">
        <f aca="false">EI23-EH23</f>
        <v>0</v>
      </c>
      <c r="EK23" s="26"/>
      <c r="EL23" s="26"/>
      <c r="EM23" s="81" t="n">
        <f aca="false">EL23-EK23</f>
        <v>0</v>
      </c>
      <c r="EN23" s="26"/>
      <c r="EO23" s="26"/>
      <c r="EP23" s="81" t="n">
        <f aca="false">EO23-EN23</f>
        <v>0</v>
      </c>
      <c r="EQ23" s="81" t="n">
        <f aca="false">+C23+F23+I23+L23+O23+R23+U23+X23+AA23+AD23+AG23+AJ23+AM23+AP23+AS23+AV23+AY23+BB23+BE23+BH23+BK23+BN23+BQ23+BT23+BW23+BZ23+CC23+CF23+CI23+CL23+CO23+CR23+CU23+CX23+DA23+DD23+DG23+DJ23+DM23+DP23+DS23+DV23+DY23+EB23+EE23+EH23+EK23+EN23</f>
        <v>475000</v>
      </c>
      <c r="ER23" s="81" t="n">
        <f aca="false">+D23+G23+J23+M23+P23+S23+V23+Y23+AB23+AE23+AH23+AK23+AN23+AQ23+AT23+AW23+AZ23+BC23+BF23+BI23+BL23+BO23+BR23+BU23+BX23+CA23+CD23+CG23+CJ23+CM23+CP23+CS23+CV23+CY23+DB23+DE23+DH23+DK23+DN23+DQ23+DT23+DW23+DZ23+EC23+EF23+EI23+EL23+EO23</f>
        <v>471016</v>
      </c>
      <c r="ES23" s="81" t="n">
        <f aca="false">ER23-EQ23</f>
        <v>-3984</v>
      </c>
      <c r="ET23" s="26" t="n">
        <f aca="false">+ET22+ES23</f>
        <v>-188752</v>
      </c>
      <c r="EU23" s="87"/>
      <c r="EV23" s="81" t="n">
        <f aca="false">+EQ23-AG23</f>
        <v>105000</v>
      </c>
      <c r="EW23" s="81" t="n">
        <f aca="false">+ER23-AH23</f>
        <v>105000</v>
      </c>
      <c r="EX23" s="26" t="n">
        <f aca="false">+EW23-EV23</f>
        <v>0</v>
      </c>
      <c r="EY23" s="26" t="n">
        <f aca="false">+EY22+EX23</f>
        <v>-62654</v>
      </c>
      <c r="EZ23" s="87"/>
      <c r="FA23" s="26" t="n">
        <f aca="false">+AI23</f>
        <v>-3984</v>
      </c>
      <c r="FB23" s="26" t="n">
        <f aca="false">+FB22+FA23</f>
        <v>-126098</v>
      </c>
      <c r="FC23" s="87"/>
      <c r="FD23" s="87"/>
      <c r="FE23" s="87"/>
      <c r="FF23" s="87"/>
      <c r="FG23" s="87"/>
      <c r="FH23" s="87"/>
      <c r="FI23" s="87"/>
    </row>
    <row r="24" customFormat="false" ht="12.75" hidden="false" customHeight="false" outlineLevel="0" collapsed="false">
      <c r="A24" s="80" t="n">
        <f aca="false">+BaseloadMarkets!A24</f>
        <v>36726</v>
      </c>
      <c r="B24" s="80" t="str">
        <f aca="false">+BaseloadMarkets!B24</f>
        <v>Wed</v>
      </c>
      <c r="C24" s="26" t="n">
        <v>10000</v>
      </c>
      <c r="D24" s="26" t="n">
        <v>10000</v>
      </c>
      <c r="E24" s="81" t="n">
        <f aca="false">D24-C24</f>
        <v>0</v>
      </c>
      <c r="F24" s="26" t="n">
        <v>10000</v>
      </c>
      <c r="G24" s="26" t="n">
        <v>10000</v>
      </c>
      <c r="H24" s="81" t="n">
        <f aca="false">G24-F24</f>
        <v>0</v>
      </c>
      <c r="I24" s="26" t="n">
        <v>10000</v>
      </c>
      <c r="J24" s="26" t="n">
        <v>10000</v>
      </c>
      <c r="K24" s="81" t="n">
        <f aca="false">J24-I24</f>
        <v>0</v>
      </c>
      <c r="L24" s="26" t="n">
        <v>5000</v>
      </c>
      <c r="M24" s="26" t="n">
        <v>5000</v>
      </c>
      <c r="N24" s="81" t="n">
        <f aca="false">M24-L24</f>
        <v>0</v>
      </c>
      <c r="O24" s="26" t="n">
        <v>10000</v>
      </c>
      <c r="P24" s="26" t="n">
        <v>10000</v>
      </c>
      <c r="Q24" s="81" t="n">
        <f aca="false">P24-O24</f>
        <v>0</v>
      </c>
      <c r="R24" s="26" t="n">
        <f aca="false">5000+5000</f>
        <v>10000</v>
      </c>
      <c r="S24" s="26" t="n">
        <f aca="false">5000+5000</f>
        <v>10000</v>
      </c>
      <c r="T24" s="81" t="n">
        <f aca="false">S24-R24</f>
        <v>0</v>
      </c>
      <c r="U24" s="26" t="n">
        <f aca="false">5000+5000</f>
        <v>10000</v>
      </c>
      <c r="V24" s="26" t="n">
        <f aca="false">5000+5000</f>
        <v>10000</v>
      </c>
      <c r="W24" s="81" t="n">
        <f aca="false">V24-U24</f>
        <v>0</v>
      </c>
      <c r="X24" s="26" t="n">
        <f aca="false">5000+5000</f>
        <v>10000</v>
      </c>
      <c r="Y24" s="26" t="n">
        <f aca="false">5000+5000</f>
        <v>10000</v>
      </c>
      <c r="Z24" s="81" t="n">
        <f aca="false">Y24-X24</f>
        <v>0</v>
      </c>
      <c r="AA24" s="26" t="n">
        <f aca="false">5000+5000</f>
        <v>10000</v>
      </c>
      <c r="AB24" s="26" t="n">
        <f aca="false">5000+5000</f>
        <v>10000</v>
      </c>
      <c r="AC24" s="81" t="n">
        <f aca="false">AB24-AA24</f>
        <v>0</v>
      </c>
      <c r="AD24" s="26" t="n">
        <f aca="false">5000+5000</f>
        <v>10000</v>
      </c>
      <c r="AE24" s="26" t="n">
        <f aca="false">5000+5000</f>
        <v>10000</v>
      </c>
      <c r="AF24" s="81" t="n">
        <f aca="false">AE24-AD24</f>
        <v>0</v>
      </c>
      <c r="AG24" s="83" t="n">
        <v>395000</v>
      </c>
      <c r="AH24" s="83" t="n">
        <f aca="false">395000-10000+5829-5000+2914-10000+5829</f>
        <v>384572</v>
      </c>
      <c r="AI24" s="120" t="n">
        <f aca="false">AH24-AG24</f>
        <v>-10428</v>
      </c>
      <c r="AJ24" s="26" t="n">
        <f aca="false">5000+5000</f>
        <v>10000</v>
      </c>
      <c r="AK24" s="26" t="n">
        <f aca="false">5000+5000</f>
        <v>10000</v>
      </c>
      <c r="AL24" s="81" t="n">
        <f aca="false">AK24-AJ24</f>
        <v>0</v>
      </c>
      <c r="AM24" s="26"/>
      <c r="AN24" s="26"/>
      <c r="AO24" s="81" t="n">
        <f aca="false">AN24-AM24</f>
        <v>0</v>
      </c>
      <c r="AP24" s="26"/>
      <c r="AQ24" s="26"/>
      <c r="AR24" s="81" t="n">
        <f aca="false">AQ24-AP24</f>
        <v>0</v>
      </c>
      <c r="AS24" s="26"/>
      <c r="AT24" s="26"/>
      <c r="AU24" s="81" t="n">
        <f aca="false">AT24-AS24</f>
        <v>0</v>
      </c>
      <c r="AV24" s="26"/>
      <c r="AW24" s="26"/>
      <c r="AX24" s="81" t="n">
        <f aca="false">AW24-AV24</f>
        <v>0</v>
      </c>
      <c r="AY24" s="26"/>
      <c r="AZ24" s="26"/>
      <c r="BA24" s="81" t="n">
        <f aca="false">AZ24-AY24</f>
        <v>0</v>
      </c>
      <c r="BB24" s="26"/>
      <c r="BC24" s="26"/>
      <c r="BD24" s="81" t="n">
        <f aca="false">BC24-BB24</f>
        <v>0</v>
      </c>
      <c r="BE24" s="26"/>
      <c r="BF24" s="26"/>
      <c r="BG24" s="81" t="n">
        <f aca="false">BF24-BE24</f>
        <v>0</v>
      </c>
      <c r="BH24" s="26"/>
      <c r="BI24" s="26"/>
      <c r="BJ24" s="81" t="n">
        <f aca="false">BI24-BH24</f>
        <v>0</v>
      </c>
      <c r="BK24" s="26"/>
      <c r="BL24" s="26"/>
      <c r="BM24" s="81" t="n">
        <f aca="false">BL24-BK24</f>
        <v>0</v>
      </c>
      <c r="BN24" s="26"/>
      <c r="BO24" s="26"/>
      <c r="BP24" s="81" t="n">
        <f aca="false">BO24-BN24</f>
        <v>0</v>
      </c>
      <c r="BQ24" s="26"/>
      <c r="BR24" s="26"/>
      <c r="BS24" s="81" t="n">
        <f aca="false">BR24-BQ24</f>
        <v>0</v>
      </c>
      <c r="BT24" s="26"/>
      <c r="BU24" s="26"/>
      <c r="BV24" s="81" t="n">
        <f aca="false">BU24-BT24</f>
        <v>0</v>
      </c>
      <c r="BW24" s="26"/>
      <c r="BX24" s="26"/>
      <c r="BY24" s="81" t="n">
        <f aca="false">BX24-BW24</f>
        <v>0</v>
      </c>
      <c r="BZ24" s="26"/>
      <c r="CA24" s="26"/>
      <c r="CB24" s="81" t="n">
        <f aca="false">CA24-BZ24</f>
        <v>0</v>
      </c>
      <c r="CC24" s="26"/>
      <c r="CD24" s="26"/>
      <c r="CE24" s="81" t="n">
        <f aca="false">CD24-CC24</f>
        <v>0</v>
      </c>
      <c r="CF24" s="26"/>
      <c r="CG24" s="26"/>
      <c r="CH24" s="81" t="n">
        <f aca="false">CG24-CF24</f>
        <v>0</v>
      </c>
      <c r="CI24" s="26"/>
      <c r="CJ24" s="26"/>
      <c r="CK24" s="81" t="n">
        <f aca="false">CJ24-CI24</f>
        <v>0</v>
      </c>
      <c r="CL24" s="26"/>
      <c r="CM24" s="26"/>
      <c r="CN24" s="81" t="n">
        <f aca="false">CM24-CL24</f>
        <v>0</v>
      </c>
      <c r="CO24" s="26"/>
      <c r="CP24" s="26"/>
      <c r="CQ24" s="81" t="n">
        <f aca="false">CP24-CO24</f>
        <v>0</v>
      </c>
      <c r="CR24" s="26"/>
      <c r="CS24" s="26"/>
      <c r="CT24" s="81" t="n">
        <f aca="false">CS24-CR24</f>
        <v>0</v>
      </c>
      <c r="CU24" s="26"/>
      <c r="CV24" s="26"/>
      <c r="CW24" s="81" t="n">
        <f aca="false">CV24-CU24</f>
        <v>0</v>
      </c>
      <c r="CX24" s="26"/>
      <c r="CY24" s="26"/>
      <c r="CZ24" s="81" t="n">
        <f aca="false">CY24-CX24</f>
        <v>0</v>
      </c>
      <c r="DA24" s="26"/>
      <c r="DB24" s="26"/>
      <c r="DC24" s="81" t="n">
        <f aca="false">DB24-DA24</f>
        <v>0</v>
      </c>
      <c r="DD24" s="26"/>
      <c r="DE24" s="26"/>
      <c r="DF24" s="81" t="n">
        <f aca="false">DE24-DD24</f>
        <v>0</v>
      </c>
      <c r="DG24" s="26"/>
      <c r="DH24" s="26"/>
      <c r="DI24" s="81" t="n">
        <f aca="false">DH24-DG24</f>
        <v>0</v>
      </c>
      <c r="DJ24" s="26"/>
      <c r="DK24" s="26"/>
      <c r="DL24" s="81" t="n">
        <f aca="false">DK24-DJ24</f>
        <v>0</v>
      </c>
      <c r="DM24" s="26"/>
      <c r="DN24" s="26"/>
      <c r="DO24" s="81" t="n">
        <f aca="false">DN24-DM24</f>
        <v>0</v>
      </c>
      <c r="DP24" s="26"/>
      <c r="DQ24" s="26"/>
      <c r="DR24" s="81" t="n">
        <f aca="false">DQ24-DP24</f>
        <v>0</v>
      </c>
      <c r="DS24" s="26"/>
      <c r="DT24" s="26"/>
      <c r="DU24" s="81" t="n">
        <f aca="false">DT24-DS24</f>
        <v>0</v>
      </c>
      <c r="DV24" s="26"/>
      <c r="DW24" s="26"/>
      <c r="DX24" s="81" t="n">
        <f aca="false">DW24-DV24</f>
        <v>0</v>
      </c>
      <c r="DY24" s="26"/>
      <c r="DZ24" s="26"/>
      <c r="EA24" s="81" t="n">
        <f aca="false">DZ24-DY24</f>
        <v>0</v>
      </c>
      <c r="EB24" s="26"/>
      <c r="EC24" s="26"/>
      <c r="ED24" s="81" t="n">
        <f aca="false">EC24-EB24</f>
        <v>0</v>
      </c>
      <c r="EE24" s="26"/>
      <c r="EF24" s="26"/>
      <c r="EG24" s="81" t="n">
        <f aca="false">EF24-EE24</f>
        <v>0</v>
      </c>
      <c r="EH24" s="26"/>
      <c r="EI24" s="26"/>
      <c r="EJ24" s="81" t="n">
        <f aca="false">EI24-EH24</f>
        <v>0</v>
      </c>
      <c r="EK24" s="26"/>
      <c r="EL24" s="26"/>
      <c r="EM24" s="81" t="n">
        <f aca="false">EL24-EK24</f>
        <v>0</v>
      </c>
      <c r="EN24" s="26"/>
      <c r="EO24" s="26"/>
      <c r="EP24" s="81" t="n">
        <f aca="false">EO24-EN24</f>
        <v>0</v>
      </c>
      <c r="EQ24" s="81" t="n">
        <f aca="false">+C24+F24+I24+L24+O24+R24+U24+X24+AA24+AD24+AG24+AJ24+AM24+AP24+AS24+AV24+AY24+BB24+BE24+BH24+BK24+BN24+BQ24+BT24+BW24+BZ24+CC24+CF24+CI24+CL24+CO24+CR24+CU24+CX24+DA24+DD24+DG24+DJ24+DM24+DP24+DS24+DV24+DY24+EB24+EE24+EH24+EK24+EN24</f>
        <v>500000</v>
      </c>
      <c r="ER24" s="81" t="n">
        <f aca="false">+D24+G24+J24+M24+P24+S24+V24+Y24+AB24+AE24+AH24+AK24+AN24+AQ24+AT24+AW24+AZ24+BC24+BF24+BI24+BL24+BO24+BR24+BU24+BX24+CA24+CD24+CG24+CJ24+CM24+CP24+CS24+CV24+CY24+DB24+DE24+DH24+DK24+DN24+DQ24+DT24+DW24+DZ24+EC24+EF24+EI24+EL24+EO24</f>
        <v>489572</v>
      </c>
      <c r="ES24" s="81" t="n">
        <f aca="false">ER24-EQ24</f>
        <v>-10428</v>
      </c>
      <c r="ET24" s="26" t="n">
        <f aca="false">+ET23+ES24</f>
        <v>-199180</v>
      </c>
      <c r="EU24" s="87"/>
      <c r="EV24" s="81" t="n">
        <f aca="false">+EQ24-AG24</f>
        <v>105000</v>
      </c>
      <c r="EW24" s="81" t="n">
        <f aca="false">+ER24-AH24</f>
        <v>105000</v>
      </c>
      <c r="EX24" s="26" t="n">
        <f aca="false">+EW24-EV24</f>
        <v>0</v>
      </c>
      <c r="EY24" s="26" t="n">
        <f aca="false">+EY23+EX24</f>
        <v>-62654</v>
      </c>
      <c r="EZ24" s="87"/>
      <c r="FA24" s="26" t="n">
        <f aca="false">+AI24</f>
        <v>-10428</v>
      </c>
      <c r="FB24" s="26" t="n">
        <f aca="false">+FB23+FA24</f>
        <v>-136526</v>
      </c>
      <c r="FC24" s="87"/>
      <c r="FD24" s="87"/>
      <c r="FE24" s="87"/>
      <c r="FF24" s="87"/>
      <c r="FG24" s="87"/>
      <c r="FH24" s="87"/>
      <c r="FI24" s="87"/>
    </row>
    <row r="25" customFormat="false" ht="12.75" hidden="false" customHeight="false" outlineLevel="0" collapsed="false">
      <c r="A25" s="80" t="n">
        <f aca="false">+BaseloadMarkets!A25</f>
        <v>36727</v>
      </c>
      <c r="B25" s="80" t="str">
        <f aca="false">+BaseloadMarkets!B25</f>
        <v>Thu</v>
      </c>
      <c r="C25" s="26" t="n">
        <v>10000</v>
      </c>
      <c r="D25" s="26" t="n">
        <v>10000</v>
      </c>
      <c r="E25" s="81" t="n">
        <f aca="false">D25-C25</f>
        <v>0</v>
      </c>
      <c r="F25" s="26" t="n">
        <v>10000</v>
      </c>
      <c r="G25" s="26" t="n">
        <v>10000</v>
      </c>
      <c r="H25" s="81" t="n">
        <f aca="false">G25-F25</f>
        <v>0</v>
      </c>
      <c r="I25" s="26" t="n">
        <v>10000</v>
      </c>
      <c r="J25" s="26" t="n">
        <v>10000</v>
      </c>
      <c r="K25" s="81" t="n">
        <f aca="false">J25-I25</f>
        <v>0</v>
      </c>
      <c r="L25" s="26" t="n">
        <v>5000</v>
      </c>
      <c r="M25" s="26" t="n">
        <v>5000</v>
      </c>
      <c r="N25" s="81" t="n">
        <f aca="false">M25-L25</f>
        <v>0</v>
      </c>
      <c r="O25" s="26" t="n">
        <v>10000</v>
      </c>
      <c r="P25" s="26" t="n">
        <v>10000</v>
      </c>
      <c r="Q25" s="81" t="n">
        <f aca="false">P25-O25</f>
        <v>0</v>
      </c>
      <c r="R25" s="26" t="n">
        <f aca="false">5000+5000</f>
        <v>10000</v>
      </c>
      <c r="S25" s="26" t="n">
        <f aca="false">5000+5000</f>
        <v>10000</v>
      </c>
      <c r="T25" s="81" t="n">
        <f aca="false">S25-R25</f>
        <v>0</v>
      </c>
      <c r="U25" s="26" t="n">
        <f aca="false">5000+5000</f>
        <v>10000</v>
      </c>
      <c r="V25" s="26" t="n">
        <f aca="false">5000+5000</f>
        <v>10000</v>
      </c>
      <c r="W25" s="81" t="n">
        <f aca="false">V25-U25</f>
        <v>0</v>
      </c>
      <c r="X25" s="26" t="n">
        <f aca="false">5000+5000</f>
        <v>10000</v>
      </c>
      <c r="Y25" s="26" t="n">
        <f aca="false">5000+5000</f>
        <v>10000</v>
      </c>
      <c r="Z25" s="81" t="n">
        <f aca="false">Y25-X25</f>
        <v>0</v>
      </c>
      <c r="AA25" s="26" t="n">
        <f aca="false">5000+5000</f>
        <v>10000</v>
      </c>
      <c r="AB25" s="26" t="n">
        <f aca="false">5000+5000</f>
        <v>10000</v>
      </c>
      <c r="AC25" s="81" t="n">
        <f aca="false">AB25-AA25</f>
        <v>0</v>
      </c>
      <c r="AD25" s="26" t="n">
        <f aca="false">5000+5000</f>
        <v>10000</v>
      </c>
      <c r="AE25" s="26" t="n">
        <f aca="false">5000+5000</f>
        <v>10000</v>
      </c>
      <c r="AF25" s="81" t="n">
        <f aca="false">AE25-AD25</f>
        <v>0</v>
      </c>
      <c r="AG25" s="83" t="n">
        <v>375000</v>
      </c>
      <c r="AH25" s="83" t="n">
        <f aca="false">375000-10000+6388</f>
        <v>371388</v>
      </c>
      <c r="AI25" s="120" t="n">
        <f aca="false">AH25-AG25</f>
        <v>-3612</v>
      </c>
      <c r="AJ25" s="26" t="n">
        <f aca="false">5000+5000</f>
        <v>10000</v>
      </c>
      <c r="AK25" s="26" t="n">
        <f aca="false">5000+5000</f>
        <v>10000</v>
      </c>
      <c r="AL25" s="81" t="n">
        <f aca="false">AK25-AJ25</f>
        <v>0</v>
      </c>
      <c r="AM25" s="26"/>
      <c r="AN25" s="26"/>
      <c r="AO25" s="81" t="n">
        <f aca="false">AN25-AM25</f>
        <v>0</v>
      </c>
      <c r="AP25" s="26"/>
      <c r="AQ25" s="26"/>
      <c r="AR25" s="81" t="n">
        <f aca="false">AQ25-AP25</f>
        <v>0</v>
      </c>
      <c r="AS25" s="26"/>
      <c r="AT25" s="26"/>
      <c r="AU25" s="81" t="n">
        <f aca="false">AT25-AS25</f>
        <v>0</v>
      </c>
      <c r="AV25" s="26"/>
      <c r="AW25" s="26"/>
      <c r="AX25" s="81" t="n">
        <f aca="false">AW25-AV25</f>
        <v>0</v>
      </c>
      <c r="AY25" s="26"/>
      <c r="AZ25" s="26"/>
      <c r="BA25" s="81" t="n">
        <f aca="false">AZ25-AY25</f>
        <v>0</v>
      </c>
      <c r="BB25" s="26"/>
      <c r="BC25" s="26"/>
      <c r="BD25" s="81" t="n">
        <f aca="false">BC25-BB25</f>
        <v>0</v>
      </c>
      <c r="BE25" s="26"/>
      <c r="BF25" s="26"/>
      <c r="BG25" s="81" t="n">
        <f aca="false">BF25-BE25</f>
        <v>0</v>
      </c>
      <c r="BH25" s="26"/>
      <c r="BI25" s="26"/>
      <c r="BJ25" s="81" t="n">
        <f aca="false">BI25-BH25</f>
        <v>0</v>
      </c>
      <c r="BK25" s="26"/>
      <c r="BL25" s="26"/>
      <c r="BM25" s="81" t="n">
        <f aca="false">BL25-BK25</f>
        <v>0</v>
      </c>
      <c r="BN25" s="26"/>
      <c r="BO25" s="26"/>
      <c r="BP25" s="81" t="n">
        <f aca="false">BO25-BN25</f>
        <v>0</v>
      </c>
      <c r="BQ25" s="26"/>
      <c r="BR25" s="26"/>
      <c r="BS25" s="81" t="n">
        <f aca="false">BR25-BQ25</f>
        <v>0</v>
      </c>
      <c r="BT25" s="26"/>
      <c r="BU25" s="26"/>
      <c r="BV25" s="81" t="n">
        <f aca="false">BU25-BT25</f>
        <v>0</v>
      </c>
      <c r="BW25" s="26"/>
      <c r="BX25" s="26"/>
      <c r="BY25" s="81" t="n">
        <f aca="false">BX25-BW25</f>
        <v>0</v>
      </c>
      <c r="BZ25" s="26"/>
      <c r="CA25" s="26"/>
      <c r="CB25" s="81" t="n">
        <f aca="false">CA25-BZ25</f>
        <v>0</v>
      </c>
      <c r="CC25" s="26"/>
      <c r="CD25" s="26"/>
      <c r="CE25" s="81" t="n">
        <f aca="false">CD25-CC25</f>
        <v>0</v>
      </c>
      <c r="CF25" s="26"/>
      <c r="CG25" s="26"/>
      <c r="CH25" s="81" t="n">
        <f aca="false">CG25-CF25</f>
        <v>0</v>
      </c>
      <c r="CI25" s="26"/>
      <c r="CJ25" s="26"/>
      <c r="CK25" s="81" t="n">
        <f aca="false">CJ25-CI25</f>
        <v>0</v>
      </c>
      <c r="CL25" s="26"/>
      <c r="CM25" s="26"/>
      <c r="CN25" s="81" t="n">
        <f aca="false">CM25-CL25</f>
        <v>0</v>
      </c>
      <c r="CO25" s="26"/>
      <c r="CP25" s="26"/>
      <c r="CQ25" s="81" t="n">
        <f aca="false">CP25-CO25</f>
        <v>0</v>
      </c>
      <c r="CR25" s="26"/>
      <c r="CS25" s="26"/>
      <c r="CT25" s="81" t="n">
        <f aca="false">CS25-CR25</f>
        <v>0</v>
      </c>
      <c r="CU25" s="26"/>
      <c r="CV25" s="26"/>
      <c r="CW25" s="81" t="n">
        <f aca="false">CV25-CU25</f>
        <v>0</v>
      </c>
      <c r="CX25" s="26"/>
      <c r="CY25" s="26"/>
      <c r="CZ25" s="81" t="n">
        <f aca="false">CY25-CX25</f>
        <v>0</v>
      </c>
      <c r="DA25" s="26"/>
      <c r="DB25" s="26"/>
      <c r="DC25" s="81" t="n">
        <f aca="false">DB25-DA25</f>
        <v>0</v>
      </c>
      <c r="DD25" s="26"/>
      <c r="DE25" s="26"/>
      <c r="DF25" s="81" t="n">
        <f aca="false">DE25-DD25</f>
        <v>0</v>
      </c>
      <c r="DG25" s="26"/>
      <c r="DH25" s="26"/>
      <c r="DI25" s="81" t="n">
        <f aca="false">DH25-DG25</f>
        <v>0</v>
      </c>
      <c r="DJ25" s="26"/>
      <c r="DK25" s="26"/>
      <c r="DL25" s="81" t="n">
        <f aca="false">DK25-DJ25</f>
        <v>0</v>
      </c>
      <c r="DM25" s="26"/>
      <c r="DN25" s="26"/>
      <c r="DO25" s="81" t="n">
        <f aca="false">DN25-DM25</f>
        <v>0</v>
      </c>
      <c r="DP25" s="26"/>
      <c r="DQ25" s="26"/>
      <c r="DR25" s="81" t="n">
        <f aca="false">DQ25-DP25</f>
        <v>0</v>
      </c>
      <c r="DS25" s="26"/>
      <c r="DT25" s="26"/>
      <c r="DU25" s="81" t="n">
        <f aca="false">DT25-DS25</f>
        <v>0</v>
      </c>
      <c r="DV25" s="26"/>
      <c r="DW25" s="26"/>
      <c r="DX25" s="81" t="n">
        <f aca="false">DW25-DV25</f>
        <v>0</v>
      </c>
      <c r="DY25" s="26"/>
      <c r="DZ25" s="26"/>
      <c r="EA25" s="81" t="n">
        <f aca="false">DZ25-DY25</f>
        <v>0</v>
      </c>
      <c r="EB25" s="26"/>
      <c r="EC25" s="26"/>
      <c r="ED25" s="81" t="n">
        <f aca="false">EC25-EB25</f>
        <v>0</v>
      </c>
      <c r="EE25" s="26"/>
      <c r="EF25" s="26"/>
      <c r="EG25" s="81" t="n">
        <f aca="false">EF25-EE25</f>
        <v>0</v>
      </c>
      <c r="EH25" s="26"/>
      <c r="EI25" s="26"/>
      <c r="EJ25" s="81" t="n">
        <f aca="false">EI25-EH25</f>
        <v>0</v>
      </c>
      <c r="EK25" s="26"/>
      <c r="EL25" s="26"/>
      <c r="EM25" s="81" t="n">
        <f aca="false">EL25-EK25</f>
        <v>0</v>
      </c>
      <c r="EN25" s="26"/>
      <c r="EO25" s="26"/>
      <c r="EP25" s="81" t="n">
        <f aca="false">EO25-EN25</f>
        <v>0</v>
      </c>
      <c r="EQ25" s="81" t="n">
        <f aca="false">+C25+F25+I25+L25+O25+R25+U25+X25+AA25+AD25+AG25+AJ25+AM25+AP25+AS25+AV25+AY25+BB25+BE25+BH25+BK25+BN25+BQ25+BT25+BW25+BZ25+CC25+CF25+CI25+CL25+CO25+CR25+CU25+CX25+DA25+DD25+DG25+DJ25+DM25+DP25+DS25+DV25+DY25+EB25+EE25+EH25+EK25+EN25</f>
        <v>480000</v>
      </c>
      <c r="ER25" s="81" t="n">
        <f aca="false">+D25+G25+J25+M25+P25+S25+V25+Y25+AB25+AE25+AH25+AK25+AN25+AQ25+AT25+AW25+AZ25+BC25+BF25+BI25+BL25+BO25+BR25+BU25+BX25+CA25+CD25+CG25+CJ25+CM25+CP25+CS25+CV25+CY25+DB25+DE25+DH25+DK25+DN25+DQ25+DT25+DW25+DZ25+EC25+EF25+EI25+EL25+EO25</f>
        <v>476388</v>
      </c>
      <c r="ES25" s="81" t="n">
        <f aca="false">ER25-EQ25</f>
        <v>-3612</v>
      </c>
      <c r="ET25" s="26" t="n">
        <f aca="false">+ET24+ES25</f>
        <v>-202792</v>
      </c>
      <c r="EU25" s="87"/>
      <c r="EV25" s="81" t="n">
        <f aca="false">+EQ25-AG25</f>
        <v>105000</v>
      </c>
      <c r="EW25" s="81" t="n">
        <f aca="false">+ER25-AH25</f>
        <v>105000</v>
      </c>
      <c r="EX25" s="26" t="n">
        <f aca="false">+EW25-EV25</f>
        <v>0</v>
      </c>
      <c r="EY25" s="26" t="n">
        <f aca="false">+EY24+EX25</f>
        <v>-62654</v>
      </c>
      <c r="EZ25" s="87"/>
      <c r="FA25" s="26" t="n">
        <f aca="false">+AI25</f>
        <v>-3612</v>
      </c>
      <c r="FB25" s="26" t="n">
        <f aca="false">+FB24+FA25</f>
        <v>-140138</v>
      </c>
      <c r="FC25" s="87"/>
      <c r="FD25" s="87"/>
      <c r="FE25" s="87"/>
      <c r="FF25" s="87"/>
      <c r="FG25" s="87"/>
      <c r="FH25" s="87"/>
      <c r="FI25" s="87"/>
    </row>
    <row r="26" customFormat="false" ht="12.75" hidden="false" customHeight="false" outlineLevel="0" collapsed="false">
      <c r="A26" s="80" t="n">
        <f aca="false">+BaseloadMarkets!A26</f>
        <v>36728</v>
      </c>
      <c r="B26" s="80" t="str">
        <f aca="false">+BaseloadMarkets!B26</f>
        <v>Fri</v>
      </c>
      <c r="C26" s="26" t="n">
        <v>10000</v>
      </c>
      <c r="D26" s="26" t="n">
        <v>10000</v>
      </c>
      <c r="E26" s="81" t="n">
        <f aca="false">D26-C26</f>
        <v>0</v>
      </c>
      <c r="F26" s="26" t="n">
        <v>10000</v>
      </c>
      <c r="G26" s="26" t="n">
        <v>10000</v>
      </c>
      <c r="H26" s="81" t="n">
        <f aca="false">G26-F26</f>
        <v>0</v>
      </c>
      <c r="I26" s="26" t="n">
        <v>10000</v>
      </c>
      <c r="J26" s="26" t="n">
        <v>10000</v>
      </c>
      <c r="K26" s="81" t="n">
        <f aca="false">J26-I26</f>
        <v>0</v>
      </c>
      <c r="L26" s="26" t="n">
        <v>5000</v>
      </c>
      <c r="M26" s="26" t="n">
        <v>5000</v>
      </c>
      <c r="N26" s="81" t="n">
        <f aca="false">M26-L26</f>
        <v>0</v>
      </c>
      <c r="O26" s="26" t="n">
        <v>10000</v>
      </c>
      <c r="P26" s="26" t="n">
        <v>10000</v>
      </c>
      <c r="Q26" s="81" t="n">
        <f aca="false">P26-O26</f>
        <v>0</v>
      </c>
      <c r="R26" s="26" t="n">
        <f aca="false">5000+5000</f>
        <v>10000</v>
      </c>
      <c r="S26" s="26" t="n">
        <f aca="false">5000+5000</f>
        <v>10000</v>
      </c>
      <c r="T26" s="81" t="n">
        <f aca="false">S26-R26</f>
        <v>0</v>
      </c>
      <c r="U26" s="26" t="n">
        <f aca="false">5000+5000</f>
        <v>10000</v>
      </c>
      <c r="V26" s="26" t="n">
        <f aca="false">5000+5000</f>
        <v>10000</v>
      </c>
      <c r="W26" s="81" t="n">
        <f aca="false">V26-U26</f>
        <v>0</v>
      </c>
      <c r="X26" s="26" t="n">
        <f aca="false">5000+5000</f>
        <v>10000</v>
      </c>
      <c r="Y26" s="26" t="n">
        <f aca="false">5000+5000</f>
        <v>10000</v>
      </c>
      <c r="Z26" s="81" t="n">
        <f aca="false">Y26-X26</f>
        <v>0</v>
      </c>
      <c r="AA26" s="26" t="n">
        <f aca="false">5000+5000</f>
        <v>10000</v>
      </c>
      <c r="AB26" s="26" t="n">
        <f aca="false">5000+5000</f>
        <v>10000</v>
      </c>
      <c r="AC26" s="81" t="n">
        <f aca="false">AB26-AA26</f>
        <v>0</v>
      </c>
      <c r="AD26" s="26" t="n">
        <f aca="false">5000+5000</f>
        <v>10000</v>
      </c>
      <c r="AE26" s="26" t="n">
        <f aca="false">5000+5000</f>
        <v>10000</v>
      </c>
      <c r="AF26" s="81" t="n">
        <f aca="false">AE26-AD26</f>
        <v>0</v>
      </c>
      <c r="AG26" s="83" t="n">
        <v>420000</v>
      </c>
      <c r="AH26" s="83" t="n">
        <f aca="false">420000-25000+16119</f>
        <v>411119</v>
      </c>
      <c r="AI26" s="120" t="n">
        <f aca="false">AH26-AG26</f>
        <v>-8881</v>
      </c>
      <c r="AJ26" s="26" t="n">
        <f aca="false">5000+5000</f>
        <v>10000</v>
      </c>
      <c r="AK26" s="26" t="n">
        <f aca="false">5000+5000</f>
        <v>10000</v>
      </c>
      <c r="AL26" s="81" t="n">
        <f aca="false">AK26-AJ26</f>
        <v>0</v>
      </c>
      <c r="AM26" s="26"/>
      <c r="AN26" s="26"/>
      <c r="AO26" s="81" t="n">
        <f aca="false">AN26-AM26</f>
        <v>0</v>
      </c>
      <c r="AP26" s="26"/>
      <c r="AQ26" s="26"/>
      <c r="AR26" s="81" t="n">
        <f aca="false">AQ26-AP26</f>
        <v>0</v>
      </c>
      <c r="AS26" s="26"/>
      <c r="AT26" s="26"/>
      <c r="AU26" s="81" t="n">
        <f aca="false">AT26-AS26</f>
        <v>0</v>
      </c>
      <c r="AV26" s="26"/>
      <c r="AW26" s="26"/>
      <c r="AX26" s="81" t="n">
        <f aca="false">AW26-AV26</f>
        <v>0</v>
      </c>
      <c r="AY26" s="26"/>
      <c r="AZ26" s="26"/>
      <c r="BA26" s="81" t="n">
        <f aca="false">AZ26-AY26</f>
        <v>0</v>
      </c>
      <c r="BB26" s="26"/>
      <c r="BC26" s="26"/>
      <c r="BD26" s="81" t="n">
        <f aca="false">BC26-BB26</f>
        <v>0</v>
      </c>
      <c r="BE26" s="26"/>
      <c r="BF26" s="26"/>
      <c r="BG26" s="81" t="n">
        <f aca="false">BF26-BE26</f>
        <v>0</v>
      </c>
      <c r="BH26" s="26"/>
      <c r="BI26" s="26"/>
      <c r="BJ26" s="81" t="n">
        <f aca="false">BI26-BH26</f>
        <v>0</v>
      </c>
      <c r="BK26" s="26"/>
      <c r="BL26" s="26"/>
      <c r="BM26" s="81" t="n">
        <f aca="false">BL26-BK26</f>
        <v>0</v>
      </c>
      <c r="BN26" s="26"/>
      <c r="BO26" s="26"/>
      <c r="BP26" s="81" t="n">
        <f aca="false">BO26-BN26</f>
        <v>0</v>
      </c>
      <c r="BQ26" s="26"/>
      <c r="BR26" s="26"/>
      <c r="BS26" s="81" t="n">
        <f aca="false">BR26-BQ26</f>
        <v>0</v>
      </c>
      <c r="BT26" s="26"/>
      <c r="BU26" s="26"/>
      <c r="BV26" s="81" t="n">
        <f aca="false">BU26-BT26</f>
        <v>0</v>
      </c>
      <c r="BW26" s="26"/>
      <c r="BX26" s="26"/>
      <c r="BY26" s="81" t="n">
        <f aca="false">BX26-BW26</f>
        <v>0</v>
      </c>
      <c r="BZ26" s="26"/>
      <c r="CA26" s="26"/>
      <c r="CB26" s="81" t="n">
        <f aca="false">CA26-BZ26</f>
        <v>0</v>
      </c>
      <c r="CC26" s="26"/>
      <c r="CD26" s="26"/>
      <c r="CE26" s="81" t="n">
        <f aca="false">CD26-CC26</f>
        <v>0</v>
      </c>
      <c r="CF26" s="26"/>
      <c r="CG26" s="26"/>
      <c r="CH26" s="81" t="n">
        <f aca="false">CG26-CF26</f>
        <v>0</v>
      </c>
      <c r="CI26" s="26"/>
      <c r="CJ26" s="26"/>
      <c r="CK26" s="81" t="n">
        <f aca="false">CJ26-CI26</f>
        <v>0</v>
      </c>
      <c r="CL26" s="26"/>
      <c r="CM26" s="26"/>
      <c r="CN26" s="81" t="n">
        <f aca="false">CM26-CL26</f>
        <v>0</v>
      </c>
      <c r="CO26" s="26"/>
      <c r="CP26" s="26"/>
      <c r="CQ26" s="81" t="n">
        <f aca="false">CP26-CO26</f>
        <v>0</v>
      </c>
      <c r="CR26" s="26"/>
      <c r="CS26" s="26"/>
      <c r="CT26" s="81" t="n">
        <f aca="false">CS26-CR26</f>
        <v>0</v>
      </c>
      <c r="CU26" s="26"/>
      <c r="CV26" s="26"/>
      <c r="CW26" s="81" t="n">
        <f aca="false">CV26-CU26</f>
        <v>0</v>
      </c>
      <c r="CX26" s="26"/>
      <c r="CY26" s="26"/>
      <c r="CZ26" s="81" t="n">
        <f aca="false">CY26-CX26</f>
        <v>0</v>
      </c>
      <c r="DA26" s="26"/>
      <c r="DB26" s="26"/>
      <c r="DC26" s="81" t="n">
        <f aca="false">DB26-DA26</f>
        <v>0</v>
      </c>
      <c r="DD26" s="26"/>
      <c r="DE26" s="26"/>
      <c r="DF26" s="81" t="n">
        <f aca="false">DE26-DD26</f>
        <v>0</v>
      </c>
      <c r="DG26" s="26"/>
      <c r="DH26" s="26"/>
      <c r="DI26" s="81" t="n">
        <f aca="false">DH26-DG26</f>
        <v>0</v>
      </c>
      <c r="DJ26" s="26"/>
      <c r="DK26" s="26"/>
      <c r="DL26" s="81" t="n">
        <f aca="false">DK26-DJ26</f>
        <v>0</v>
      </c>
      <c r="DM26" s="26"/>
      <c r="DN26" s="26"/>
      <c r="DO26" s="81" t="n">
        <f aca="false">DN26-DM26</f>
        <v>0</v>
      </c>
      <c r="DP26" s="26"/>
      <c r="DQ26" s="26"/>
      <c r="DR26" s="81" t="n">
        <f aca="false">DQ26-DP26</f>
        <v>0</v>
      </c>
      <c r="DS26" s="26"/>
      <c r="DT26" s="26"/>
      <c r="DU26" s="81" t="n">
        <f aca="false">DT26-DS26</f>
        <v>0</v>
      </c>
      <c r="DV26" s="26"/>
      <c r="DW26" s="26"/>
      <c r="DX26" s="81" t="n">
        <f aca="false">DW26-DV26</f>
        <v>0</v>
      </c>
      <c r="DY26" s="26"/>
      <c r="DZ26" s="26"/>
      <c r="EA26" s="81" t="n">
        <f aca="false">DZ26-DY26</f>
        <v>0</v>
      </c>
      <c r="EB26" s="26"/>
      <c r="EC26" s="26"/>
      <c r="ED26" s="81" t="n">
        <f aca="false">EC26-EB26</f>
        <v>0</v>
      </c>
      <c r="EE26" s="26"/>
      <c r="EF26" s="26"/>
      <c r="EG26" s="81" t="n">
        <f aca="false">EF26-EE26</f>
        <v>0</v>
      </c>
      <c r="EH26" s="26"/>
      <c r="EI26" s="26"/>
      <c r="EJ26" s="81" t="n">
        <f aca="false">EI26-EH26</f>
        <v>0</v>
      </c>
      <c r="EK26" s="26"/>
      <c r="EL26" s="26"/>
      <c r="EM26" s="81" t="n">
        <f aca="false">EL26-EK26</f>
        <v>0</v>
      </c>
      <c r="EN26" s="26"/>
      <c r="EO26" s="26"/>
      <c r="EP26" s="81" t="n">
        <f aca="false">EO26-EN26</f>
        <v>0</v>
      </c>
      <c r="EQ26" s="81" t="n">
        <f aca="false">+C26+F26+I26+L26+O26+R26+U26+X26+AA26+AD26+AG26+AJ26+AM26+AP26+AS26+AV26+AY26+BB26+BE26+BH26+BK26+BN26+BQ26+BT26+BW26+BZ26+CC26+CF26+CI26+CL26+CO26+CR26+CU26+CX26+DA26+DD26+DG26+DJ26+DM26+DP26+DS26+DV26+DY26+EB26+EE26+EH26+EK26+EN26</f>
        <v>525000</v>
      </c>
      <c r="ER26" s="81" t="n">
        <f aca="false">+D26+G26+J26+M26+P26+S26+V26+Y26+AB26+AE26+AH26+AK26+AN26+AQ26+AT26+AW26+AZ26+BC26+BF26+BI26+BL26+BO26+BR26+BU26+BX26+CA26+CD26+CG26+CJ26+CM26+CP26+CS26+CV26+CY26+DB26+DE26+DH26+DK26+DN26+DQ26+DT26+DW26+DZ26+EC26+EF26+EI26+EL26+EO26</f>
        <v>516119</v>
      </c>
      <c r="ES26" s="81" t="n">
        <f aca="false">ER26-EQ26</f>
        <v>-8881</v>
      </c>
      <c r="ET26" s="26" t="n">
        <f aca="false">+ET25+ES26</f>
        <v>-211673</v>
      </c>
      <c r="EU26" s="87"/>
      <c r="EV26" s="81" t="n">
        <f aca="false">+EQ26-AG26</f>
        <v>105000</v>
      </c>
      <c r="EW26" s="81" t="n">
        <f aca="false">+ER26-AH26</f>
        <v>105000</v>
      </c>
      <c r="EX26" s="26" t="n">
        <f aca="false">+EW26-EV26</f>
        <v>0</v>
      </c>
      <c r="EY26" s="26" t="n">
        <f aca="false">+EY25+EX26</f>
        <v>-62654</v>
      </c>
      <c r="EZ26" s="87"/>
      <c r="FA26" s="26" t="n">
        <f aca="false">+AI26</f>
        <v>-8881</v>
      </c>
      <c r="FB26" s="26" t="n">
        <f aca="false">+FB25+FA26</f>
        <v>-149019</v>
      </c>
      <c r="FC26" s="87"/>
      <c r="FD26" s="87"/>
      <c r="FE26" s="87"/>
      <c r="FF26" s="87"/>
      <c r="FG26" s="87"/>
      <c r="FH26" s="87"/>
      <c r="FI26" s="87"/>
    </row>
    <row r="27" customFormat="false" ht="12.75" hidden="false" customHeight="false" outlineLevel="0" collapsed="false">
      <c r="A27" s="80" t="n">
        <f aca="false">+BaseloadMarkets!A27</f>
        <v>36729</v>
      </c>
      <c r="B27" s="80" t="str">
        <f aca="false">+BaseloadMarkets!B27</f>
        <v>Sat</v>
      </c>
      <c r="C27" s="26" t="n">
        <v>10000</v>
      </c>
      <c r="D27" s="26" t="n">
        <v>10000</v>
      </c>
      <c r="E27" s="81" t="n">
        <f aca="false">D27-C27</f>
        <v>0</v>
      </c>
      <c r="F27" s="26" t="n">
        <v>10000</v>
      </c>
      <c r="G27" s="26" t="n">
        <v>10000</v>
      </c>
      <c r="H27" s="81" t="n">
        <f aca="false">G27-F27</f>
        <v>0</v>
      </c>
      <c r="I27" s="26" t="n">
        <v>10000</v>
      </c>
      <c r="J27" s="26" t="n">
        <v>10000</v>
      </c>
      <c r="K27" s="81" t="n">
        <f aca="false">J27-I27</f>
        <v>0</v>
      </c>
      <c r="L27" s="26" t="n">
        <v>5000</v>
      </c>
      <c r="M27" s="26" t="n">
        <v>5000</v>
      </c>
      <c r="N27" s="81" t="n">
        <f aca="false">M27-L27</f>
        <v>0</v>
      </c>
      <c r="O27" s="26" t="n">
        <v>10000</v>
      </c>
      <c r="P27" s="26" t="n">
        <v>10000</v>
      </c>
      <c r="Q27" s="81" t="n">
        <f aca="false">P27-O27</f>
        <v>0</v>
      </c>
      <c r="R27" s="26" t="n">
        <f aca="false">5000+5000</f>
        <v>10000</v>
      </c>
      <c r="S27" s="26" t="n">
        <f aca="false">5000+5000</f>
        <v>10000</v>
      </c>
      <c r="T27" s="81" t="n">
        <f aca="false">S27-R27</f>
        <v>0</v>
      </c>
      <c r="U27" s="26" t="n">
        <f aca="false">5000+5000</f>
        <v>10000</v>
      </c>
      <c r="V27" s="26" t="n">
        <f aca="false">5000+5000</f>
        <v>10000</v>
      </c>
      <c r="W27" s="81" t="n">
        <f aca="false">V27-U27</f>
        <v>0</v>
      </c>
      <c r="X27" s="26" t="n">
        <f aca="false">5000+5000</f>
        <v>10000</v>
      </c>
      <c r="Y27" s="26" t="n">
        <f aca="false">5000+5000</f>
        <v>10000</v>
      </c>
      <c r="Z27" s="81" t="n">
        <f aca="false">Y27-X27</f>
        <v>0</v>
      </c>
      <c r="AA27" s="26" t="n">
        <f aca="false">5000+5000</f>
        <v>10000</v>
      </c>
      <c r="AB27" s="26" t="n">
        <f aca="false">5000+5000</f>
        <v>10000</v>
      </c>
      <c r="AC27" s="81" t="n">
        <f aca="false">AB27-AA27</f>
        <v>0</v>
      </c>
      <c r="AD27" s="26" t="n">
        <f aca="false">5000+5000</f>
        <v>10000</v>
      </c>
      <c r="AE27" s="26" t="n">
        <f aca="false">5000+5000</f>
        <v>10000</v>
      </c>
      <c r="AF27" s="81" t="n">
        <f aca="false">AE27-AD27</f>
        <v>0</v>
      </c>
      <c r="AG27" s="83" t="n">
        <v>315000</v>
      </c>
      <c r="AH27" s="83" t="n">
        <f aca="false">315000-29540+22287-10000+6256</f>
        <v>304003</v>
      </c>
      <c r="AI27" s="120" t="n">
        <f aca="false">AH27-AG27</f>
        <v>-10997</v>
      </c>
      <c r="AJ27" s="26" t="n">
        <f aca="false">5000+5000</f>
        <v>10000</v>
      </c>
      <c r="AK27" s="26" t="n">
        <f aca="false">5000+5000</f>
        <v>10000</v>
      </c>
      <c r="AL27" s="81" t="n">
        <f aca="false">AK27-AJ27</f>
        <v>0</v>
      </c>
      <c r="AM27" s="26"/>
      <c r="AN27" s="26"/>
      <c r="AO27" s="81" t="n">
        <f aca="false">AN27-AM27</f>
        <v>0</v>
      </c>
      <c r="AP27" s="26"/>
      <c r="AQ27" s="26"/>
      <c r="AR27" s="81" t="n">
        <f aca="false">AQ27-AP27</f>
        <v>0</v>
      </c>
      <c r="AS27" s="26"/>
      <c r="AT27" s="26"/>
      <c r="AU27" s="81" t="n">
        <f aca="false">AT27-AS27</f>
        <v>0</v>
      </c>
      <c r="AV27" s="26"/>
      <c r="AW27" s="26"/>
      <c r="AX27" s="81" t="n">
        <f aca="false">AW27-AV27</f>
        <v>0</v>
      </c>
      <c r="AY27" s="26"/>
      <c r="AZ27" s="26"/>
      <c r="BA27" s="81" t="n">
        <f aca="false">AZ27-AY27</f>
        <v>0</v>
      </c>
      <c r="BB27" s="26"/>
      <c r="BC27" s="26"/>
      <c r="BD27" s="81" t="n">
        <f aca="false">BC27-BB27</f>
        <v>0</v>
      </c>
      <c r="BE27" s="26"/>
      <c r="BF27" s="26"/>
      <c r="BG27" s="81" t="n">
        <f aca="false">BF27-BE27</f>
        <v>0</v>
      </c>
      <c r="BH27" s="26"/>
      <c r="BI27" s="26"/>
      <c r="BJ27" s="81" t="n">
        <f aca="false">BI27-BH27</f>
        <v>0</v>
      </c>
      <c r="BK27" s="26"/>
      <c r="BL27" s="26"/>
      <c r="BM27" s="81" t="n">
        <f aca="false">BL27-BK27</f>
        <v>0</v>
      </c>
      <c r="BN27" s="26"/>
      <c r="BO27" s="26"/>
      <c r="BP27" s="81" t="n">
        <f aca="false">BO27-BN27</f>
        <v>0</v>
      </c>
      <c r="BQ27" s="26"/>
      <c r="BR27" s="26"/>
      <c r="BS27" s="81" t="n">
        <f aca="false">BR27-BQ27</f>
        <v>0</v>
      </c>
      <c r="BT27" s="26"/>
      <c r="BU27" s="26"/>
      <c r="BV27" s="81" t="n">
        <f aca="false">BU27-BT27</f>
        <v>0</v>
      </c>
      <c r="BW27" s="26"/>
      <c r="BX27" s="26"/>
      <c r="BY27" s="81" t="n">
        <f aca="false">BX27-BW27</f>
        <v>0</v>
      </c>
      <c r="BZ27" s="26"/>
      <c r="CA27" s="26"/>
      <c r="CB27" s="81" t="n">
        <f aca="false">CA27-BZ27</f>
        <v>0</v>
      </c>
      <c r="CC27" s="26"/>
      <c r="CD27" s="26"/>
      <c r="CE27" s="81" t="n">
        <f aca="false">CD27-CC27</f>
        <v>0</v>
      </c>
      <c r="CF27" s="26"/>
      <c r="CG27" s="26"/>
      <c r="CH27" s="81" t="n">
        <f aca="false">CG27-CF27</f>
        <v>0</v>
      </c>
      <c r="CI27" s="26"/>
      <c r="CJ27" s="26"/>
      <c r="CK27" s="81" t="n">
        <f aca="false">CJ27-CI27</f>
        <v>0</v>
      </c>
      <c r="CL27" s="26"/>
      <c r="CM27" s="26"/>
      <c r="CN27" s="81" t="n">
        <f aca="false">CM27-CL27</f>
        <v>0</v>
      </c>
      <c r="CO27" s="26"/>
      <c r="CP27" s="26"/>
      <c r="CQ27" s="81" t="n">
        <f aca="false">CP27-CO27</f>
        <v>0</v>
      </c>
      <c r="CR27" s="26"/>
      <c r="CS27" s="26"/>
      <c r="CT27" s="81" t="n">
        <f aca="false">CS27-CR27</f>
        <v>0</v>
      </c>
      <c r="CU27" s="26"/>
      <c r="CV27" s="26"/>
      <c r="CW27" s="81" t="n">
        <f aca="false">CV27-CU27</f>
        <v>0</v>
      </c>
      <c r="CX27" s="26"/>
      <c r="CY27" s="26"/>
      <c r="CZ27" s="81" t="n">
        <f aca="false">CY27-CX27</f>
        <v>0</v>
      </c>
      <c r="DA27" s="26"/>
      <c r="DB27" s="26"/>
      <c r="DC27" s="81" t="n">
        <f aca="false">DB27-DA27</f>
        <v>0</v>
      </c>
      <c r="DD27" s="26"/>
      <c r="DE27" s="26"/>
      <c r="DF27" s="81" t="n">
        <f aca="false">DE27-DD27</f>
        <v>0</v>
      </c>
      <c r="DG27" s="26"/>
      <c r="DH27" s="26"/>
      <c r="DI27" s="81" t="n">
        <f aca="false">DH27-DG27</f>
        <v>0</v>
      </c>
      <c r="DJ27" s="26"/>
      <c r="DK27" s="26"/>
      <c r="DL27" s="81" t="n">
        <f aca="false">DK27-DJ27</f>
        <v>0</v>
      </c>
      <c r="DM27" s="26"/>
      <c r="DN27" s="26"/>
      <c r="DO27" s="81" t="n">
        <f aca="false">DN27-DM27</f>
        <v>0</v>
      </c>
      <c r="DP27" s="26"/>
      <c r="DQ27" s="26"/>
      <c r="DR27" s="81" t="n">
        <f aca="false">DQ27-DP27</f>
        <v>0</v>
      </c>
      <c r="DS27" s="26"/>
      <c r="DT27" s="26"/>
      <c r="DU27" s="81" t="n">
        <f aca="false">DT27-DS27</f>
        <v>0</v>
      </c>
      <c r="DV27" s="26"/>
      <c r="DW27" s="26"/>
      <c r="DX27" s="81" t="n">
        <f aca="false">DW27-DV27</f>
        <v>0</v>
      </c>
      <c r="DY27" s="26"/>
      <c r="DZ27" s="26"/>
      <c r="EA27" s="81" t="n">
        <f aca="false">DZ27-DY27</f>
        <v>0</v>
      </c>
      <c r="EB27" s="26"/>
      <c r="EC27" s="26"/>
      <c r="ED27" s="81" t="n">
        <f aca="false">EC27-EB27</f>
        <v>0</v>
      </c>
      <c r="EE27" s="26"/>
      <c r="EF27" s="26"/>
      <c r="EG27" s="81" t="n">
        <f aca="false">EF27-EE27</f>
        <v>0</v>
      </c>
      <c r="EH27" s="26"/>
      <c r="EI27" s="26"/>
      <c r="EJ27" s="81" t="n">
        <f aca="false">EI27-EH27</f>
        <v>0</v>
      </c>
      <c r="EK27" s="26"/>
      <c r="EL27" s="26"/>
      <c r="EM27" s="81" t="n">
        <f aca="false">EL27-EK27</f>
        <v>0</v>
      </c>
      <c r="EN27" s="26"/>
      <c r="EO27" s="26"/>
      <c r="EP27" s="81" t="n">
        <f aca="false">EO27-EN27</f>
        <v>0</v>
      </c>
      <c r="EQ27" s="81" t="n">
        <f aca="false">+C27+F27+I27+L27+O27+R27+U27+X27+AA27+AD27+AG27+AJ27+AM27+AP27+AS27+AV27+AY27+BB27+BE27+BH27+BK27+BN27+BQ27+BT27+BW27+BZ27+CC27+CF27+CI27+CL27+CO27+CR27+CU27+CX27+DA27+DD27+DG27+DJ27+DM27+DP27+DS27+DV27+DY27+EB27+EE27+EH27+EK27+EN27</f>
        <v>420000</v>
      </c>
      <c r="ER27" s="81" t="n">
        <f aca="false">+D27+G27+J27+M27+P27+S27+V27+Y27+AB27+AE27+AH27+AK27+AN27+AQ27+AT27+AW27+AZ27+BC27+BF27+BI27+BL27+BO27+BR27+BU27+BX27+CA27+CD27+CG27+CJ27+CM27+CP27+CS27+CV27+CY27+DB27+DE27+DH27+DK27+DN27+DQ27+DT27+DW27+DZ27+EC27+EF27+EI27+EL27+EO27</f>
        <v>409003</v>
      </c>
      <c r="ES27" s="81" t="n">
        <f aca="false">ER27-EQ27</f>
        <v>-10997</v>
      </c>
      <c r="ET27" s="26" t="n">
        <f aca="false">+ET26+ES27</f>
        <v>-222670</v>
      </c>
      <c r="EU27" s="87"/>
      <c r="EV27" s="81" t="n">
        <f aca="false">+EQ27-AG27</f>
        <v>105000</v>
      </c>
      <c r="EW27" s="81" t="n">
        <f aca="false">+ER27-AH27</f>
        <v>105000</v>
      </c>
      <c r="EX27" s="26" t="n">
        <f aca="false">+EW27-EV27</f>
        <v>0</v>
      </c>
      <c r="EY27" s="26" t="n">
        <f aca="false">+EY26+EX27</f>
        <v>-62654</v>
      </c>
      <c r="EZ27" s="87"/>
      <c r="FA27" s="26" t="n">
        <f aca="false">+AI27</f>
        <v>-10997</v>
      </c>
      <c r="FB27" s="26" t="n">
        <f aca="false">+FB26+FA27</f>
        <v>-160016</v>
      </c>
      <c r="FC27" s="87"/>
      <c r="FD27" s="87"/>
      <c r="FE27" s="87"/>
      <c r="FF27" s="87"/>
      <c r="FG27" s="87"/>
      <c r="FH27" s="87"/>
      <c r="FI27" s="87"/>
    </row>
    <row r="28" customFormat="false" ht="12.75" hidden="false" customHeight="false" outlineLevel="0" collapsed="false">
      <c r="A28" s="80" t="n">
        <f aca="false">+BaseloadMarkets!A28</f>
        <v>36730</v>
      </c>
      <c r="B28" s="80" t="str">
        <f aca="false">+BaseloadMarkets!B28</f>
        <v>Sun</v>
      </c>
      <c r="C28" s="26" t="n">
        <v>10000</v>
      </c>
      <c r="D28" s="26" t="n">
        <v>10000</v>
      </c>
      <c r="E28" s="81" t="n">
        <f aca="false">D28-C28</f>
        <v>0</v>
      </c>
      <c r="F28" s="26" t="n">
        <v>10000</v>
      </c>
      <c r="G28" s="26" t="n">
        <v>10000</v>
      </c>
      <c r="H28" s="81" t="n">
        <f aca="false">G28-F28</f>
        <v>0</v>
      </c>
      <c r="I28" s="26" t="n">
        <v>10000</v>
      </c>
      <c r="J28" s="26" t="n">
        <v>10000</v>
      </c>
      <c r="K28" s="81" t="n">
        <f aca="false">J28-I28</f>
        <v>0</v>
      </c>
      <c r="L28" s="26" t="n">
        <v>5000</v>
      </c>
      <c r="M28" s="26" t="n">
        <v>5000</v>
      </c>
      <c r="N28" s="81" t="n">
        <f aca="false">M28-L28</f>
        <v>0</v>
      </c>
      <c r="O28" s="26" t="n">
        <v>10000</v>
      </c>
      <c r="P28" s="26" t="n">
        <v>10000</v>
      </c>
      <c r="Q28" s="81" t="n">
        <f aca="false">P28-O28</f>
        <v>0</v>
      </c>
      <c r="R28" s="26" t="n">
        <f aca="false">5000+5000</f>
        <v>10000</v>
      </c>
      <c r="S28" s="26" t="n">
        <f aca="false">5000+5000</f>
        <v>10000</v>
      </c>
      <c r="T28" s="81" t="n">
        <f aca="false">S28-R28</f>
        <v>0</v>
      </c>
      <c r="U28" s="26" t="n">
        <f aca="false">5000+5000</f>
        <v>10000</v>
      </c>
      <c r="V28" s="26" t="n">
        <f aca="false">5000+5000</f>
        <v>10000</v>
      </c>
      <c r="W28" s="81" t="n">
        <f aca="false">V28-U28</f>
        <v>0</v>
      </c>
      <c r="X28" s="26" t="n">
        <f aca="false">5000+5000</f>
        <v>10000</v>
      </c>
      <c r="Y28" s="26" t="n">
        <f aca="false">5000+5000</f>
        <v>10000</v>
      </c>
      <c r="Z28" s="81" t="n">
        <f aca="false">Y28-X28</f>
        <v>0</v>
      </c>
      <c r="AA28" s="26" t="n">
        <f aca="false">5000+5000</f>
        <v>10000</v>
      </c>
      <c r="AB28" s="26" t="n">
        <f aca="false">5000+5000</f>
        <v>10000</v>
      </c>
      <c r="AC28" s="81" t="n">
        <f aca="false">AB28-AA28</f>
        <v>0</v>
      </c>
      <c r="AD28" s="26" t="n">
        <f aca="false">5000+5000</f>
        <v>10000</v>
      </c>
      <c r="AE28" s="26" t="n">
        <f aca="false">5000+5000</f>
        <v>10000</v>
      </c>
      <c r="AF28" s="81" t="n">
        <f aca="false">AE28-AD28</f>
        <v>0</v>
      </c>
      <c r="AG28" s="83" t="n">
        <v>315000</v>
      </c>
      <c r="AH28" s="83" t="n">
        <f aca="false">315000-29540+24901-10000+6158</f>
        <v>306519</v>
      </c>
      <c r="AI28" s="120" t="n">
        <f aca="false">AH28-AG28</f>
        <v>-8481</v>
      </c>
      <c r="AJ28" s="26" t="n">
        <f aca="false">5000+5000</f>
        <v>10000</v>
      </c>
      <c r="AK28" s="26" t="n">
        <f aca="false">5000+5000</f>
        <v>10000</v>
      </c>
      <c r="AL28" s="81" t="n">
        <f aca="false">AK28-AJ28</f>
        <v>0</v>
      </c>
      <c r="AM28" s="26"/>
      <c r="AN28" s="26"/>
      <c r="AO28" s="81" t="n">
        <f aca="false">AN28-AM28</f>
        <v>0</v>
      </c>
      <c r="AP28" s="26"/>
      <c r="AQ28" s="26"/>
      <c r="AR28" s="81" t="n">
        <f aca="false">AQ28-AP28</f>
        <v>0</v>
      </c>
      <c r="AS28" s="26"/>
      <c r="AT28" s="26"/>
      <c r="AU28" s="81" t="n">
        <f aca="false">AT28-AS28</f>
        <v>0</v>
      </c>
      <c r="AV28" s="26"/>
      <c r="AW28" s="26"/>
      <c r="AX28" s="81" t="n">
        <f aca="false">AW28-AV28</f>
        <v>0</v>
      </c>
      <c r="AY28" s="26"/>
      <c r="AZ28" s="26"/>
      <c r="BA28" s="81" t="n">
        <f aca="false">AZ28-AY28</f>
        <v>0</v>
      </c>
      <c r="BB28" s="26"/>
      <c r="BC28" s="26"/>
      <c r="BD28" s="81" t="n">
        <f aca="false">BC28-BB28</f>
        <v>0</v>
      </c>
      <c r="BE28" s="26"/>
      <c r="BF28" s="26"/>
      <c r="BG28" s="81" t="n">
        <f aca="false">BF28-BE28</f>
        <v>0</v>
      </c>
      <c r="BH28" s="26"/>
      <c r="BI28" s="26"/>
      <c r="BJ28" s="81" t="n">
        <f aca="false">BI28-BH28</f>
        <v>0</v>
      </c>
      <c r="BK28" s="26"/>
      <c r="BL28" s="26"/>
      <c r="BM28" s="81" t="n">
        <f aca="false">BL28-BK28</f>
        <v>0</v>
      </c>
      <c r="BN28" s="26"/>
      <c r="BO28" s="26"/>
      <c r="BP28" s="81" t="n">
        <f aca="false">BO28-BN28</f>
        <v>0</v>
      </c>
      <c r="BQ28" s="26"/>
      <c r="BR28" s="26"/>
      <c r="BS28" s="81" t="n">
        <f aca="false">BR28-BQ28</f>
        <v>0</v>
      </c>
      <c r="BT28" s="26"/>
      <c r="BU28" s="26"/>
      <c r="BV28" s="81" t="n">
        <f aca="false">BU28-BT28</f>
        <v>0</v>
      </c>
      <c r="BW28" s="26"/>
      <c r="BX28" s="26"/>
      <c r="BY28" s="81" t="n">
        <f aca="false">BX28-BW28</f>
        <v>0</v>
      </c>
      <c r="BZ28" s="26"/>
      <c r="CA28" s="26"/>
      <c r="CB28" s="81" t="n">
        <f aca="false">CA28-BZ28</f>
        <v>0</v>
      </c>
      <c r="CC28" s="26"/>
      <c r="CD28" s="26"/>
      <c r="CE28" s="81" t="n">
        <f aca="false">CD28-CC28</f>
        <v>0</v>
      </c>
      <c r="CF28" s="26"/>
      <c r="CG28" s="26"/>
      <c r="CH28" s="81" t="n">
        <f aca="false">CG28-CF28</f>
        <v>0</v>
      </c>
      <c r="CI28" s="26"/>
      <c r="CJ28" s="26"/>
      <c r="CK28" s="81" t="n">
        <f aca="false">CJ28-CI28</f>
        <v>0</v>
      </c>
      <c r="CL28" s="26"/>
      <c r="CM28" s="26"/>
      <c r="CN28" s="81" t="n">
        <f aca="false">CM28-CL28</f>
        <v>0</v>
      </c>
      <c r="CO28" s="26"/>
      <c r="CP28" s="26"/>
      <c r="CQ28" s="81" t="n">
        <f aca="false">CP28-CO28</f>
        <v>0</v>
      </c>
      <c r="CR28" s="26"/>
      <c r="CS28" s="26"/>
      <c r="CT28" s="81" t="n">
        <f aca="false">CS28-CR28</f>
        <v>0</v>
      </c>
      <c r="CU28" s="26"/>
      <c r="CV28" s="26"/>
      <c r="CW28" s="81" t="n">
        <f aca="false">CV28-CU28</f>
        <v>0</v>
      </c>
      <c r="CX28" s="26"/>
      <c r="CY28" s="26"/>
      <c r="CZ28" s="81" t="n">
        <f aca="false">CY28-CX28</f>
        <v>0</v>
      </c>
      <c r="DA28" s="26"/>
      <c r="DB28" s="26"/>
      <c r="DC28" s="81" t="n">
        <f aca="false">DB28-DA28</f>
        <v>0</v>
      </c>
      <c r="DD28" s="26"/>
      <c r="DE28" s="26"/>
      <c r="DF28" s="81" t="n">
        <f aca="false">DE28-DD28</f>
        <v>0</v>
      </c>
      <c r="DG28" s="26"/>
      <c r="DH28" s="26"/>
      <c r="DI28" s="81" t="n">
        <f aca="false">DH28-DG28</f>
        <v>0</v>
      </c>
      <c r="DJ28" s="26"/>
      <c r="DK28" s="26"/>
      <c r="DL28" s="81" t="n">
        <f aca="false">DK28-DJ28</f>
        <v>0</v>
      </c>
      <c r="DM28" s="26"/>
      <c r="DN28" s="26"/>
      <c r="DO28" s="81" t="n">
        <f aca="false">DN28-DM28</f>
        <v>0</v>
      </c>
      <c r="DP28" s="26"/>
      <c r="DQ28" s="26"/>
      <c r="DR28" s="81" t="n">
        <f aca="false">DQ28-DP28</f>
        <v>0</v>
      </c>
      <c r="DS28" s="26"/>
      <c r="DT28" s="26"/>
      <c r="DU28" s="81" t="n">
        <f aca="false">DT28-DS28</f>
        <v>0</v>
      </c>
      <c r="DV28" s="26"/>
      <c r="DW28" s="26"/>
      <c r="DX28" s="81" t="n">
        <f aca="false">DW28-DV28</f>
        <v>0</v>
      </c>
      <c r="DY28" s="26"/>
      <c r="DZ28" s="26"/>
      <c r="EA28" s="81" t="n">
        <f aca="false">DZ28-DY28</f>
        <v>0</v>
      </c>
      <c r="EB28" s="26"/>
      <c r="EC28" s="26"/>
      <c r="ED28" s="81" t="n">
        <f aca="false">EC28-EB28</f>
        <v>0</v>
      </c>
      <c r="EE28" s="26"/>
      <c r="EF28" s="26"/>
      <c r="EG28" s="81" t="n">
        <f aca="false">EF28-EE28</f>
        <v>0</v>
      </c>
      <c r="EH28" s="26"/>
      <c r="EI28" s="26"/>
      <c r="EJ28" s="81" t="n">
        <f aca="false">EI28-EH28</f>
        <v>0</v>
      </c>
      <c r="EK28" s="26"/>
      <c r="EL28" s="26"/>
      <c r="EM28" s="81" t="n">
        <f aca="false">EL28-EK28</f>
        <v>0</v>
      </c>
      <c r="EN28" s="26"/>
      <c r="EO28" s="26"/>
      <c r="EP28" s="81" t="n">
        <f aca="false">EO28-EN28</f>
        <v>0</v>
      </c>
      <c r="EQ28" s="81" t="n">
        <f aca="false">+C28+F28+I28+L28+O28+R28+U28+X28+AA28+AD28+AG28+AJ28+AM28+AP28+AS28+AV28+AY28+BB28+BE28+BH28+BK28+BN28+BQ28+BT28+BW28+BZ28+CC28+CF28+CI28+CL28+CO28+CR28+CU28+CX28+DA28+DD28+DG28+DJ28+DM28+DP28+DS28+DV28+DY28+EB28+EE28+EH28+EK28+EN28</f>
        <v>420000</v>
      </c>
      <c r="ER28" s="81" t="n">
        <f aca="false">+D28+G28+J28+M28+P28+S28+V28+Y28+AB28+AE28+AH28+AK28+AN28+AQ28+AT28+AW28+AZ28+BC28+BF28+BI28+BL28+BO28+BR28+BU28+BX28+CA28+CD28+CG28+CJ28+CM28+CP28+CS28+CV28+CY28+DB28+DE28+DH28+DK28+DN28+DQ28+DT28+DW28+DZ28+EC28+EF28+EI28+EL28+EO28</f>
        <v>411519</v>
      </c>
      <c r="ES28" s="81" t="n">
        <f aca="false">ER28-EQ28</f>
        <v>-8481</v>
      </c>
      <c r="ET28" s="26" t="n">
        <f aca="false">+ET27+ES28</f>
        <v>-231151</v>
      </c>
      <c r="EU28" s="87"/>
      <c r="EV28" s="81" t="n">
        <f aca="false">+EQ28-AG28</f>
        <v>105000</v>
      </c>
      <c r="EW28" s="81" t="n">
        <f aca="false">+ER28-AH28</f>
        <v>105000</v>
      </c>
      <c r="EX28" s="26" t="n">
        <f aca="false">+EW28-EV28</f>
        <v>0</v>
      </c>
      <c r="EY28" s="26" t="n">
        <f aca="false">+EY27+EX28</f>
        <v>-62654</v>
      </c>
      <c r="EZ28" s="87"/>
      <c r="FA28" s="26" t="n">
        <f aca="false">+AI28</f>
        <v>-8481</v>
      </c>
      <c r="FB28" s="26" t="n">
        <f aca="false">+FB27+FA28</f>
        <v>-168497</v>
      </c>
      <c r="FC28" s="87"/>
      <c r="FD28" s="87"/>
      <c r="FE28" s="87"/>
      <c r="FF28" s="87"/>
      <c r="FG28" s="87"/>
      <c r="FH28" s="87"/>
      <c r="FI28" s="87"/>
    </row>
    <row r="29" customFormat="false" ht="12.75" hidden="false" customHeight="false" outlineLevel="0" collapsed="false">
      <c r="A29" s="80" t="n">
        <f aca="false">+BaseloadMarkets!A29</f>
        <v>36731</v>
      </c>
      <c r="B29" s="80" t="str">
        <f aca="false">+BaseloadMarkets!B29</f>
        <v>Mon</v>
      </c>
      <c r="C29" s="26" t="n">
        <v>10000</v>
      </c>
      <c r="D29" s="26" t="n">
        <v>10000</v>
      </c>
      <c r="E29" s="81" t="n">
        <f aca="false">D29-C29</f>
        <v>0</v>
      </c>
      <c r="F29" s="26" t="n">
        <v>10000</v>
      </c>
      <c r="G29" s="26" t="n">
        <v>10000</v>
      </c>
      <c r="H29" s="81" t="n">
        <f aca="false">G29-F29</f>
        <v>0</v>
      </c>
      <c r="I29" s="26" t="n">
        <v>10000</v>
      </c>
      <c r="J29" s="26" t="n">
        <v>10000</v>
      </c>
      <c r="K29" s="81" t="n">
        <f aca="false">J29-I29</f>
        <v>0</v>
      </c>
      <c r="L29" s="26" t="n">
        <v>5000</v>
      </c>
      <c r="M29" s="26" t="n">
        <v>5000</v>
      </c>
      <c r="N29" s="81" t="n">
        <f aca="false">M29-L29</f>
        <v>0</v>
      </c>
      <c r="O29" s="26" t="n">
        <v>10000</v>
      </c>
      <c r="P29" s="26" t="n">
        <v>10000</v>
      </c>
      <c r="Q29" s="81" t="n">
        <f aca="false">P29-O29</f>
        <v>0</v>
      </c>
      <c r="R29" s="26" t="n">
        <f aca="false">5000+5000</f>
        <v>10000</v>
      </c>
      <c r="S29" s="26" t="n">
        <f aca="false">5000+5000</f>
        <v>10000</v>
      </c>
      <c r="T29" s="81" t="n">
        <f aca="false">S29-R29</f>
        <v>0</v>
      </c>
      <c r="U29" s="26" t="n">
        <f aca="false">5000+5000</f>
        <v>10000</v>
      </c>
      <c r="V29" s="26" t="n">
        <f aca="false">5000+5000</f>
        <v>10000</v>
      </c>
      <c r="W29" s="81" t="n">
        <f aca="false">V29-U29</f>
        <v>0</v>
      </c>
      <c r="X29" s="26" t="n">
        <f aca="false">5000+5000</f>
        <v>10000</v>
      </c>
      <c r="Y29" s="26" t="n">
        <f aca="false">5000+5000</f>
        <v>10000</v>
      </c>
      <c r="Z29" s="81" t="n">
        <f aca="false">Y29-X29</f>
        <v>0</v>
      </c>
      <c r="AA29" s="26" t="n">
        <f aca="false">5000+5000</f>
        <v>10000</v>
      </c>
      <c r="AB29" s="26" t="n">
        <f aca="false">5000+5000</f>
        <v>10000</v>
      </c>
      <c r="AC29" s="81" t="n">
        <f aca="false">AB29-AA29</f>
        <v>0</v>
      </c>
      <c r="AD29" s="26" t="n">
        <f aca="false">5000+5000</f>
        <v>10000</v>
      </c>
      <c r="AE29" s="26" t="n">
        <f aca="false">5000+5000</f>
        <v>10000</v>
      </c>
      <c r="AF29" s="81" t="n">
        <f aca="false">AE29-AD29</f>
        <v>0</v>
      </c>
      <c r="AG29" s="83" t="n">
        <v>315000</v>
      </c>
      <c r="AH29" s="83" t="n">
        <f aca="false">315000-29540+18221-10000+6168</f>
        <v>299849</v>
      </c>
      <c r="AI29" s="120" t="n">
        <f aca="false">AH29-AG29</f>
        <v>-15151</v>
      </c>
      <c r="AJ29" s="26" t="n">
        <f aca="false">5000+5000</f>
        <v>10000</v>
      </c>
      <c r="AK29" s="26" t="n">
        <f aca="false">5000+5000</f>
        <v>10000</v>
      </c>
      <c r="AL29" s="81" t="n">
        <f aca="false">AK29-AJ29</f>
        <v>0</v>
      </c>
      <c r="AM29" s="26"/>
      <c r="AN29" s="26"/>
      <c r="AO29" s="81" t="n">
        <f aca="false">AN29-AM29</f>
        <v>0</v>
      </c>
      <c r="AP29" s="26"/>
      <c r="AQ29" s="26"/>
      <c r="AR29" s="81" t="n">
        <f aca="false">AQ29-AP29</f>
        <v>0</v>
      </c>
      <c r="AS29" s="26"/>
      <c r="AT29" s="26"/>
      <c r="AU29" s="81" t="n">
        <f aca="false">AT29-AS29</f>
        <v>0</v>
      </c>
      <c r="AV29" s="26"/>
      <c r="AW29" s="26"/>
      <c r="AX29" s="81" t="n">
        <f aca="false">AW29-AV29</f>
        <v>0</v>
      </c>
      <c r="AY29" s="26"/>
      <c r="AZ29" s="26"/>
      <c r="BA29" s="81" t="n">
        <f aca="false">AZ29-AY29</f>
        <v>0</v>
      </c>
      <c r="BB29" s="26"/>
      <c r="BC29" s="26"/>
      <c r="BD29" s="81" t="n">
        <f aca="false">BC29-BB29</f>
        <v>0</v>
      </c>
      <c r="BE29" s="26"/>
      <c r="BF29" s="26"/>
      <c r="BG29" s="81" t="n">
        <f aca="false">BF29-BE29</f>
        <v>0</v>
      </c>
      <c r="BH29" s="26"/>
      <c r="BI29" s="26"/>
      <c r="BJ29" s="81" t="n">
        <f aca="false">BI29-BH29</f>
        <v>0</v>
      </c>
      <c r="BK29" s="26"/>
      <c r="BL29" s="26"/>
      <c r="BM29" s="81" t="n">
        <f aca="false">BL29-BK29</f>
        <v>0</v>
      </c>
      <c r="BN29" s="26"/>
      <c r="BO29" s="26"/>
      <c r="BP29" s="81" t="n">
        <f aca="false">BO29-BN29</f>
        <v>0</v>
      </c>
      <c r="BQ29" s="26"/>
      <c r="BR29" s="26"/>
      <c r="BS29" s="81" t="n">
        <f aca="false">BR29-BQ29</f>
        <v>0</v>
      </c>
      <c r="BT29" s="26"/>
      <c r="BU29" s="26"/>
      <c r="BV29" s="81" t="n">
        <f aca="false">BU29-BT29</f>
        <v>0</v>
      </c>
      <c r="BW29" s="26"/>
      <c r="BX29" s="26"/>
      <c r="BY29" s="81" t="n">
        <f aca="false">BX29-BW29</f>
        <v>0</v>
      </c>
      <c r="BZ29" s="26"/>
      <c r="CA29" s="26"/>
      <c r="CB29" s="81" t="n">
        <f aca="false">CA29-BZ29</f>
        <v>0</v>
      </c>
      <c r="CC29" s="26"/>
      <c r="CD29" s="26"/>
      <c r="CE29" s="81" t="n">
        <f aca="false">CD29-CC29</f>
        <v>0</v>
      </c>
      <c r="CF29" s="26"/>
      <c r="CG29" s="26"/>
      <c r="CH29" s="81" t="n">
        <f aca="false">CG29-CF29</f>
        <v>0</v>
      </c>
      <c r="CI29" s="26"/>
      <c r="CJ29" s="26"/>
      <c r="CK29" s="81" t="n">
        <f aca="false">CJ29-CI29</f>
        <v>0</v>
      </c>
      <c r="CL29" s="26"/>
      <c r="CM29" s="26"/>
      <c r="CN29" s="81" t="n">
        <f aca="false">CM29-CL29</f>
        <v>0</v>
      </c>
      <c r="CO29" s="26"/>
      <c r="CP29" s="26"/>
      <c r="CQ29" s="81" t="n">
        <f aca="false">CP29-CO29</f>
        <v>0</v>
      </c>
      <c r="CR29" s="26"/>
      <c r="CS29" s="26"/>
      <c r="CT29" s="81" t="n">
        <f aca="false">CS29-CR29</f>
        <v>0</v>
      </c>
      <c r="CU29" s="26"/>
      <c r="CV29" s="26"/>
      <c r="CW29" s="81" t="n">
        <f aca="false">CV29-CU29</f>
        <v>0</v>
      </c>
      <c r="CX29" s="26"/>
      <c r="CY29" s="26"/>
      <c r="CZ29" s="81" t="n">
        <f aca="false">CY29-CX29</f>
        <v>0</v>
      </c>
      <c r="DA29" s="26"/>
      <c r="DB29" s="26"/>
      <c r="DC29" s="81" t="n">
        <f aca="false">DB29-DA29</f>
        <v>0</v>
      </c>
      <c r="DD29" s="26"/>
      <c r="DE29" s="26"/>
      <c r="DF29" s="81" t="n">
        <f aca="false">DE29-DD29</f>
        <v>0</v>
      </c>
      <c r="DG29" s="26"/>
      <c r="DH29" s="26"/>
      <c r="DI29" s="81" t="n">
        <f aca="false">DH29-DG29</f>
        <v>0</v>
      </c>
      <c r="DJ29" s="26"/>
      <c r="DK29" s="26"/>
      <c r="DL29" s="81" t="n">
        <f aca="false">DK29-DJ29</f>
        <v>0</v>
      </c>
      <c r="DM29" s="26"/>
      <c r="DN29" s="26"/>
      <c r="DO29" s="81" t="n">
        <f aca="false">DN29-DM29</f>
        <v>0</v>
      </c>
      <c r="DP29" s="26"/>
      <c r="DQ29" s="26"/>
      <c r="DR29" s="81" t="n">
        <f aca="false">DQ29-DP29</f>
        <v>0</v>
      </c>
      <c r="DS29" s="26"/>
      <c r="DT29" s="26"/>
      <c r="DU29" s="81" t="n">
        <f aca="false">DT29-DS29</f>
        <v>0</v>
      </c>
      <c r="DV29" s="26"/>
      <c r="DW29" s="26"/>
      <c r="DX29" s="81" t="n">
        <f aca="false">DW29-DV29</f>
        <v>0</v>
      </c>
      <c r="DY29" s="26"/>
      <c r="DZ29" s="26"/>
      <c r="EA29" s="81" t="n">
        <f aca="false">DZ29-DY29</f>
        <v>0</v>
      </c>
      <c r="EB29" s="26"/>
      <c r="EC29" s="26"/>
      <c r="ED29" s="81" t="n">
        <f aca="false">EC29-EB29</f>
        <v>0</v>
      </c>
      <c r="EE29" s="26"/>
      <c r="EF29" s="26"/>
      <c r="EG29" s="81" t="n">
        <f aca="false">EF29-EE29</f>
        <v>0</v>
      </c>
      <c r="EH29" s="26"/>
      <c r="EI29" s="26"/>
      <c r="EJ29" s="81" t="n">
        <f aca="false">EI29-EH29</f>
        <v>0</v>
      </c>
      <c r="EK29" s="26"/>
      <c r="EL29" s="26"/>
      <c r="EM29" s="81" t="n">
        <f aca="false">EL29-EK29</f>
        <v>0</v>
      </c>
      <c r="EN29" s="26"/>
      <c r="EO29" s="26"/>
      <c r="EP29" s="81" t="n">
        <f aca="false">EO29-EN29</f>
        <v>0</v>
      </c>
      <c r="EQ29" s="81" t="n">
        <f aca="false">+C29+F29+I29+L29+O29+R29+U29+X29+AA29+AD29+AG29+AJ29+AM29+AP29+AS29+AV29+AY29+BB29+BE29+BH29+BK29+BN29+BQ29+BT29+BW29+BZ29+CC29+CF29+CI29+CL29+CO29+CR29+CU29+CX29+DA29+DD29+DG29+DJ29+DM29+DP29+DS29+DV29+DY29+EB29+EE29+EH29+EK29+EN29</f>
        <v>420000</v>
      </c>
      <c r="ER29" s="81" t="n">
        <f aca="false">+D29+G29+J29+M29+P29+S29+V29+Y29+AB29+AE29+AH29+AK29+AN29+AQ29+AT29+AW29+AZ29+BC29+BF29+BI29+BL29+BO29+BR29+BU29+BX29+CA29+CD29+CG29+CJ29+CM29+CP29+CS29+CV29+CY29+DB29+DE29+DH29+DK29+DN29+DQ29+DT29+DW29+DZ29+EC29+EF29+EI29+EL29+EO29</f>
        <v>404849</v>
      </c>
      <c r="ES29" s="81" t="n">
        <f aca="false">ER29-EQ29</f>
        <v>-15151</v>
      </c>
      <c r="ET29" s="26" t="n">
        <f aca="false">+ET28+ES29</f>
        <v>-246302</v>
      </c>
      <c r="EU29" s="87"/>
      <c r="EV29" s="81" t="n">
        <f aca="false">+EQ29-AG29</f>
        <v>105000</v>
      </c>
      <c r="EW29" s="81" t="n">
        <f aca="false">+ER29-AH29</f>
        <v>105000</v>
      </c>
      <c r="EX29" s="26" t="n">
        <f aca="false">+EW29-EV29</f>
        <v>0</v>
      </c>
      <c r="EY29" s="26" t="n">
        <f aca="false">+EY28+EX29</f>
        <v>-62654</v>
      </c>
      <c r="EZ29" s="87"/>
      <c r="FA29" s="26" t="n">
        <f aca="false">+AI29</f>
        <v>-15151</v>
      </c>
      <c r="FB29" s="26" t="n">
        <f aca="false">+FB28+FA29</f>
        <v>-183648</v>
      </c>
      <c r="FC29" s="87"/>
      <c r="FD29" s="87"/>
      <c r="FE29" s="87"/>
      <c r="FF29" s="87"/>
      <c r="FG29" s="87"/>
      <c r="FH29" s="87"/>
      <c r="FI29" s="87"/>
    </row>
    <row r="30" customFormat="false" ht="12.75" hidden="false" customHeight="false" outlineLevel="0" collapsed="false">
      <c r="A30" s="80" t="n">
        <f aca="false">+BaseloadMarkets!A30</f>
        <v>36732</v>
      </c>
      <c r="B30" s="80" t="str">
        <f aca="false">+BaseloadMarkets!B30</f>
        <v>Tues</v>
      </c>
      <c r="C30" s="26" t="n">
        <v>10000</v>
      </c>
      <c r="D30" s="26" t="n">
        <v>10000</v>
      </c>
      <c r="E30" s="81" t="n">
        <f aca="false">D30-C30</f>
        <v>0</v>
      </c>
      <c r="F30" s="26" t="n">
        <v>10000</v>
      </c>
      <c r="G30" s="26" t="n">
        <v>10000</v>
      </c>
      <c r="H30" s="81" t="n">
        <f aca="false">G30-F30</f>
        <v>0</v>
      </c>
      <c r="I30" s="26" t="n">
        <v>10000</v>
      </c>
      <c r="J30" s="26" t="n">
        <v>10000</v>
      </c>
      <c r="K30" s="81" t="n">
        <f aca="false">J30-I30</f>
        <v>0</v>
      </c>
      <c r="L30" s="26" t="n">
        <v>5000</v>
      </c>
      <c r="M30" s="26" t="n">
        <v>5000</v>
      </c>
      <c r="N30" s="81" t="n">
        <f aca="false">M30-L30</f>
        <v>0</v>
      </c>
      <c r="O30" s="26" t="n">
        <v>10000</v>
      </c>
      <c r="P30" s="26" t="n">
        <v>10000</v>
      </c>
      <c r="Q30" s="81" t="n">
        <f aca="false">P30-O30</f>
        <v>0</v>
      </c>
      <c r="R30" s="26" t="n">
        <f aca="false">5000+5000</f>
        <v>10000</v>
      </c>
      <c r="S30" s="26" t="n">
        <f aca="false">5000+5000</f>
        <v>10000</v>
      </c>
      <c r="T30" s="81" t="n">
        <f aca="false">S30-R30</f>
        <v>0</v>
      </c>
      <c r="U30" s="26" t="n">
        <f aca="false">5000+5000</f>
        <v>10000</v>
      </c>
      <c r="V30" s="26" t="n">
        <f aca="false">5000+5000</f>
        <v>10000</v>
      </c>
      <c r="W30" s="81" t="n">
        <f aca="false">V30-U30</f>
        <v>0</v>
      </c>
      <c r="X30" s="26" t="n">
        <f aca="false">5000+5000</f>
        <v>10000</v>
      </c>
      <c r="Y30" s="26" t="n">
        <f aca="false">5000+5000</f>
        <v>10000</v>
      </c>
      <c r="Z30" s="81" t="n">
        <f aca="false">Y30-X30</f>
        <v>0</v>
      </c>
      <c r="AA30" s="26" t="n">
        <f aca="false">5000+5000</f>
        <v>10000</v>
      </c>
      <c r="AB30" s="26" t="n">
        <f aca="false">5000+5000</f>
        <v>10000</v>
      </c>
      <c r="AC30" s="81" t="n">
        <f aca="false">AB30-AA30</f>
        <v>0</v>
      </c>
      <c r="AD30" s="26" t="n">
        <f aca="false">5000+5000</f>
        <v>10000</v>
      </c>
      <c r="AE30" s="26" t="n">
        <f aca="false">5000+5000</f>
        <v>10000</v>
      </c>
      <c r="AF30" s="81" t="n">
        <f aca="false">AE30-AD30</f>
        <v>0</v>
      </c>
      <c r="AG30" s="83" t="n">
        <v>250000</v>
      </c>
      <c r="AH30" s="83" t="n">
        <f aca="false">250000-9000+6572-20000+14604</f>
        <v>242176</v>
      </c>
      <c r="AI30" s="120" t="n">
        <f aca="false">AH30-AG30</f>
        <v>-7824</v>
      </c>
      <c r="AJ30" s="26" t="n">
        <f aca="false">5000+5000</f>
        <v>10000</v>
      </c>
      <c r="AK30" s="26" t="n">
        <f aca="false">5000+5000</f>
        <v>10000</v>
      </c>
      <c r="AL30" s="81" t="n">
        <f aca="false">AK30-AJ30</f>
        <v>0</v>
      </c>
      <c r="AM30" s="26"/>
      <c r="AN30" s="26"/>
      <c r="AO30" s="81" t="n">
        <f aca="false">AN30-AM30</f>
        <v>0</v>
      </c>
      <c r="AP30" s="26"/>
      <c r="AQ30" s="26"/>
      <c r="AR30" s="81" t="n">
        <f aca="false">AQ30-AP30</f>
        <v>0</v>
      </c>
      <c r="AS30" s="26"/>
      <c r="AT30" s="26"/>
      <c r="AU30" s="81" t="n">
        <f aca="false">AT30-AS30</f>
        <v>0</v>
      </c>
      <c r="AV30" s="26"/>
      <c r="AW30" s="26"/>
      <c r="AX30" s="81" t="n">
        <f aca="false">AW30-AV30</f>
        <v>0</v>
      </c>
      <c r="AY30" s="26"/>
      <c r="AZ30" s="26"/>
      <c r="BA30" s="81" t="n">
        <f aca="false">AZ30-AY30</f>
        <v>0</v>
      </c>
      <c r="BB30" s="26"/>
      <c r="BC30" s="26"/>
      <c r="BD30" s="81" t="n">
        <f aca="false">BC30-BB30</f>
        <v>0</v>
      </c>
      <c r="BE30" s="26"/>
      <c r="BF30" s="26"/>
      <c r="BG30" s="81" t="n">
        <f aca="false">BF30-BE30</f>
        <v>0</v>
      </c>
      <c r="BH30" s="26"/>
      <c r="BI30" s="26"/>
      <c r="BJ30" s="81" t="n">
        <f aca="false">BI30-BH30</f>
        <v>0</v>
      </c>
      <c r="BK30" s="26"/>
      <c r="BL30" s="26"/>
      <c r="BM30" s="81" t="n">
        <f aca="false">BL30-BK30</f>
        <v>0</v>
      </c>
      <c r="BN30" s="26"/>
      <c r="BO30" s="26"/>
      <c r="BP30" s="81" t="n">
        <f aca="false">BO30-BN30</f>
        <v>0</v>
      </c>
      <c r="BQ30" s="26"/>
      <c r="BR30" s="26"/>
      <c r="BS30" s="81" t="n">
        <f aca="false">BR30-BQ30</f>
        <v>0</v>
      </c>
      <c r="BT30" s="26"/>
      <c r="BU30" s="26"/>
      <c r="BV30" s="81" t="n">
        <f aca="false">BU30-BT30</f>
        <v>0</v>
      </c>
      <c r="BW30" s="26"/>
      <c r="BX30" s="26"/>
      <c r="BY30" s="81" t="n">
        <f aca="false">BX30-BW30</f>
        <v>0</v>
      </c>
      <c r="BZ30" s="26"/>
      <c r="CA30" s="26"/>
      <c r="CB30" s="81" t="n">
        <f aca="false">CA30-BZ30</f>
        <v>0</v>
      </c>
      <c r="CC30" s="26"/>
      <c r="CD30" s="26"/>
      <c r="CE30" s="81" t="n">
        <f aca="false">CD30-CC30</f>
        <v>0</v>
      </c>
      <c r="CF30" s="26"/>
      <c r="CG30" s="26"/>
      <c r="CH30" s="81" t="n">
        <f aca="false">CG30-CF30</f>
        <v>0</v>
      </c>
      <c r="CI30" s="26"/>
      <c r="CJ30" s="26"/>
      <c r="CK30" s="81" t="n">
        <f aca="false">CJ30-CI30</f>
        <v>0</v>
      </c>
      <c r="CL30" s="26"/>
      <c r="CM30" s="26"/>
      <c r="CN30" s="81" t="n">
        <f aca="false">CM30-CL30</f>
        <v>0</v>
      </c>
      <c r="CO30" s="26"/>
      <c r="CP30" s="26"/>
      <c r="CQ30" s="81" t="n">
        <f aca="false">CP30-CO30</f>
        <v>0</v>
      </c>
      <c r="CR30" s="26"/>
      <c r="CS30" s="26"/>
      <c r="CT30" s="81" t="n">
        <f aca="false">CS30-CR30</f>
        <v>0</v>
      </c>
      <c r="CU30" s="26"/>
      <c r="CV30" s="26"/>
      <c r="CW30" s="81" t="n">
        <f aca="false">CV30-CU30</f>
        <v>0</v>
      </c>
      <c r="CX30" s="26"/>
      <c r="CY30" s="26"/>
      <c r="CZ30" s="81" t="n">
        <f aca="false">CY30-CX30</f>
        <v>0</v>
      </c>
      <c r="DA30" s="26"/>
      <c r="DB30" s="26"/>
      <c r="DC30" s="81" t="n">
        <f aca="false">DB30-DA30</f>
        <v>0</v>
      </c>
      <c r="DD30" s="26"/>
      <c r="DE30" s="26"/>
      <c r="DF30" s="81" t="n">
        <f aca="false">DE30-DD30</f>
        <v>0</v>
      </c>
      <c r="DG30" s="26"/>
      <c r="DH30" s="26"/>
      <c r="DI30" s="81" t="n">
        <f aca="false">DH30-DG30</f>
        <v>0</v>
      </c>
      <c r="DJ30" s="26"/>
      <c r="DK30" s="26"/>
      <c r="DL30" s="81" t="n">
        <f aca="false">DK30-DJ30</f>
        <v>0</v>
      </c>
      <c r="DM30" s="26"/>
      <c r="DN30" s="26"/>
      <c r="DO30" s="81" t="n">
        <f aca="false">DN30-DM30</f>
        <v>0</v>
      </c>
      <c r="DP30" s="26"/>
      <c r="DQ30" s="26"/>
      <c r="DR30" s="81" t="n">
        <f aca="false">DQ30-DP30</f>
        <v>0</v>
      </c>
      <c r="DS30" s="26"/>
      <c r="DT30" s="26"/>
      <c r="DU30" s="81" t="n">
        <f aca="false">DT30-DS30</f>
        <v>0</v>
      </c>
      <c r="DV30" s="26"/>
      <c r="DW30" s="26"/>
      <c r="DX30" s="81" t="n">
        <f aca="false">DW30-DV30</f>
        <v>0</v>
      </c>
      <c r="DY30" s="26"/>
      <c r="DZ30" s="26"/>
      <c r="EA30" s="81" t="n">
        <f aca="false">DZ30-DY30</f>
        <v>0</v>
      </c>
      <c r="EB30" s="26"/>
      <c r="EC30" s="26"/>
      <c r="ED30" s="81" t="n">
        <f aca="false">EC30-EB30</f>
        <v>0</v>
      </c>
      <c r="EE30" s="26"/>
      <c r="EF30" s="26"/>
      <c r="EG30" s="81" t="n">
        <f aca="false">EF30-EE30</f>
        <v>0</v>
      </c>
      <c r="EH30" s="26"/>
      <c r="EI30" s="26"/>
      <c r="EJ30" s="81" t="n">
        <f aca="false">EI30-EH30</f>
        <v>0</v>
      </c>
      <c r="EK30" s="26"/>
      <c r="EL30" s="26"/>
      <c r="EM30" s="81" t="n">
        <f aca="false">EL30-EK30</f>
        <v>0</v>
      </c>
      <c r="EN30" s="26"/>
      <c r="EO30" s="26"/>
      <c r="EP30" s="81" t="n">
        <f aca="false">EO30-EN30</f>
        <v>0</v>
      </c>
      <c r="EQ30" s="81" t="n">
        <f aca="false">+C30+F30+I30+L30+O30+R30+U30+X30+AA30+AD30+AG30+AJ30+AM30+AP30+AS30+AV30+AY30+BB30+BE30+BH30+BK30+BN30+BQ30+BT30+BW30+BZ30+CC30+CF30+CI30+CL30+CO30+CR30+CU30+CX30+DA30+DD30+DG30+DJ30+DM30+DP30+DS30+DV30+DY30+EB30+EE30+EH30+EK30+EN30</f>
        <v>355000</v>
      </c>
      <c r="ER30" s="81" t="n">
        <f aca="false">+D30+G30+J30+M30+P30+S30+V30+Y30+AB30+AE30+AH30+AK30+AN30+AQ30+AT30+AW30+AZ30+BC30+BF30+BI30+BL30+BO30+BR30+BU30+BX30+CA30+CD30+CG30+CJ30+CM30+CP30+CS30+CV30+CY30+DB30+DE30+DH30+DK30+DN30+DQ30+DT30+DW30+DZ30+EC30+EF30+EI30+EL30+EO30</f>
        <v>347176</v>
      </c>
      <c r="ES30" s="81" t="n">
        <f aca="false">ER30-EQ30</f>
        <v>-7824</v>
      </c>
      <c r="ET30" s="26" t="n">
        <f aca="false">+ET29+ES30</f>
        <v>-254126</v>
      </c>
      <c r="EU30" s="87"/>
      <c r="EV30" s="81" t="n">
        <f aca="false">+EQ30-AG30</f>
        <v>105000</v>
      </c>
      <c r="EW30" s="81" t="n">
        <f aca="false">+ER30-AH30</f>
        <v>105000</v>
      </c>
      <c r="EX30" s="26" t="n">
        <f aca="false">+EW30-EV30</f>
        <v>0</v>
      </c>
      <c r="EY30" s="26" t="n">
        <f aca="false">+EY29+EX30</f>
        <v>-62654</v>
      </c>
      <c r="EZ30" s="87"/>
      <c r="FA30" s="26" t="n">
        <f aca="false">+AI30</f>
        <v>-7824</v>
      </c>
      <c r="FB30" s="26" t="n">
        <f aca="false">+FB29+FA30</f>
        <v>-191472</v>
      </c>
      <c r="FC30" s="87"/>
      <c r="FD30" s="87"/>
      <c r="FE30" s="87"/>
      <c r="FF30" s="87"/>
      <c r="FG30" s="87"/>
      <c r="FH30" s="87"/>
      <c r="FI30" s="87"/>
    </row>
    <row r="31" customFormat="false" ht="12.75" hidden="false" customHeight="false" outlineLevel="0" collapsed="false">
      <c r="A31" s="80" t="n">
        <f aca="false">+BaseloadMarkets!A31</f>
        <v>36733</v>
      </c>
      <c r="B31" s="80" t="str">
        <f aca="false">+BaseloadMarkets!B31</f>
        <v>Wed</v>
      </c>
      <c r="C31" s="26" t="n">
        <v>10000</v>
      </c>
      <c r="D31" s="26" t="n">
        <v>10000</v>
      </c>
      <c r="E31" s="81" t="n">
        <f aca="false">D31-C31</f>
        <v>0</v>
      </c>
      <c r="F31" s="26" t="n">
        <v>10000</v>
      </c>
      <c r="G31" s="26" t="n">
        <v>10000</v>
      </c>
      <c r="H31" s="81" t="n">
        <f aca="false">G31-F31</f>
        <v>0</v>
      </c>
      <c r="I31" s="26" t="n">
        <v>10000</v>
      </c>
      <c r="J31" s="26" t="n">
        <v>10000</v>
      </c>
      <c r="K31" s="81" t="n">
        <f aca="false">J31-I31</f>
        <v>0</v>
      </c>
      <c r="L31" s="26" t="n">
        <v>5000</v>
      </c>
      <c r="M31" s="26" t="n">
        <v>5000</v>
      </c>
      <c r="N31" s="81" t="n">
        <f aca="false">M31-L31</f>
        <v>0</v>
      </c>
      <c r="O31" s="26" t="n">
        <v>10000</v>
      </c>
      <c r="P31" s="26" t="n">
        <v>10000</v>
      </c>
      <c r="Q31" s="81" t="n">
        <f aca="false">P31-O31</f>
        <v>0</v>
      </c>
      <c r="R31" s="26" t="n">
        <f aca="false">5000+5000</f>
        <v>10000</v>
      </c>
      <c r="S31" s="26" t="n">
        <f aca="false">5000+5000</f>
        <v>10000</v>
      </c>
      <c r="T31" s="81" t="n">
        <f aca="false">S31-R31</f>
        <v>0</v>
      </c>
      <c r="U31" s="26" t="n">
        <f aca="false">5000+5000</f>
        <v>10000</v>
      </c>
      <c r="V31" s="26" t="n">
        <f aca="false">5000+5000</f>
        <v>10000</v>
      </c>
      <c r="W31" s="81" t="n">
        <f aca="false">V31-U31</f>
        <v>0</v>
      </c>
      <c r="X31" s="26" t="n">
        <f aca="false">5000+5000</f>
        <v>10000</v>
      </c>
      <c r="Y31" s="26" t="n">
        <f aca="false">5000+5000</f>
        <v>10000</v>
      </c>
      <c r="Z31" s="81" t="n">
        <f aca="false">Y31-X31</f>
        <v>0</v>
      </c>
      <c r="AA31" s="26" t="n">
        <f aca="false">5000+5000</f>
        <v>10000</v>
      </c>
      <c r="AB31" s="26" t="n">
        <f aca="false">5000+5000</f>
        <v>10000</v>
      </c>
      <c r="AC31" s="81" t="n">
        <f aca="false">AB31-AA31</f>
        <v>0</v>
      </c>
      <c r="AD31" s="26" t="n">
        <f aca="false">5000+5000</f>
        <v>10000</v>
      </c>
      <c r="AE31" s="26" t="n">
        <f aca="false">5000+5000</f>
        <v>10000</v>
      </c>
      <c r="AF31" s="81" t="n">
        <f aca="false">AE31-AD31</f>
        <v>0</v>
      </c>
      <c r="AG31" s="83" t="n">
        <v>80000</v>
      </c>
      <c r="AH31" s="83" t="n">
        <f aca="false">80000-20000+17790</f>
        <v>77790</v>
      </c>
      <c r="AI31" s="120" t="n">
        <f aca="false">AH31-AG31</f>
        <v>-2210</v>
      </c>
      <c r="AJ31" s="26" t="n">
        <f aca="false">5000+5000</f>
        <v>10000</v>
      </c>
      <c r="AK31" s="26" t="n">
        <f aca="false">5000+5000</f>
        <v>10000</v>
      </c>
      <c r="AL31" s="81" t="n">
        <f aca="false">AK31-AJ31</f>
        <v>0</v>
      </c>
      <c r="AM31" s="26"/>
      <c r="AN31" s="26"/>
      <c r="AO31" s="81" t="n">
        <f aca="false">AN31-AM31</f>
        <v>0</v>
      </c>
      <c r="AP31" s="26"/>
      <c r="AQ31" s="26"/>
      <c r="AR31" s="81" t="n">
        <f aca="false">AQ31-AP31</f>
        <v>0</v>
      </c>
      <c r="AS31" s="26"/>
      <c r="AT31" s="26"/>
      <c r="AU31" s="81" t="n">
        <f aca="false">AT31-AS31</f>
        <v>0</v>
      </c>
      <c r="AV31" s="26"/>
      <c r="AW31" s="26"/>
      <c r="AX31" s="81" t="n">
        <f aca="false">AW31-AV31</f>
        <v>0</v>
      </c>
      <c r="AY31" s="26"/>
      <c r="AZ31" s="26"/>
      <c r="BA31" s="81" t="n">
        <f aca="false">AZ31-AY31</f>
        <v>0</v>
      </c>
      <c r="BB31" s="26"/>
      <c r="BC31" s="26"/>
      <c r="BD31" s="81" t="n">
        <f aca="false">BC31-BB31</f>
        <v>0</v>
      </c>
      <c r="BE31" s="26"/>
      <c r="BF31" s="26"/>
      <c r="BG31" s="81" t="n">
        <f aca="false">BF31-BE31</f>
        <v>0</v>
      </c>
      <c r="BH31" s="26"/>
      <c r="BI31" s="26"/>
      <c r="BJ31" s="81" t="n">
        <f aca="false">BI31-BH31</f>
        <v>0</v>
      </c>
      <c r="BK31" s="26"/>
      <c r="BL31" s="26"/>
      <c r="BM31" s="81" t="n">
        <f aca="false">BL31-BK31</f>
        <v>0</v>
      </c>
      <c r="BN31" s="26"/>
      <c r="BO31" s="26"/>
      <c r="BP31" s="81" t="n">
        <f aca="false">BO31-BN31</f>
        <v>0</v>
      </c>
      <c r="BQ31" s="26"/>
      <c r="BR31" s="26"/>
      <c r="BS31" s="81" t="n">
        <f aca="false">BR31-BQ31</f>
        <v>0</v>
      </c>
      <c r="BT31" s="26"/>
      <c r="BU31" s="26"/>
      <c r="BV31" s="81" t="n">
        <f aca="false">BU31-BT31</f>
        <v>0</v>
      </c>
      <c r="BW31" s="26"/>
      <c r="BX31" s="26"/>
      <c r="BY31" s="81" t="n">
        <f aca="false">BX31-BW31</f>
        <v>0</v>
      </c>
      <c r="BZ31" s="26"/>
      <c r="CA31" s="26"/>
      <c r="CB31" s="81" t="n">
        <f aca="false">CA31-BZ31</f>
        <v>0</v>
      </c>
      <c r="CC31" s="26"/>
      <c r="CD31" s="26"/>
      <c r="CE31" s="81" t="n">
        <f aca="false">CD31-CC31</f>
        <v>0</v>
      </c>
      <c r="CF31" s="26"/>
      <c r="CG31" s="26"/>
      <c r="CH31" s="81" t="n">
        <f aca="false">CG31-CF31</f>
        <v>0</v>
      </c>
      <c r="CI31" s="26"/>
      <c r="CJ31" s="26"/>
      <c r="CK31" s="81" t="n">
        <f aca="false">CJ31-CI31</f>
        <v>0</v>
      </c>
      <c r="CL31" s="26"/>
      <c r="CM31" s="26"/>
      <c r="CN31" s="81" t="n">
        <f aca="false">CM31-CL31</f>
        <v>0</v>
      </c>
      <c r="CO31" s="26"/>
      <c r="CP31" s="26"/>
      <c r="CQ31" s="81" t="n">
        <f aca="false">CP31-CO31</f>
        <v>0</v>
      </c>
      <c r="CR31" s="26"/>
      <c r="CS31" s="26"/>
      <c r="CT31" s="81" t="n">
        <f aca="false">CS31-CR31</f>
        <v>0</v>
      </c>
      <c r="CU31" s="26"/>
      <c r="CV31" s="26"/>
      <c r="CW31" s="81" t="n">
        <f aca="false">CV31-CU31</f>
        <v>0</v>
      </c>
      <c r="CX31" s="26"/>
      <c r="CY31" s="26"/>
      <c r="CZ31" s="81" t="n">
        <f aca="false">CY31-CX31</f>
        <v>0</v>
      </c>
      <c r="DA31" s="26"/>
      <c r="DB31" s="26"/>
      <c r="DC31" s="81" t="n">
        <f aca="false">DB31-DA31</f>
        <v>0</v>
      </c>
      <c r="DD31" s="26"/>
      <c r="DE31" s="26"/>
      <c r="DF31" s="81" t="n">
        <f aca="false">DE31-DD31</f>
        <v>0</v>
      </c>
      <c r="DG31" s="26"/>
      <c r="DH31" s="26"/>
      <c r="DI31" s="81" t="n">
        <f aca="false">DH31-DG31</f>
        <v>0</v>
      </c>
      <c r="DJ31" s="26"/>
      <c r="DK31" s="26"/>
      <c r="DL31" s="81" t="n">
        <f aca="false">DK31-DJ31</f>
        <v>0</v>
      </c>
      <c r="DM31" s="26"/>
      <c r="DN31" s="26"/>
      <c r="DO31" s="81" t="n">
        <f aca="false">DN31-DM31</f>
        <v>0</v>
      </c>
      <c r="DP31" s="26"/>
      <c r="DQ31" s="26"/>
      <c r="DR31" s="81" t="n">
        <f aca="false">DQ31-DP31</f>
        <v>0</v>
      </c>
      <c r="DS31" s="26"/>
      <c r="DT31" s="26"/>
      <c r="DU31" s="81" t="n">
        <f aca="false">DT31-DS31</f>
        <v>0</v>
      </c>
      <c r="DV31" s="26"/>
      <c r="DW31" s="26"/>
      <c r="DX31" s="81" t="n">
        <f aca="false">DW31-DV31</f>
        <v>0</v>
      </c>
      <c r="DY31" s="26"/>
      <c r="DZ31" s="26"/>
      <c r="EA31" s="81" t="n">
        <f aca="false">DZ31-DY31</f>
        <v>0</v>
      </c>
      <c r="EB31" s="26"/>
      <c r="EC31" s="26"/>
      <c r="ED31" s="81" t="n">
        <f aca="false">EC31-EB31</f>
        <v>0</v>
      </c>
      <c r="EE31" s="26"/>
      <c r="EF31" s="26"/>
      <c r="EG31" s="81" t="n">
        <f aca="false">EF31-EE31</f>
        <v>0</v>
      </c>
      <c r="EH31" s="26"/>
      <c r="EI31" s="26"/>
      <c r="EJ31" s="81" t="n">
        <f aca="false">EI31-EH31</f>
        <v>0</v>
      </c>
      <c r="EK31" s="26"/>
      <c r="EL31" s="26"/>
      <c r="EM31" s="81" t="n">
        <f aca="false">EL31-EK31</f>
        <v>0</v>
      </c>
      <c r="EN31" s="26"/>
      <c r="EO31" s="26"/>
      <c r="EP31" s="81" t="n">
        <f aca="false">EO31-EN31</f>
        <v>0</v>
      </c>
      <c r="EQ31" s="81" t="n">
        <f aca="false">+C31+F31+I31+L31+O31+R31+U31+X31+AA31+AD31+AG31+AJ31+AM31+AP31+AS31+AV31+AY31+BB31+BE31+BH31+BK31+BN31+BQ31+BT31+BW31+BZ31+CC31+CF31+CI31+CL31+CO31+CR31+CU31+CX31+DA31+DD31+DG31+DJ31+DM31+DP31+DS31+DV31+DY31+EB31+EE31+EH31+EK31+EN31</f>
        <v>185000</v>
      </c>
      <c r="ER31" s="81" t="n">
        <f aca="false">+D31+G31+J31+M31+P31+S31+V31+Y31+AB31+AE31+AH31+AK31+AN31+AQ31+AT31+AW31+AZ31+BC31+BF31+BI31+BL31+BO31+BR31+BU31+BX31+CA31+CD31+CG31+CJ31+CM31+CP31+CS31+CV31+CY31+DB31+DE31+DH31+DK31+DN31+DQ31+DT31+DW31+DZ31+EC31+EF31+EI31+EL31+EO31</f>
        <v>182790</v>
      </c>
      <c r="ES31" s="81" t="n">
        <f aca="false">ER31-EQ31</f>
        <v>-2210</v>
      </c>
      <c r="ET31" s="26" t="n">
        <f aca="false">+ET30+ES31</f>
        <v>-256336</v>
      </c>
      <c r="EU31" s="87"/>
      <c r="EV31" s="81" t="n">
        <f aca="false">+EQ31-AG31</f>
        <v>105000</v>
      </c>
      <c r="EW31" s="81" t="n">
        <f aca="false">+ER31-AH31</f>
        <v>105000</v>
      </c>
      <c r="EX31" s="26" t="n">
        <f aca="false">+EW31-EV31</f>
        <v>0</v>
      </c>
      <c r="EY31" s="26" t="n">
        <f aca="false">+EY30+EX31</f>
        <v>-62654</v>
      </c>
      <c r="EZ31" s="87"/>
      <c r="FA31" s="26" t="n">
        <f aca="false">+AI31</f>
        <v>-2210</v>
      </c>
      <c r="FB31" s="26" t="n">
        <f aca="false">+FB30+FA31</f>
        <v>-193682</v>
      </c>
      <c r="FC31" s="87"/>
      <c r="FD31" s="87"/>
      <c r="FE31" s="87"/>
      <c r="FF31" s="87"/>
      <c r="FG31" s="87"/>
      <c r="FH31" s="87"/>
      <c r="FI31" s="87"/>
    </row>
    <row r="32" customFormat="false" ht="12.75" hidden="false" customHeight="false" outlineLevel="0" collapsed="false">
      <c r="A32" s="80" t="n">
        <f aca="false">+BaseloadMarkets!A32</f>
        <v>36734</v>
      </c>
      <c r="B32" s="80" t="str">
        <f aca="false">+BaseloadMarkets!B32</f>
        <v>Thu</v>
      </c>
      <c r="C32" s="26" t="n">
        <v>10000</v>
      </c>
      <c r="D32" s="26" t="n">
        <v>10000</v>
      </c>
      <c r="E32" s="81" t="n">
        <f aca="false">D32-C32</f>
        <v>0</v>
      </c>
      <c r="F32" s="26" t="n">
        <v>10000</v>
      </c>
      <c r="G32" s="26" t="n">
        <v>10000</v>
      </c>
      <c r="H32" s="81" t="n">
        <f aca="false">G32-F32</f>
        <v>0</v>
      </c>
      <c r="I32" s="26" t="n">
        <v>10000</v>
      </c>
      <c r="J32" s="26" t="n">
        <v>10000</v>
      </c>
      <c r="K32" s="81" t="n">
        <f aca="false">J32-I32</f>
        <v>0</v>
      </c>
      <c r="L32" s="26" t="n">
        <v>5000</v>
      </c>
      <c r="M32" s="26" t="n">
        <v>5000</v>
      </c>
      <c r="N32" s="81" t="n">
        <f aca="false">M32-L32</f>
        <v>0</v>
      </c>
      <c r="O32" s="26" t="n">
        <v>10000</v>
      </c>
      <c r="P32" s="26" t="n">
        <v>10000</v>
      </c>
      <c r="Q32" s="81" t="n">
        <f aca="false">P32-O32</f>
        <v>0</v>
      </c>
      <c r="R32" s="26" t="n">
        <f aca="false">5000+5000</f>
        <v>10000</v>
      </c>
      <c r="S32" s="26" t="n">
        <f aca="false">5000+5000</f>
        <v>10000</v>
      </c>
      <c r="T32" s="81" t="n">
        <f aca="false">S32-R32</f>
        <v>0</v>
      </c>
      <c r="U32" s="26" t="n">
        <f aca="false">5000+5000</f>
        <v>10000</v>
      </c>
      <c r="V32" s="26" t="n">
        <f aca="false">5000+5000</f>
        <v>10000</v>
      </c>
      <c r="W32" s="81" t="n">
        <f aca="false">V32-U32</f>
        <v>0</v>
      </c>
      <c r="X32" s="26" t="n">
        <f aca="false">5000+5000</f>
        <v>10000</v>
      </c>
      <c r="Y32" s="26" t="n">
        <f aca="false">5000+5000</f>
        <v>10000</v>
      </c>
      <c r="Z32" s="81" t="n">
        <f aca="false">Y32-X32</f>
        <v>0</v>
      </c>
      <c r="AA32" s="26" t="n">
        <f aca="false">5000+5000</f>
        <v>10000</v>
      </c>
      <c r="AB32" s="26" t="n">
        <f aca="false">5000+5000</f>
        <v>10000</v>
      </c>
      <c r="AC32" s="81" t="n">
        <f aca="false">AB32-AA32</f>
        <v>0</v>
      </c>
      <c r="AD32" s="26" t="n">
        <f aca="false">5000+5000</f>
        <v>10000</v>
      </c>
      <c r="AE32" s="26" t="n">
        <f aca="false">5000+5000</f>
        <v>10000</v>
      </c>
      <c r="AF32" s="81" t="n">
        <f aca="false">AE32-AD32</f>
        <v>0</v>
      </c>
      <c r="AG32" s="83" t="n">
        <v>235000</v>
      </c>
      <c r="AH32" s="83" t="n">
        <v>224672</v>
      </c>
      <c r="AI32" s="120" t="n">
        <f aca="false">AH32-AG32</f>
        <v>-10328</v>
      </c>
      <c r="AJ32" s="26" t="n">
        <f aca="false">5000+5000</f>
        <v>10000</v>
      </c>
      <c r="AK32" s="26" t="n">
        <f aca="false">5000+5000</f>
        <v>10000</v>
      </c>
      <c r="AL32" s="81" t="n">
        <f aca="false">AK32-AJ32</f>
        <v>0</v>
      </c>
      <c r="AM32" s="26"/>
      <c r="AN32" s="26"/>
      <c r="AO32" s="81" t="n">
        <f aca="false">AN32-AM32</f>
        <v>0</v>
      </c>
      <c r="AP32" s="26"/>
      <c r="AQ32" s="26"/>
      <c r="AR32" s="81" t="n">
        <f aca="false">AQ32-AP32</f>
        <v>0</v>
      </c>
      <c r="AS32" s="26"/>
      <c r="AT32" s="26"/>
      <c r="AU32" s="81" t="n">
        <f aca="false">AT32-AS32</f>
        <v>0</v>
      </c>
      <c r="AV32" s="26"/>
      <c r="AW32" s="26"/>
      <c r="AX32" s="81" t="n">
        <f aca="false">AW32-AV32</f>
        <v>0</v>
      </c>
      <c r="AY32" s="26"/>
      <c r="AZ32" s="26"/>
      <c r="BA32" s="81" t="n">
        <f aca="false">AZ32-AY32</f>
        <v>0</v>
      </c>
      <c r="BB32" s="26"/>
      <c r="BC32" s="26"/>
      <c r="BD32" s="81" t="n">
        <f aca="false">BC32-BB32</f>
        <v>0</v>
      </c>
      <c r="BE32" s="26"/>
      <c r="BF32" s="26"/>
      <c r="BG32" s="81" t="n">
        <f aca="false">BF32-BE32</f>
        <v>0</v>
      </c>
      <c r="BH32" s="26"/>
      <c r="BI32" s="26"/>
      <c r="BJ32" s="81" t="n">
        <f aca="false">BI32-BH32</f>
        <v>0</v>
      </c>
      <c r="BK32" s="26"/>
      <c r="BL32" s="26"/>
      <c r="BM32" s="81" t="n">
        <f aca="false">BL32-BK32</f>
        <v>0</v>
      </c>
      <c r="BN32" s="26"/>
      <c r="BO32" s="26"/>
      <c r="BP32" s="81" t="n">
        <f aca="false">BO32-BN32</f>
        <v>0</v>
      </c>
      <c r="BQ32" s="26"/>
      <c r="BR32" s="26"/>
      <c r="BS32" s="81" t="n">
        <f aca="false">BR32-BQ32</f>
        <v>0</v>
      </c>
      <c r="BT32" s="26"/>
      <c r="BU32" s="26"/>
      <c r="BV32" s="81" t="n">
        <f aca="false">BU32-BT32</f>
        <v>0</v>
      </c>
      <c r="BW32" s="26"/>
      <c r="BX32" s="26"/>
      <c r="BY32" s="81" t="n">
        <f aca="false">BX32-BW32</f>
        <v>0</v>
      </c>
      <c r="BZ32" s="26"/>
      <c r="CA32" s="26"/>
      <c r="CB32" s="81" t="n">
        <f aca="false">CA32-BZ32</f>
        <v>0</v>
      </c>
      <c r="CC32" s="26"/>
      <c r="CD32" s="26"/>
      <c r="CE32" s="81" t="n">
        <f aca="false">CD32-CC32</f>
        <v>0</v>
      </c>
      <c r="CF32" s="26"/>
      <c r="CG32" s="26"/>
      <c r="CH32" s="81" t="n">
        <f aca="false">CG32-CF32</f>
        <v>0</v>
      </c>
      <c r="CI32" s="26"/>
      <c r="CJ32" s="26"/>
      <c r="CK32" s="81" t="n">
        <f aca="false">CJ32-CI32</f>
        <v>0</v>
      </c>
      <c r="CL32" s="26"/>
      <c r="CM32" s="26"/>
      <c r="CN32" s="81" t="n">
        <f aca="false">CM32-CL32</f>
        <v>0</v>
      </c>
      <c r="CO32" s="26"/>
      <c r="CP32" s="26"/>
      <c r="CQ32" s="81" t="n">
        <f aca="false">CP32-CO32</f>
        <v>0</v>
      </c>
      <c r="CR32" s="26"/>
      <c r="CS32" s="26"/>
      <c r="CT32" s="81" t="n">
        <f aca="false">CS32-CR32</f>
        <v>0</v>
      </c>
      <c r="CU32" s="26"/>
      <c r="CV32" s="26"/>
      <c r="CW32" s="81" t="n">
        <f aca="false">CV32-CU32</f>
        <v>0</v>
      </c>
      <c r="CX32" s="26"/>
      <c r="CY32" s="26"/>
      <c r="CZ32" s="81" t="n">
        <f aca="false">CY32-CX32</f>
        <v>0</v>
      </c>
      <c r="DA32" s="26"/>
      <c r="DB32" s="26"/>
      <c r="DC32" s="81" t="n">
        <f aca="false">DB32-DA32</f>
        <v>0</v>
      </c>
      <c r="DD32" s="26"/>
      <c r="DE32" s="26"/>
      <c r="DF32" s="81" t="n">
        <f aca="false">DE32-DD32</f>
        <v>0</v>
      </c>
      <c r="DG32" s="26"/>
      <c r="DH32" s="26"/>
      <c r="DI32" s="81" t="n">
        <f aca="false">DH32-DG32</f>
        <v>0</v>
      </c>
      <c r="DJ32" s="26"/>
      <c r="DK32" s="26"/>
      <c r="DL32" s="81" t="n">
        <f aca="false">DK32-DJ32</f>
        <v>0</v>
      </c>
      <c r="DM32" s="26"/>
      <c r="DN32" s="26"/>
      <c r="DO32" s="81" t="n">
        <f aca="false">DN32-DM32</f>
        <v>0</v>
      </c>
      <c r="DP32" s="26"/>
      <c r="DQ32" s="26"/>
      <c r="DR32" s="81" t="n">
        <f aca="false">DQ32-DP32</f>
        <v>0</v>
      </c>
      <c r="DS32" s="26"/>
      <c r="DT32" s="26"/>
      <c r="DU32" s="81" t="n">
        <f aca="false">DT32-DS32</f>
        <v>0</v>
      </c>
      <c r="DV32" s="26"/>
      <c r="DW32" s="26"/>
      <c r="DX32" s="81" t="n">
        <f aca="false">DW32-DV32</f>
        <v>0</v>
      </c>
      <c r="DY32" s="26"/>
      <c r="DZ32" s="26"/>
      <c r="EA32" s="81" t="n">
        <f aca="false">DZ32-DY32</f>
        <v>0</v>
      </c>
      <c r="EB32" s="26"/>
      <c r="EC32" s="26"/>
      <c r="ED32" s="81" t="n">
        <f aca="false">EC32-EB32</f>
        <v>0</v>
      </c>
      <c r="EE32" s="26"/>
      <c r="EF32" s="26"/>
      <c r="EG32" s="81" t="n">
        <f aca="false">EF32-EE32</f>
        <v>0</v>
      </c>
      <c r="EH32" s="26"/>
      <c r="EI32" s="26"/>
      <c r="EJ32" s="81" t="n">
        <f aca="false">EI32-EH32</f>
        <v>0</v>
      </c>
      <c r="EK32" s="26"/>
      <c r="EL32" s="26"/>
      <c r="EM32" s="81" t="n">
        <f aca="false">EL32-EK32</f>
        <v>0</v>
      </c>
      <c r="EN32" s="26"/>
      <c r="EO32" s="26"/>
      <c r="EP32" s="81" t="n">
        <f aca="false">EO32-EN32</f>
        <v>0</v>
      </c>
      <c r="EQ32" s="81" t="n">
        <f aca="false">+C32+F32+I32+L32+O32+R32+U32+X32+AA32+AD32+AG32+AJ32+AM32+AP32+AS32+AV32+AY32+BB32+BE32+BH32+BK32+BN32+BQ32+BT32+BW32+BZ32+CC32+CF32+CI32+CL32+CO32+CR32+CU32+CX32+DA32+DD32+DG32+DJ32+DM32+DP32+DS32+DV32+DY32+EB32+EE32+EH32+EK32+EN32</f>
        <v>340000</v>
      </c>
      <c r="ER32" s="81" t="n">
        <f aca="false">+D32+G32+J32+M32+P32+S32+V32+Y32+AB32+AE32+AH32+AK32+AN32+AQ32+AT32+AW32+AZ32+BC32+BF32+BI32+BL32+BO32+BR32+BU32+BX32+CA32+CD32+CG32+CJ32+CM32+CP32+CS32+CV32+CY32+DB32+DE32+DH32+DK32+DN32+DQ32+DT32+DW32+DZ32+EC32+EF32+EI32+EL32+EO32</f>
        <v>329672</v>
      </c>
      <c r="ES32" s="81" t="n">
        <f aca="false">ER32-EQ32</f>
        <v>-10328</v>
      </c>
      <c r="ET32" s="26" t="n">
        <f aca="false">+ET31+ES32</f>
        <v>-266664</v>
      </c>
      <c r="EU32" s="87"/>
      <c r="EV32" s="81" t="n">
        <f aca="false">+EQ32-AG32</f>
        <v>105000</v>
      </c>
      <c r="EW32" s="81" t="n">
        <f aca="false">+ER32-AH32</f>
        <v>105000</v>
      </c>
      <c r="EX32" s="26" t="n">
        <f aca="false">+EW32-EV32</f>
        <v>0</v>
      </c>
      <c r="EY32" s="26" t="n">
        <f aca="false">+EY31+EX32</f>
        <v>-62654</v>
      </c>
      <c r="EZ32" s="87"/>
      <c r="FA32" s="26" t="n">
        <f aca="false">+AI32</f>
        <v>-10328</v>
      </c>
      <c r="FB32" s="26" t="n">
        <f aca="false">+FB31+FA32</f>
        <v>-204010</v>
      </c>
      <c r="FC32" s="87"/>
      <c r="FD32" s="87"/>
      <c r="FE32" s="87"/>
      <c r="FF32" s="87"/>
      <c r="FG32" s="87"/>
      <c r="FH32" s="87"/>
      <c r="FI32" s="87"/>
    </row>
    <row r="33" customFormat="false" ht="12.75" hidden="false" customHeight="false" outlineLevel="0" collapsed="false">
      <c r="A33" s="80" t="n">
        <f aca="false">+BaseloadMarkets!A33</f>
        <v>36735</v>
      </c>
      <c r="B33" s="80" t="str">
        <f aca="false">+BaseloadMarkets!B33</f>
        <v>Fri</v>
      </c>
      <c r="C33" s="26" t="n">
        <v>10000</v>
      </c>
      <c r="D33" s="26" t="n">
        <v>10000</v>
      </c>
      <c r="E33" s="81" t="n">
        <f aca="false">D33-C33</f>
        <v>0</v>
      </c>
      <c r="F33" s="26" t="n">
        <v>10000</v>
      </c>
      <c r="G33" s="26" t="n">
        <v>10000</v>
      </c>
      <c r="H33" s="81" t="n">
        <f aca="false">G33-F33</f>
        <v>0</v>
      </c>
      <c r="I33" s="26" t="n">
        <v>10000</v>
      </c>
      <c r="J33" s="26" t="n">
        <v>10000</v>
      </c>
      <c r="K33" s="81" t="n">
        <f aca="false">J33-I33</f>
        <v>0</v>
      </c>
      <c r="L33" s="26" t="n">
        <v>5000</v>
      </c>
      <c r="M33" s="26" t="n">
        <v>5000</v>
      </c>
      <c r="N33" s="81" t="n">
        <f aca="false">M33-L33</f>
        <v>0</v>
      </c>
      <c r="O33" s="26" t="n">
        <v>10000</v>
      </c>
      <c r="P33" s="26" t="n">
        <v>10000</v>
      </c>
      <c r="Q33" s="81" t="n">
        <f aca="false">P33-O33</f>
        <v>0</v>
      </c>
      <c r="R33" s="26" t="n">
        <f aca="false">5000+5000</f>
        <v>10000</v>
      </c>
      <c r="S33" s="26" t="n">
        <f aca="false">5000+5000</f>
        <v>10000</v>
      </c>
      <c r="T33" s="81" t="n">
        <f aca="false">S33-R33</f>
        <v>0</v>
      </c>
      <c r="U33" s="26" t="n">
        <f aca="false">5000+5000</f>
        <v>10000</v>
      </c>
      <c r="V33" s="26" t="n">
        <f aca="false">5000+5000</f>
        <v>10000</v>
      </c>
      <c r="W33" s="81" t="n">
        <f aca="false">V33-U33</f>
        <v>0</v>
      </c>
      <c r="X33" s="26" t="n">
        <f aca="false">5000+5000</f>
        <v>10000</v>
      </c>
      <c r="Y33" s="26" t="n">
        <f aca="false">5000+5000</f>
        <v>10000</v>
      </c>
      <c r="Z33" s="81" t="n">
        <f aca="false">Y33-X33</f>
        <v>0</v>
      </c>
      <c r="AA33" s="26" t="n">
        <f aca="false">5000+5000</f>
        <v>10000</v>
      </c>
      <c r="AB33" s="26" t="n">
        <f aca="false">5000+5000</f>
        <v>10000</v>
      </c>
      <c r="AC33" s="81" t="n">
        <f aca="false">AB33-AA33</f>
        <v>0</v>
      </c>
      <c r="AD33" s="26" t="n">
        <f aca="false">5000+5000</f>
        <v>10000</v>
      </c>
      <c r="AE33" s="26" t="n">
        <f aca="false">5000+5000</f>
        <v>10000</v>
      </c>
      <c r="AF33" s="81" t="n">
        <f aca="false">AE33-AD33</f>
        <v>0</v>
      </c>
      <c r="AG33" s="83" t="n">
        <v>185000</v>
      </c>
      <c r="AH33" s="83" t="n">
        <v>170669</v>
      </c>
      <c r="AI33" s="120" t="n">
        <f aca="false">AH33-AG33</f>
        <v>-14331</v>
      </c>
      <c r="AJ33" s="26" t="n">
        <f aca="false">5000+5000</f>
        <v>10000</v>
      </c>
      <c r="AK33" s="26" t="n">
        <f aca="false">5000+5000</f>
        <v>10000</v>
      </c>
      <c r="AL33" s="81" t="n">
        <f aca="false">AK33-AJ33</f>
        <v>0</v>
      </c>
      <c r="AM33" s="26"/>
      <c r="AN33" s="26"/>
      <c r="AO33" s="81" t="n">
        <f aca="false">AN33-AM33</f>
        <v>0</v>
      </c>
      <c r="AP33" s="26"/>
      <c r="AQ33" s="26"/>
      <c r="AR33" s="81" t="n">
        <f aca="false">AQ33-AP33</f>
        <v>0</v>
      </c>
      <c r="AS33" s="26"/>
      <c r="AT33" s="26"/>
      <c r="AU33" s="81" t="n">
        <f aca="false">AT33-AS33</f>
        <v>0</v>
      </c>
      <c r="AV33" s="26"/>
      <c r="AW33" s="26"/>
      <c r="AX33" s="81" t="n">
        <f aca="false">AW33-AV33</f>
        <v>0</v>
      </c>
      <c r="AY33" s="26"/>
      <c r="AZ33" s="26"/>
      <c r="BA33" s="81" t="n">
        <f aca="false">AZ33-AY33</f>
        <v>0</v>
      </c>
      <c r="BB33" s="26"/>
      <c r="BC33" s="26"/>
      <c r="BD33" s="81" t="n">
        <f aca="false">BC33-BB33</f>
        <v>0</v>
      </c>
      <c r="BE33" s="26"/>
      <c r="BF33" s="26"/>
      <c r="BG33" s="81" t="n">
        <f aca="false">BF33-BE33</f>
        <v>0</v>
      </c>
      <c r="BH33" s="26"/>
      <c r="BI33" s="26"/>
      <c r="BJ33" s="81" t="n">
        <f aca="false">BI33-BH33</f>
        <v>0</v>
      </c>
      <c r="BK33" s="26"/>
      <c r="BL33" s="26"/>
      <c r="BM33" s="81" t="n">
        <f aca="false">BL33-BK33</f>
        <v>0</v>
      </c>
      <c r="BN33" s="26"/>
      <c r="BO33" s="26"/>
      <c r="BP33" s="81" t="n">
        <f aca="false">BO33-BN33</f>
        <v>0</v>
      </c>
      <c r="BQ33" s="26"/>
      <c r="BR33" s="26"/>
      <c r="BS33" s="81" t="n">
        <f aca="false">BR33-BQ33</f>
        <v>0</v>
      </c>
      <c r="BT33" s="26"/>
      <c r="BU33" s="26"/>
      <c r="BV33" s="81" t="n">
        <f aca="false">BU33-BT33</f>
        <v>0</v>
      </c>
      <c r="BW33" s="26"/>
      <c r="BX33" s="26"/>
      <c r="BY33" s="81" t="n">
        <f aca="false">BX33-BW33</f>
        <v>0</v>
      </c>
      <c r="BZ33" s="26"/>
      <c r="CA33" s="26"/>
      <c r="CB33" s="81" t="n">
        <f aca="false">CA33-BZ33</f>
        <v>0</v>
      </c>
      <c r="CC33" s="26"/>
      <c r="CD33" s="26"/>
      <c r="CE33" s="81" t="n">
        <f aca="false">CD33-CC33</f>
        <v>0</v>
      </c>
      <c r="CF33" s="26"/>
      <c r="CG33" s="26"/>
      <c r="CH33" s="81" t="n">
        <f aca="false">CG33-CF33</f>
        <v>0</v>
      </c>
      <c r="CI33" s="26"/>
      <c r="CJ33" s="26"/>
      <c r="CK33" s="81" t="n">
        <f aca="false">CJ33-CI33</f>
        <v>0</v>
      </c>
      <c r="CL33" s="26"/>
      <c r="CM33" s="26"/>
      <c r="CN33" s="81" t="n">
        <f aca="false">CM33-CL33</f>
        <v>0</v>
      </c>
      <c r="CO33" s="26"/>
      <c r="CP33" s="26"/>
      <c r="CQ33" s="81" t="n">
        <f aca="false">CP33-CO33</f>
        <v>0</v>
      </c>
      <c r="CR33" s="26"/>
      <c r="CS33" s="26"/>
      <c r="CT33" s="81" t="n">
        <f aca="false">CS33-CR33</f>
        <v>0</v>
      </c>
      <c r="CU33" s="26"/>
      <c r="CV33" s="26"/>
      <c r="CW33" s="81" t="n">
        <f aca="false">CV33-CU33</f>
        <v>0</v>
      </c>
      <c r="CX33" s="26"/>
      <c r="CY33" s="26"/>
      <c r="CZ33" s="81" t="n">
        <f aca="false">CY33-CX33</f>
        <v>0</v>
      </c>
      <c r="DA33" s="26"/>
      <c r="DB33" s="26"/>
      <c r="DC33" s="81" t="n">
        <f aca="false">DB33-DA33</f>
        <v>0</v>
      </c>
      <c r="DD33" s="26"/>
      <c r="DE33" s="26"/>
      <c r="DF33" s="81" t="n">
        <f aca="false">DE33-DD33</f>
        <v>0</v>
      </c>
      <c r="DG33" s="26"/>
      <c r="DH33" s="26"/>
      <c r="DI33" s="81" t="n">
        <f aca="false">DH33-DG33</f>
        <v>0</v>
      </c>
      <c r="DJ33" s="26"/>
      <c r="DK33" s="26"/>
      <c r="DL33" s="81" t="n">
        <f aca="false">DK33-DJ33</f>
        <v>0</v>
      </c>
      <c r="DM33" s="26"/>
      <c r="DN33" s="26"/>
      <c r="DO33" s="81" t="n">
        <f aca="false">DN33-DM33</f>
        <v>0</v>
      </c>
      <c r="DP33" s="26"/>
      <c r="DQ33" s="26"/>
      <c r="DR33" s="81" t="n">
        <f aca="false">DQ33-DP33</f>
        <v>0</v>
      </c>
      <c r="DS33" s="26"/>
      <c r="DT33" s="26"/>
      <c r="DU33" s="81" t="n">
        <f aca="false">DT33-DS33</f>
        <v>0</v>
      </c>
      <c r="DV33" s="26"/>
      <c r="DW33" s="26"/>
      <c r="DX33" s="81" t="n">
        <f aca="false">DW33-DV33</f>
        <v>0</v>
      </c>
      <c r="DY33" s="26"/>
      <c r="DZ33" s="26"/>
      <c r="EA33" s="81" t="n">
        <f aca="false">DZ33-DY33</f>
        <v>0</v>
      </c>
      <c r="EB33" s="26"/>
      <c r="EC33" s="26"/>
      <c r="ED33" s="81" t="n">
        <f aca="false">EC33-EB33</f>
        <v>0</v>
      </c>
      <c r="EE33" s="26"/>
      <c r="EF33" s="26"/>
      <c r="EG33" s="81" t="n">
        <f aca="false">EF33-EE33</f>
        <v>0</v>
      </c>
      <c r="EH33" s="26"/>
      <c r="EI33" s="26"/>
      <c r="EJ33" s="81" t="n">
        <f aca="false">EI33-EH33</f>
        <v>0</v>
      </c>
      <c r="EK33" s="26"/>
      <c r="EL33" s="26"/>
      <c r="EM33" s="81" t="n">
        <f aca="false">EL33-EK33</f>
        <v>0</v>
      </c>
      <c r="EN33" s="26"/>
      <c r="EO33" s="26"/>
      <c r="EP33" s="81" t="n">
        <f aca="false">EO33-EN33</f>
        <v>0</v>
      </c>
      <c r="EQ33" s="81" t="n">
        <f aca="false">+C33+F33+I33+L33+O33+R33+U33+X33+AA33+AD33+AG33+AJ33+AM33+AP33+AS33+AV33+AY33+BB33+BE33+BH33+BK33+BN33+BQ33+BT33+BW33+BZ33+CC33+CF33+CI33+CL33+CO33+CR33+CU33+CX33+DA33+DD33+DG33+DJ33+DM33+DP33+DS33+DV33+DY33+EB33+EE33+EH33+EK33+EN33</f>
        <v>290000</v>
      </c>
      <c r="ER33" s="81" t="n">
        <f aca="false">+D33+G33+J33+M33+P33+S33+V33+Y33+AB33+AE33+AH33+AK33+AN33+AQ33+AT33+AW33+AZ33+BC33+BF33+BI33+BL33+BO33+BR33+BU33+BX33+CA33+CD33+CG33+CJ33+CM33+CP33+CS33+CV33+CY33+DB33+DE33+DH33+DK33+DN33+DQ33+DT33+DW33+DZ33+EC33+EF33+EI33+EL33+EO33</f>
        <v>275669</v>
      </c>
      <c r="ES33" s="81" t="n">
        <f aca="false">ER33-EQ33</f>
        <v>-14331</v>
      </c>
      <c r="ET33" s="26" t="n">
        <f aca="false">+ET32+ES33</f>
        <v>-280995</v>
      </c>
      <c r="EU33" s="87"/>
      <c r="EV33" s="81" t="n">
        <f aca="false">+EQ33-AG33</f>
        <v>105000</v>
      </c>
      <c r="EW33" s="81" t="n">
        <f aca="false">+ER33-AH33</f>
        <v>105000</v>
      </c>
      <c r="EX33" s="26" t="n">
        <f aca="false">+EW33-EV33</f>
        <v>0</v>
      </c>
      <c r="EY33" s="26" t="n">
        <f aca="false">+EY32+EX33</f>
        <v>-62654</v>
      </c>
      <c r="EZ33" s="87"/>
      <c r="FA33" s="26" t="n">
        <f aca="false">+AI33</f>
        <v>-14331</v>
      </c>
      <c r="FB33" s="26" t="n">
        <f aca="false">+FB32+FA33</f>
        <v>-218341</v>
      </c>
      <c r="FC33" s="87"/>
      <c r="FD33" s="87"/>
      <c r="FE33" s="87"/>
      <c r="FF33" s="87"/>
      <c r="FG33" s="87"/>
      <c r="FH33" s="87"/>
      <c r="FI33" s="87"/>
    </row>
    <row r="34" customFormat="false" ht="12.75" hidden="false" customHeight="false" outlineLevel="0" collapsed="false">
      <c r="A34" s="80" t="n">
        <f aca="false">+BaseloadMarkets!A34</f>
        <v>36736</v>
      </c>
      <c r="B34" s="80" t="str">
        <f aca="false">+BaseloadMarkets!B34</f>
        <v>Sat</v>
      </c>
      <c r="C34" s="26" t="n">
        <v>10000</v>
      </c>
      <c r="D34" s="26" t="n">
        <v>10000</v>
      </c>
      <c r="E34" s="81" t="n">
        <f aca="false">D34-C34</f>
        <v>0</v>
      </c>
      <c r="F34" s="26" t="n">
        <v>10000</v>
      </c>
      <c r="G34" s="26" t="n">
        <v>10000</v>
      </c>
      <c r="H34" s="81" t="n">
        <f aca="false">G34-F34</f>
        <v>0</v>
      </c>
      <c r="I34" s="26" t="n">
        <v>10000</v>
      </c>
      <c r="J34" s="26" t="n">
        <v>10000</v>
      </c>
      <c r="K34" s="81" t="n">
        <f aca="false">J34-I34</f>
        <v>0</v>
      </c>
      <c r="L34" s="26" t="n">
        <v>5000</v>
      </c>
      <c r="M34" s="26" t="n">
        <v>5000</v>
      </c>
      <c r="N34" s="81" t="n">
        <f aca="false">M34-L34</f>
        <v>0</v>
      </c>
      <c r="O34" s="26" t="n">
        <v>10000</v>
      </c>
      <c r="P34" s="26" t="n">
        <v>10000</v>
      </c>
      <c r="Q34" s="81" t="n">
        <f aca="false">P34-O34</f>
        <v>0</v>
      </c>
      <c r="R34" s="26" t="n">
        <f aca="false">5000+5000</f>
        <v>10000</v>
      </c>
      <c r="S34" s="26" t="n">
        <f aca="false">5000+5000</f>
        <v>10000</v>
      </c>
      <c r="T34" s="81" t="n">
        <f aca="false">S34-R34</f>
        <v>0</v>
      </c>
      <c r="U34" s="26" t="n">
        <f aca="false">5000+5000</f>
        <v>10000</v>
      </c>
      <c r="V34" s="26" t="n">
        <f aca="false">5000+5000</f>
        <v>10000</v>
      </c>
      <c r="W34" s="81" t="n">
        <f aca="false">V34-U34</f>
        <v>0</v>
      </c>
      <c r="X34" s="26" t="n">
        <f aca="false">5000+5000</f>
        <v>10000</v>
      </c>
      <c r="Y34" s="26" t="n">
        <f aca="false">5000+5000</f>
        <v>10000</v>
      </c>
      <c r="Z34" s="81" t="n">
        <f aca="false">Y34-X34</f>
        <v>0</v>
      </c>
      <c r="AA34" s="26" t="n">
        <f aca="false">5000+5000</f>
        <v>10000</v>
      </c>
      <c r="AB34" s="26" t="n">
        <f aca="false">5000+5000</f>
        <v>10000</v>
      </c>
      <c r="AC34" s="81" t="n">
        <f aca="false">AB34-AA34</f>
        <v>0</v>
      </c>
      <c r="AD34" s="26" t="n">
        <f aca="false">5000+5000</f>
        <v>10000</v>
      </c>
      <c r="AE34" s="26" t="n">
        <f aca="false">5000+5000</f>
        <v>10000</v>
      </c>
      <c r="AF34" s="81" t="n">
        <f aca="false">AE34-AD34</f>
        <v>0</v>
      </c>
      <c r="AG34" s="83" t="n">
        <v>280000</v>
      </c>
      <c r="AH34" s="83" t="n">
        <v>276386</v>
      </c>
      <c r="AI34" s="120" t="n">
        <f aca="false">AH34-AG34</f>
        <v>-3614</v>
      </c>
      <c r="AJ34" s="26" t="n">
        <f aca="false">5000+5000</f>
        <v>10000</v>
      </c>
      <c r="AK34" s="26" t="n">
        <f aca="false">5000+5000</f>
        <v>10000</v>
      </c>
      <c r="AL34" s="81" t="n">
        <f aca="false">AK34-AJ34</f>
        <v>0</v>
      </c>
      <c r="AM34" s="26"/>
      <c r="AN34" s="26"/>
      <c r="AO34" s="81" t="n">
        <f aca="false">AN34-AM34</f>
        <v>0</v>
      </c>
      <c r="AP34" s="26"/>
      <c r="AQ34" s="26"/>
      <c r="AR34" s="81" t="n">
        <f aca="false">AQ34-AP34</f>
        <v>0</v>
      </c>
      <c r="AS34" s="26"/>
      <c r="AT34" s="26"/>
      <c r="AU34" s="81" t="n">
        <f aca="false">AT34-AS34</f>
        <v>0</v>
      </c>
      <c r="AV34" s="26"/>
      <c r="AW34" s="26"/>
      <c r="AX34" s="81" t="n">
        <f aca="false">AW34-AV34</f>
        <v>0</v>
      </c>
      <c r="AY34" s="26"/>
      <c r="AZ34" s="26"/>
      <c r="BA34" s="81" t="n">
        <f aca="false">AZ34-AY34</f>
        <v>0</v>
      </c>
      <c r="BB34" s="26"/>
      <c r="BC34" s="26"/>
      <c r="BD34" s="81" t="n">
        <f aca="false">BC34-BB34</f>
        <v>0</v>
      </c>
      <c r="BE34" s="26"/>
      <c r="BF34" s="26"/>
      <c r="BG34" s="81" t="n">
        <f aca="false">BF34-BE34</f>
        <v>0</v>
      </c>
      <c r="BH34" s="26"/>
      <c r="BI34" s="26"/>
      <c r="BJ34" s="81" t="n">
        <f aca="false">BI34-BH34</f>
        <v>0</v>
      </c>
      <c r="BK34" s="26"/>
      <c r="BL34" s="26"/>
      <c r="BM34" s="81" t="n">
        <f aca="false">BL34-BK34</f>
        <v>0</v>
      </c>
      <c r="BN34" s="26"/>
      <c r="BO34" s="26"/>
      <c r="BP34" s="81" t="n">
        <f aca="false">BO34-BN34</f>
        <v>0</v>
      </c>
      <c r="BQ34" s="26"/>
      <c r="BR34" s="26"/>
      <c r="BS34" s="81" t="n">
        <f aca="false">BR34-BQ34</f>
        <v>0</v>
      </c>
      <c r="BT34" s="26"/>
      <c r="BU34" s="26"/>
      <c r="BV34" s="81" t="n">
        <f aca="false">BU34-BT34</f>
        <v>0</v>
      </c>
      <c r="BW34" s="26"/>
      <c r="BX34" s="26"/>
      <c r="BY34" s="81" t="n">
        <f aca="false">BX34-BW34</f>
        <v>0</v>
      </c>
      <c r="BZ34" s="26"/>
      <c r="CA34" s="26"/>
      <c r="CB34" s="81" t="n">
        <f aca="false">CA34-BZ34</f>
        <v>0</v>
      </c>
      <c r="CC34" s="26"/>
      <c r="CD34" s="26"/>
      <c r="CE34" s="81" t="n">
        <f aca="false">CD34-CC34</f>
        <v>0</v>
      </c>
      <c r="CF34" s="26"/>
      <c r="CG34" s="26"/>
      <c r="CH34" s="81" t="n">
        <f aca="false">CG34-CF34</f>
        <v>0</v>
      </c>
      <c r="CI34" s="26"/>
      <c r="CJ34" s="26"/>
      <c r="CK34" s="81" t="n">
        <f aca="false">CJ34-CI34</f>
        <v>0</v>
      </c>
      <c r="CL34" s="26"/>
      <c r="CM34" s="26"/>
      <c r="CN34" s="81" t="n">
        <f aca="false">CM34-CL34</f>
        <v>0</v>
      </c>
      <c r="CO34" s="26"/>
      <c r="CP34" s="26"/>
      <c r="CQ34" s="81" t="n">
        <f aca="false">CP34-CO34</f>
        <v>0</v>
      </c>
      <c r="CR34" s="26"/>
      <c r="CS34" s="26"/>
      <c r="CT34" s="81" t="n">
        <f aca="false">CS34-CR34</f>
        <v>0</v>
      </c>
      <c r="CU34" s="26"/>
      <c r="CV34" s="26"/>
      <c r="CW34" s="81" t="n">
        <f aca="false">CV34-CU34</f>
        <v>0</v>
      </c>
      <c r="CX34" s="26"/>
      <c r="CY34" s="26"/>
      <c r="CZ34" s="81" t="n">
        <f aca="false">CY34-CX34</f>
        <v>0</v>
      </c>
      <c r="DA34" s="26"/>
      <c r="DB34" s="26"/>
      <c r="DC34" s="81" t="n">
        <f aca="false">DB34-DA34</f>
        <v>0</v>
      </c>
      <c r="DD34" s="26"/>
      <c r="DE34" s="26"/>
      <c r="DF34" s="81" t="n">
        <f aca="false">DE34-DD34</f>
        <v>0</v>
      </c>
      <c r="DG34" s="26"/>
      <c r="DH34" s="26"/>
      <c r="DI34" s="81" t="n">
        <f aca="false">DH34-DG34</f>
        <v>0</v>
      </c>
      <c r="DJ34" s="26"/>
      <c r="DK34" s="26"/>
      <c r="DL34" s="81" t="n">
        <f aca="false">DK34-DJ34</f>
        <v>0</v>
      </c>
      <c r="DM34" s="26"/>
      <c r="DN34" s="26"/>
      <c r="DO34" s="81" t="n">
        <f aca="false">DN34-DM34</f>
        <v>0</v>
      </c>
      <c r="DP34" s="26"/>
      <c r="DQ34" s="26"/>
      <c r="DR34" s="81" t="n">
        <f aca="false">DQ34-DP34</f>
        <v>0</v>
      </c>
      <c r="DS34" s="26"/>
      <c r="DT34" s="26"/>
      <c r="DU34" s="81" t="n">
        <f aca="false">DT34-DS34</f>
        <v>0</v>
      </c>
      <c r="DV34" s="26"/>
      <c r="DW34" s="26"/>
      <c r="DX34" s="81" t="n">
        <f aca="false">DW34-DV34</f>
        <v>0</v>
      </c>
      <c r="DY34" s="26"/>
      <c r="DZ34" s="26"/>
      <c r="EA34" s="81" t="n">
        <f aca="false">DZ34-DY34</f>
        <v>0</v>
      </c>
      <c r="EB34" s="26"/>
      <c r="EC34" s="26"/>
      <c r="ED34" s="81" t="n">
        <f aca="false">EC34-EB34</f>
        <v>0</v>
      </c>
      <c r="EE34" s="26"/>
      <c r="EF34" s="26"/>
      <c r="EG34" s="81" t="n">
        <f aca="false">EF34-EE34</f>
        <v>0</v>
      </c>
      <c r="EH34" s="26"/>
      <c r="EI34" s="26"/>
      <c r="EJ34" s="81" t="n">
        <f aca="false">EI34-EH34</f>
        <v>0</v>
      </c>
      <c r="EK34" s="26"/>
      <c r="EL34" s="26"/>
      <c r="EM34" s="81" t="n">
        <f aca="false">EL34-EK34</f>
        <v>0</v>
      </c>
      <c r="EN34" s="26"/>
      <c r="EO34" s="26"/>
      <c r="EP34" s="81" t="n">
        <f aca="false">EO34-EN34</f>
        <v>0</v>
      </c>
      <c r="EQ34" s="81" t="n">
        <f aca="false">+C34+F34+I34+L34+O34+R34+U34+X34+AA34+AD34+AG34+AJ34+AM34+AP34+AS34+AV34+AY34+BB34+BE34+BH34+BK34+BN34+BQ34+BT34+BW34+BZ34+CC34+CF34+CI34+CL34+CO34+CR34+CU34+CX34+DA34+DD34+DG34+DJ34+DM34+DP34+DS34+DV34+DY34+EB34+EE34+EH34+EK34+EN34</f>
        <v>385000</v>
      </c>
      <c r="ER34" s="81" t="n">
        <f aca="false">+D34+G34+J34+M34+P34+S34+V34+Y34+AB34+AE34+AH34+AK34+AN34+AQ34+AT34+AW34+AZ34+BC34+BF34+BI34+BL34+BO34+BR34+BU34+BX34+CA34+CD34+CG34+CJ34+CM34+CP34+CS34+CV34+CY34+DB34+DE34+DH34+DK34+DN34+DQ34+DT34+DW34+DZ34+EC34+EF34+EI34+EL34+EO34</f>
        <v>381386</v>
      </c>
      <c r="ES34" s="81" t="n">
        <f aca="false">ER34-EQ34</f>
        <v>-3614</v>
      </c>
      <c r="ET34" s="26" t="n">
        <f aca="false">+ET33+ES34</f>
        <v>-284609</v>
      </c>
      <c r="EU34" s="87"/>
      <c r="EV34" s="81" t="n">
        <f aca="false">+EQ34-AG34</f>
        <v>105000</v>
      </c>
      <c r="EW34" s="81" t="n">
        <f aca="false">+ER34-AH34</f>
        <v>105000</v>
      </c>
      <c r="EX34" s="26" t="n">
        <f aca="false">+EW34-EV34</f>
        <v>0</v>
      </c>
      <c r="EY34" s="26" t="n">
        <f aca="false">+EY33+EX34</f>
        <v>-62654</v>
      </c>
      <c r="EZ34" s="87"/>
      <c r="FA34" s="26" t="n">
        <f aca="false">+AI34</f>
        <v>-3614</v>
      </c>
      <c r="FB34" s="26" t="n">
        <f aca="false">+FB33+FA34</f>
        <v>-221955</v>
      </c>
      <c r="FC34" s="87"/>
      <c r="FD34" s="87"/>
      <c r="FE34" s="87"/>
      <c r="FF34" s="87"/>
      <c r="FG34" s="87"/>
      <c r="FH34" s="87"/>
      <c r="FI34" s="87"/>
    </row>
    <row r="35" customFormat="false" ht="12" hidden="false" customHeight="true" outlineLevel="0" collapsed="false">
      <c r="A35" s="80" t="n">
        <f aca="false">+BaseloadMarkets!A35</f>
        <v>36737</v>
      </c>
      <c r="B35" s="80" t="str">
        <f aca="false">+BaseloadMarkets!B35</f>
        <v>Sun</v>
      </c>
      <c r="C35" s="26" t="n">
        <v>10000</v>
      </c>
      <c r="D35" s="26" t="n">
        <v>10000</v>
      </c>
      <c r="E35" s="81" t="n">
        <f aca="false">D35-C35</f>
        <v>0</v>
      </c>
      <c r="F35" s="26" t="n">
        <v>10000</v>
      </c>
      <c r="G35" s="26" t="n">
        <v>10000</v>
      </c>
      <c r="H35" s="81" t="n">
        <f aca="false">G35-F35</f>
        <v>0</v>
      </c>
      <c r="I35" s="26" t="n">
        <v>10000</v>
      </c>
      <c r="J35" s="26" t="n">
        <v>10000</v>
      </c>
      <c r="K35" s="81" t="n">
        <f aca="false">J35-I35</f>
        <v>0</v>
      </c>
      <c r="L35" s="26" t="n">
        <v>5000</v>
      </c>
      <c r="M35" s="26" t="n">
        <v>5000</v>
      </c>
      <c r="N35" s="81" t="n">
        <f aca="false">M35-L35</f>
        <v>0</v>
      </c>
      <c r="O35" s="26" t="n">
        <v>10000</v>
      </c>
      <c r="P35" s="26" t="n">
        <v>10000</v>
      </c>
      <c r="Q35" s="81" t="n">
        <f aca="false">P35-O35</f>
        <v>0</v>
      </c>
      <c r="R35" s="26" t="n">
        <f aca="false">5000+5000</f>
        <v>10000</v>
      </c>
      <c r="S35" s="26" t="n">
        <f aca="false">5000+5000</f>
        <v>10000</v>
      </c>
      <c r="T35" s="81" t="n">
        <f aca="false">S35-R35</f>
        <v>0</v>
      </c>
      <c r="U35" s="26" t="n">
        <f aca="false">5000+5000</f>
        <v>10000</v>
      </c>
      <c r="V35" s="26" t="n">
        <f aca="false">5000+5000</f>
        <v>10000</v>
      </c>
      <c r="W35" s="81" t="n">
        <f aca="false">V35-U35</f>
        <v>0</v>
      </c>
      <c r="X35" s="26" t="n">
        <f aca="false">5000+5000</f>
        <v>10000</v>
      </c>
      <c r="Y35" s="26" t="n">
        <f aca="false">5000+5000</f>
        <v>10000</v>
      </c>
      <c r="Z35" s="81" t="n">
        <f aca="false">Y35-X35</f>
        <v>0</v>
      </c>
      <c r="AA35" s="26" t="n">
        <f aca="false">5000+5000</f>
        <v>10000</v>
      </c>
      <c r="AB35" s="26" t="n">
        <f aca="false">5000+5000</f>
        <v>10000</v>
      </c>
      <c r="AC35" s="81" t="n">
        <f aca="false">AB35-AA35</f>
        <v>0</v>
      </c>
      <c r="AD35" s="26" t="n">
        <f aca="false">5000+5000</f>
        <v>10000</v>
      </c>
      <c r="AE35" s="26" t="n">
        <f aca="false">5000+5000</f>
        <v>10000</v>
      </c>
      <c r="AF35" s="81" t="n">
        <f aca="false">AE35-AD35</f>
        <v>0</v>
      </c>
      <c r="AG35" s="83" t="n">
        <v>280000</v>
      </c>
      <c r="AH35" s="83" t="n">
        <v>268535</v>
      </c>
      <c r="AI35" s="120" t="n">
        <f aca="false">AH35-AG35</f>
        <v>-11465</v>
      </c>
      <c r="AJ35" s="26" t="n">
        <f aca="false">5000+5000</f>
        <v>10000</v>
      </c>
      <c r="AK35" s="26" t="n">
        <f aca="false">5000+5000</f>
        <v>10000</v>
      </c>
      <c r="AL35" s="81" t="n">
        <f aca="false">AK35-AJ35</f>
        <v>0</v>
      </c>
      <c r="AM35" s="26"/>
      <c r="AN35" s="26"/>
      <c r="AO35" s="81" t="n">
        <f aca="false">AN35-AM35</f>
        <v>0</v>
      </c>
      <c r="AP35" s="26"/>
      <c r="AQ35" s="26"/>
      <c r="AR35" s="81" t="n">
        <f aca="false">AQ35-AP35</f>
        <v>0</v>
      </c>
      <c r="AS35" s="26"/>
      <c r="AT35" s="26"/>
      <c r="AU35" s="81" t="n">
        <f aca="false">AT35-AS35</f>
        <v>0</v>
      </c>
      <c r="AV35" s="26"/>
      <c r="AW35" s="26"/>
      <c r="AX35" s="81" t="n">
        <f aca="false">AW35-AV35</f>
        <v>0</v>
      </c>
      <c r="AY35" s="26"/>
      <c r="AZ35" s="26"/>
      <c r="BA35" s="81" t="n">
        <f aca="false">AZ35-AY35</f>
        <v>0</v>
      </c>
      <c r="BB35" s="26"/>
      <c r="BC35" s="26"/>
      <c r="BD35" s="81" t="n">
        <f aca="false">BC35-BB35</f>
        <v>0</v>
      </c>
      <c r="BE35" s="26"/>
      <c r="BF35" s="26"/>
      <c r="BG35" s="81" t="n">
        <f aca="false">BF35-BE35</f>
        <v>0</v>
      </c>
      <c r="BH35" s="26"/>
      <c r="BI35" s="26"/>
      <c r="BJ35" s="81" t="n">
        <f aca="false">BI35-BH35</f>
        <v>0</v>
      </c>
      <c r="BK35" s="26"/>
      <c r="BL35" s="26"/>
      <c r="BM35" s="81" t="n">
        <f aca="false">BL35-BK35</f>
        <v>0</v>
      </c>
      <c r="BN35" s="26"/>
      <c r="BO35" s="26"/>
      <c r="BP35" s="81" t="n">
        <f aca="false">BO35-BN35</f>
        <v>0</v>
      </c>
      <c r="BQ35" s="26"/>
      <c r="BR35" s="26"/>
      <c r="BS35" s="81" t="n">
        <f aca="false">BR35-BQ35</f>
        <v>0</v>
      </c>
      <c r="BT35" s="26"/>
      <c r="BU35" s="26"/>
      <c r="BV35" s="81" t="n">
        <f aca="false">BU35-BT35</f>
        <v>0</v>
      </c>
      <c r="BW35" s="26"/>
      <c r="BX35" s="26"/>
      <c r="BY35" s="81" t="n">
        <f aca="false">BX35-BW35</f>
        <v>0</v>
      </c>
      <c r="BZ35" s="26"/>
      <c r="CA35" s="26"/>
      <c r="CB35" s="81" t="n">
        <f aca="false">CA35-BZ35</f>
        <v>0</v>
      </c>
      <c r="CC35" s="26"/>
      <c r="CD35" s="26"/>
      <c r="CE35" s="81" t="n">
        <f aca="false">CD35-CC35</f>
        <v>0</v>
      </c>
      <c r="CF35" s="26"/>
      <c r="CG35" s="26"/>
      <c r="CH35" s="81" t="n">
        <f aca="false">CG35-CF35</f>
        <v>0</v>
      </c>
      <c r="CI35" s="26"/>
      <c r="CJ35" s="26"/>
      <c r="CK35" s="81" t="n">
        <f aca="false">CJ35-CI35</f>
        <v>0</v>
      </c>
      <c r="CL35" s="26"/>
      <c r="CM35" s="26"/>
      <c r="CN35" s="81" t="n">
        <f aca="false">CM35-CL35</f>
        <v>0</v>
      </c>
      <c r="CO35" s="26"/>
      <c r="CP35" s="26"/>
      <c r="CQ35" s="81" t="n">
        <f aca="false">CP35-CO35</f>
        <v>0</v>
      </c>
      <c r="CR35" s="26"/>
      <c r="CS35" s="26"/>
      <c r="CT35" s="81" t="n">
        <f aca="false">CS35-CR35</f>
        <v>0</v>
      </c>
      <c r="CU35" s="26"/>
      <c r="CV35" s="26"/>
      <c r="CW35" s="81" t="n">
        <f aca="false">CV35-CU35</f>
        <v>0</v>
      </c>
      <c r="CX35" s="26"/>
      <c r="CY35" s="26"/>
      <c r="CZ35" s="81" t="n">
        <f aca="false">CY35-CX35</f>
        <v>0</v>
      </c>
      <c r="DA35" s="26"/>
      <c r="DB35" s="26"/>
      <c r="DC35" s="81" t="n">
        <f aca="false">DB35-DA35</f>
        <v>0</v>
      </c>
      <c r="DD35" s="26"/>
      <c r="DE35" s="26"/>
      <c r="DF35" s="81" t="n">
        <f aca="false">DE35-DD35</f>
        <v>0</v>
      </c>
      <c r="DG35" s="26"/>
      <c r="DH35" s="26"/>
      <c r="DI35" s="81" t="n">
        <f aca="false">DH35-DG35</f>
        <v>0</v>
      </c>
      <c r="DJ35" s="26"/>
      <c r="DK35" s="26"/>
      <c r="DL35" s="81" t="n">
        <f aca="false">DK35-DJ35</f>
        <v>0</v>
      </c>
      <c r="DM35" s="26"/>
      <c r="DN35" s="26"/>
      <c r="DO35" s="81" t="n">
        <f aca="false">DN35-DM35</f>
        <v>0</v>
      </c>
      <c r="DP35" s="26"/>
      <c r="DQ35" s="26"/>
      <c r="DR35" s="81" t="n">
        <f aca="false">DQ35-DP35</f>
        <v>0</v>
      </c>
      <c r="DS35" s="26"/>
      <c r="DT35" s="26"/>
      <c r="DU35" s="81" t="n">
        <f aca="false">DT35-DS35</f>
        <v>0</v>
      </c>
      <c r="DV35" s="26"/>
      <c r="DW35" s="26"/>
      <c r="DX35" s="81" t="n">
        <f aca="false">DW35-DV35</f>
        <v>0</v>
      </c>
      <c r="DY35" s="26"/>
      <c r="DZ35" s="26"/>
      <c r="EA35" s="81" t="n">
        <f aca="false">DZ35-DY35</f>
        <v>0</v>
      </c>
      <c r="EB35" s="26"/>
      <c r="EC35" s="26"/>
      <c r="ED35" s="81" t="n">
        <f aca="false">EC35-EB35</f>
        <v>0</v>
      </c>
      <c r="EE35" s="26"/>
      <c r="EF35" s="26"/>
      <c r="EG35" s="81" t="n">
        <f aca="false">EF35-EE35</f>
        <v>0</v>
      </c>
      <c r="EH35" s="26"/>
      <c r="EI35" s="26"/>
      <c r="EJ35" s="81" t="n">
        <f aca="false">EI35-EH35</f>
        <v>0</v>
      </c>
      <c r="EK35" s="26"/>
      <c r="EL35" s="26"/>
      <c r="EM35" s="81" t="n">
        <f aca="false">EL35-EK35</f>
        <v>0</v>
      </c>
      <c r="EN35" s="26"/>
      <c r="EO35" s="26"/>
      <c r="EP35" s="81" t="n">
        <f aca="false">EO35-EN35</f>
        <v>0</v>
      </c>
      <c r="EQ35" s="81" t="n">
        <f aca="false">+C35+F35+I35+L35+O35+R35+U35+X35+AA35+AD35+AG35+AJ35+AM35+AP35+AS35+AV35+AY35+BB35+BE35+BH35+BK35+BN35+BQ35+BT35+BW35+BZ35+CC35+CF35+CI35+CL35+CO35+CR35+CU35+CX35+DA35+DD35+DG35+DJ35+DM35+DP35+DS35+DV35+DY35+EB35+EE35+EH35+EK35+EN35</f>
        <v>385000</v>
      </c>
      <c r="ER35" s="81" t="n">
        <f aca="false">+D35+G35+J35+M35+P35+S35+V35+Y35+AB35+AE35+AH35+AK35+AN35+AQ35+AT35+AW35+AZ35+BC35+BF35+BI35+BL35+BO35+BR35+BU35+BX35+CA35+CD35+CG35+CJ35+CM35+CP35+CS35+CV35+CY35+DB35+DE35+DH35+DK35+DN35+DQ35+DT35+DW35+DZ35+EC35+EF35+EI35+EL35+EO35</f>
        <v>373535</v>
      </c>
      <c r="ES35" s="81" t="n">
        <f aca="false">ER35-EQ35</f>
        <v>-11465</v>
      </c>
      <c r="ET35" s="26" t="n">
        <f aca="false">+ET34+ES35</f>
        <v>-296074</v>
      </c>
      <c r="EU35" s="87"/>
      <c r="EV35" s="81" t="n">
        <f aca="false">+EQ35-AG35</f>
        <v>105000</v>
      </c>
      <c r="EW35" s="81" t="n">
        <f aca="false">+ER35-AH35</f>
        <v>105000</v>
      </c>
      <c r="EX35" s="26" t="n">
        <f aca="false">+EW35-EV35</f>
        <v>0</v>
      </c>
      <c r="EY35" s="26" t="n">
        <f aca="false">+EY34+EX35</f>
        <v>-62654</v>
      </c>
      <c r="EZ35" s="87"/>
      <c r="FA35" s="26" t="n">
        <f aca="false">+AI35</f>
        <v>-11465</v>
      </c>
      <c r="FB35" s="26" t="n">
        <f aca="false">+FB34+FA35</f>
        <v>-233420</v>
      </c>
      <c r="FC35" s="87"/>
      <c r="FD35" s="87"/>
      <c r="FE35" s="87"/>
      <c r="FF35" s="87"/>
      <c r="FG35" s="87"/>
      <c r="FH35" s="87"/>
      <c r="FI35" s="87"/>
    </row>
    <row r="36" customFormat="false" ht="12" hidden="false" customHeight="true" outlineLevel="0" collapsed="false">
      <c r="A36" s="80" t="n">
        <f aca="false">+BaseloadMarkets!A36</f>
        <v>36738</v>
      </c>
      <c r="B36" s="80" t="str">
        <f aca="false">+BaseloadMarkets!B36</f>
        <v>Mon</v>
      </c>
      <c r="C36" s="26" t="n">
        <v>10000</v>
      </c>
      <c r="D36" s="26" t="n">
        <v>10000</v>
      </c>
      <c r="E36" s="81" t="n">
        <f aca="false">D36-C36</f>
        <v>0</v>
      </c>
      <c r="F36" s="26" t="n">
        <v>10000</v>
      </c>
      <c r="G36" s="26" t="n">
        <v>10000</v>
      </c>
      <c r="H36" s="81" t="n">
        <f aca="false">G36-F36</f>
        <v>0</v>
      </c>
      <c r="I36" s="26" t="n">
        <v>10000</v>
      </c>
      <c r="J36" s="26" t="n">
        <v>10000</v>
      </c>
      <c r="K36" s="81" t="n">
        <f aca="false">J36-I36</f>
        <v>0</v>
      </c>
      <c r="L36" s="26" t="n">
        <v>5000</v>
      </c>
      <c r="M36" s="26" t="n">
        <v>5000</v>
      </c>
      <c r="N36" s="81" t="n">
        <f aca="false">M36-L36</f>
        <v>0</v>
      </c>
      <c r="O36" s="26" t="n">
        <v>10000</v>
      </c>
      <c r="P36" s="26" t="n">
        <v>10000</v>
      </c>
      <c r="Q36" s="81" t="n">
        <f aca="false">P36-O36</f>
        <v>0</v>
      </c>
      <c r="R36" s="26" t="n">
        <f aca="false">5000+5000</f>
        <v>10000</v>
      </c>
      <c r="S36" s="26" t="n">
        <f aca="false">5000+5000</f>
        <v>10000</v>
      </c>
      <c r="T36" s="81" t="n">
        <f aca="false">S36-R36</f>
        <v>0</v>
      </c>
      <c r="U36" s="26" t="n">
        <f aca="false">5000+5000</f>
        <v>10000</v>
      </c>
      <c r="V36" s="26" t="n">
        <f aca="false">5000+5000</f>
        <v>10000</v>
      </c>
      <c r="W36" s="81" t="n">
        <f aca="false">V36-U36</f>
        <v>0</v>
      </c>
      <c r="X36" s="26" t="n">
        <f aca="false">5000+5000</f>
        <v>10000</v>
      </c>
      <c r="Y36" s="26" t="n">
        <f aca="false">5000+5000</f>
        <v>10000</v>
      </c>
      <c r="Z36" s="81" t="n">
        <f aca="false">Y36-X36</f>
        <v>0</v>
      </c>
      <c r="AA36" s="26" t="n">
        <f aca="false">5000+5000</f>
        <v>10000</v>
      </c>
      <c r="AB36" s="26" t="n">
        <f aca="false">5000+5000</f>
        <v>10000</v>
      </c>
      <c r="AC36" s="81" t="n">
        <f aca="false">AB36-AA36</f>
        <v>0</v>
      </c>
      <c r="AD36" s="26" t="n">
        <f aca="false">5000+5000</f>
        <v>10000</v>
      </c>
      <c r="AE36" s="26" t="n">
        <f aca="false">5000+5000</f>
        <v>10000</v>
      </c>
      <c r="AF36" s="81" t="n">
        <f aca="false">AE36-AD36</f>
        <v>0</v>
      </c>
      <c r="AG36" s="83" t="n">
        <v>280000</v>
      </c>
      <c r="AH36" s="83" t="n">
        <v>276239</v>
      </c>
      <c r="AI36" s="120" t="n">
        <f aca="false">AH36-AG36</f>
        <v>-3761</v>
      </c>
      <c r="AJ36" s="26" t="n">
        <f aca="false">5000+5000</f>
        <v>10000</v>
      </c>
      <c r="AK36" s="26" t="n">
        <f aca="false">5000+5000</f>
        <v>10000</v>
      </c>
      <c r="AL36" s="81" t="n">
        <f aca="false">AK36-AJ36</f>
        <v>0</v>
      </c>
      <c r="AM36" s="26"/>
      <c r="AN36" s="26"/>
      <c r="AO36" s="81" t="n">
        <f aca="false">AN36-AM36</f>
        <v>0</v>
      </c>
      <c r="AP36" s="26"/>
      <c r="AQ36" s="26"/>
      <c r="AR36" s="81" t="n">
        <f aca="false">AQ36-AP36</f>
        <v>0</v>
      </c>
      <c r="AS36" s="26"/>
      <c r="AT36" s="26"/>
      <c r="AU36" s="81" t="n">
        <f aca="false">AT36-AS36</f>
        <v>0</v>
      </c>
      <c r="AV36" s="26"/>
      <c r="AW36" s="26"/>
      <c r="AX36" s="81" t="n">
        <f aca="false">AW36-AV36</f>
        <v>0</v>
      </c>
      <c r="AY36" s="26"/>
      <c r="AZ36" s="26"/>
      <c r="BA36" s="81" t="n">
        <f aca="false">AZ36-AY36</f>
        <v>0</v>
      </c>
      <c r="BB36" s="26"/>
      <c r="BC36" s="26"/>
      <c r="BD36" s="81" t="n">
        <f aca="false">BC36-BB36</f>
        <v>0</v>
      </c>
      <c r="BE36" s="26"/>
      <c r="BF36" s="26"/>
      <c r="BG36" s="81" t="n">
        <f aca="false">BF36-BE36</f>
        <v>0</v>
      </c>
      <c r="BH36" s="26"/>
      <c r="BI36" s="26"/>
      <c r="BJ36" s="81" t="n">
        <f aca="false">BI36-BH36</f>
        <v>0</v>
      </c>
      <c r="BK36" s="26"/>
      <c r="BL36" s="26"/>
      <c r="BM36" s="81" t="n">
        <f aca="false">BL36-BK36</f>
        <v>0</v>
      </c>
      <c r="BN36" s="26"/>
      <c r="BO36" s="26"/>
      <c r="BP36" s="81" t="n">
        <f aca="false">BO36-BN36</f>
        <v>0</v>
      </c>
      <c r="BQ36" s="26"/>
      <c r="BR36" s="26"/>
      <c r="BS36" s="81" t="n">
        <f aca="false">BR36-BQ36</f>
        <v>0</v>
      </c>
      <c r="BT36" s="26"/>
      <c r="BU36" s="26"/>
      <c r="BV36" s="81" t="n">
        <f aca="false">BU36-BT36</f>
        <v>0</v>
      </c>
      <c r="BW36" s="26"/>
      <c r="BX36" s="26"/>
      <c r="BY36" s="81" t="n">
        <f aca="false">BX36-BW36</f>
        <v>0</v>
      </c>
      <c r="BZ36" s="26"/>
      <c r="CA36" s="26"/>
      <c r="CB36" s="81" t="n">
        <f aca="false">CA36-BZ36</f>
        <v>0</v>
      </c>
      <c r="CC36" s="26"/>
      <c r="CD36" s="26"/>
      <c r="CE36" s="81" t="n">
        <f aca="false">CD36-CC36</f>
        <v>0</v>
      </c>
      <c r="CF36" s="26"/>
      <c r="CG36" s="26"/>
      <c r="CH36" s="81" t="n">
        <f aca="false">CG36-CF36</f>
        <v>0</v>
      </c>
      <c r="CI36" s="26"/>
      <c r="CJ36" s="26"/>
      <c r="CK36" s="81" t="n">
        <f aca="false">CJ36-CI36</f>
        <v>0</v>
      </c>
      <c r="CL36" s="26"/>
      <c r="CM36" s="26"/>
      <c r="CN36" s="81" t="n">
        <f aca="false">CM36-CL36</f>
        <v>0</v>
      </c>
      <c r="CO36" s="26"/>
      <c r="CP36" s="26"/>
      <c r="CQ36" s="81" t="n">
        <f aca="false">CP36-CO36</f>
        <v>0</v>
      </c>
      <c r="CR36" s="26"/>
      <c r="CS36" s="26"/>
      <c r="CT36" s="81" t="n">
        <f aca="false">CS36-CR36</f>
        <v>0</v>
      </c>
      <c r="CU36" s="26"/>
      <c r="CV36" s="26"/>
      <c r="CW36" s="81" t="n">
        <f aca="false">CV36-CU36</f>
        <v>0</v>
      </c>
      <c r="CX36" s="26"/>
      <c r="CY36" s="26"/>
      <c r="CZ36" s="81" t="n">
        <f aca="false">CY36-CX36</f>
        <v>0</v>
      </c>
      <c r="DA36" s="26"/>
      <c r="DB36" s="26"/>
      <c r="DC36" s="81" t="n">
        <f aca="false">DB36-DA36</f>
        <v>0</v>
      </c>
      <c r="DD36" s="26"/>
      <c r="DE36" s="26"/>
      <c r="DF36" s="81" t="n">
        <f aca="false">DE36-DD36</f>
        <v>0</v>
      </c>
      <c r="DG36" s="26"/>
      <c r="DH36" s="26"/>
      <c r="DI36" s="81" t="n">
        <f aca="false">DH36-DG36</f>
        <v>0</v>
      </c>
      <c r="DJ36" s="26"/>
      <c r="DK36" s="26"/>
      <c r="DL36" s="81" t="n">
        <f aca="false">DK36-DJ36</f>
        <v>0</v>
      </c>
      <c r="DM36" s="26"/>
      <c r="DN36" s="26"/>
      <c r="DO36" s="81" t="n">
        <f aca="false">DN36-DM36</f>
        <v>0</v>
      </c>
      <c r="DP36" s="26"/>
      <c r="DQ36" s="26"/>
      <c r="DR36" s="81" t="n">
        <f aca="false">DQ36-DP36</f>
        <v>0</v>
      </c>
      <c r="DS36" s="26"/>
      <c r="DT36" s="26"/>
      <c r="DU36" s="81" t="n">
        <f aca="false">DT36-DS36</f>
        <v>0</v>
      </c>
      <c r="DV36" s="26"/>
      <c r="DW36" s="26"/>
      <c r="DX36" s="81" t="n">
        <f aca="false">DW36-DV36</f>
        <v>0</v>
      </c>
      <c r="DY36" s="26"/>
      <c r="DZ36" s="26"/>
      <c r="EA36" s="81" t="n">
        <f aca="false">DZ36-DY36</f>
        <v>0</v>
      </c>
      <c r="EB36" s="26"/>
      <c r="EC36" s="26"/>
      <c r="ED36" s="81" t="n">
        <f aca="false">EC36-EB36</f>
        <v>0</v>
      </c>
      <c r="EE36" s="26"/>
      <c r="EF36" s="26"/>
      <c r="EG36" s="81" t="n">
        <f aca="false">EF36-EE36</f>
        <v>0</v>
      </c>
      <c r="EH36" s="26"/>
      <c r="EI36" s="26"/>
      <c r="EJ36" s="81" t="n">
        <f aca="false">EI36-EH36</f>
        <v>0</v>
      </c>
      <c r="EK36" s="26"/>
      <c r="EL36" s="26"/>
      <c r="EM36" s="81" t="n">
        <f aca="false">EL36-EK36</f>
        <v>0</v>
      </c>
      <c r="EN36" s="26"/>
      <c r="EO36" s="26"/>
      <c r="EP36" s="81" t="n">
        <f aca="false">EO36-EN36</f>
        <v>0</v>
      </c>
      <c r="EQ36" s="81" t="n">
        <f aca="false">+C36+F36+I36+L36+O36+R36+U36+X36+AA36+AD36+AG36+AJ36+AM36+AP36+AS36+AV36+AY36+BB36+BE36+BH36+BK36+BN36+BQ36+BT36+BW36+BZ36+CC36+CF36+CI36+CL36+CO36+CR36+CU36+CX36+DA36+DD36+DG36+DJ36+DM36+DP36+DS36+DV36+DY36+EB36+EE36+EH36+EK36+EN36</f>
        <v>385000</v>
      </c>
      <c r="ER36" s="81" t="n">
        <f aca="false">+D36+G36+J36+M36+P36+S36+V36+Y36+AB36+AE36+AH36+AK36+AN36+AQ36+AT36+AW36+AZ36+BC36+BF36+BI36+BL36+BO36+BR36+BU36+BX36+CA36+CD36+CG36+CJ36+CM36+CP36+CS36+CV36+CY36+DB36+DE36+DH36+DK36+DN36+DQ36+DT36+DW36+DZ36+EC36+EF36+EI36+EL36+EO36</f>
        <v>381239</v>
      </c>
      <c r="ES36" s="81" t="n">
        <f aca="false">ER36-EQ36</f>
        <v>-3761</v>
      </c>
      <c r="ET36" s="26" t="n">
        <f aca="false">+ET35+ES36</f>
        <v>-299835</v>
      </c>
      <c r="EU36" s="87"/>
      <c r="EV36" s="81" t="n">
        <f aca="false">+EQ36-AG36</f>
        <v>105000</v>
      </c>
      <c r="EW36" s="81" t="n">
        <f aca="false">+ER36-AH36</f>
        <v>105000</v>
      </c>
      <c r="EX36" s="26" t="n">
        <f aca="false">+EW36-EV36</f>
        <v>0</v>
      </c>
      <c r="EY36" s="26" t="n">
        <f aca="false">+EY35+EX36</f>
        <v>-62654</v>
      </c>
      <c r="EZ36" s="87"/>
      <c r="FA36" s="26" t="n">
        <f aca="false">+AI36</f>
        <v>-3761</v>
      </c>
      <c r="FB36" s="26" t="n">
        <f aca="false">+FB35+FA36</f>
        <v>-237181</v>
      </c>
      <c r="FC36" s="87"/>
      <c r="FD36" s="87"/>
      <c r="FE36" s="87"/>
      <c r="FF36" s="87"/>
      <c r="FG36" s="87"/>
      <c r="FH36" s="87"/>
      <c r="FI36" s="87"/>
    </row>
    <row r="37" customFormat="false" ht="12.75" hidden="false" customHeight="false" outlineLevel="0" collapsed="false">
      <c r="A37" s="88" t="s">
        <v>62</v>
      </c>
      <c r="C37" s="32" t="n">
        <f aca="false">SUM(C6:C36)</f>
        <v>310000</v>
      </c>
      <c r="D37" s="32" t="n">
        <f aca="false">SUM(D6:D36)</f>
        <v>297700</v>
      </c>
      <c r="E37" s="32" t="n">
        <f aca="false">SUM(E6:E36)</f>
        <v>-12300</v>
      </c>
      <c r="F37" s="32" t="n">
        <f aca="false">SUM(F6:F36)</f>
        <v>310000</v>
      </c>
      <c r="G37" s="32" t="n">
        <f aca="false">SUM(G6:G36)</f>
        <v>288309</v>
      </c>
      <c r="H37" s="32" t="n">
        <f aca="false">SUM(H6:H36)</f>
        <v>-21691</v>
      </c>
      <c r="I37" s="32" t="n">
        <f aca="false">SUM(I6:I36)</f>
        <v>310000</v>
      </c>
      <c r="J37" s="32" t="n">
        <f aca="false">SUM(J6:J36)</f>
        <v>310000</v>
      </c>
      <c r="K37" s="89" t="n">
        <f aca="false">SUM(K6:K36)</f>
        <v>0</v>
      </c>
      <c r="L37" s="32" t="n">
        <f aca="false">SUM(L6:L36)</f>
        <v>155000</v>
      </c>
      <c r="M37" s="32" t="n">
        <f aca="false">SUM(M6:M36)</f>
        <v>155000</v>
      </c>
      <c r="N37" s="89" t="n">
        <f aca="false">SUM(N6:N36)</f>
        <v>0</v>
      </c>
      <c r="O37" s="32" t="n">
        <f aca="false">SUM(O6:O36)</f>
        <v>310000</v>
      </c>
      <c r="P37" s="32" t="n">
        <f aca="false">SUM(P6:P36)</f>
        <v>310000</v>
      </c>
      <c r="Q37" s="89" t="n">
        <f aca="false">SUM(Q6:Q36)</f>
        <v>0</v>
      </c>
      <c r="R37" s="32" t="n">
        <f aca="false">SUM(R6:R36)</f>
        <v>310000</v>
      </c>
      <c r="S37" s="32" t="n">
        <f aca="false">SUM(S6:S36)</f>
        <v>310000</v>
      </c>
      <c r="T37" s="89" t="n">
        <f aca="false">SUM(T6:T36)</f>
        <v>0</v>
      </c>
      <c r="U37" s="32" t="n">
        <f aca="false">SUM(U6:U36)</f>
        <v>310000</v>
      </c>
      <c r="V37" s="32" t="n">
        <f aca="false">SUM(V6:V36)</f>
        <v>310000</v>
      </c>
      <c r="W37" s="89" t="n">
        <f aca="false">SUM(W6:W36)</f>
        <v>0</v>
      </c>
      <c r="X37" s="32" t="n">
        <f aca="false">SUM(X6:X36)</f>
        <v>310000</v>
      </c>
      <c r="Y37" s="32" t="n">
        <f aca="false">SUM(Y6:Y36)</f>
        <v>310000</v>
      </c>
      <c r="Z37" s="89" t="n">
        <f aca="false">SUM(Z6:Z36)</f>
        <v>0</v>
      </c>
      <c r="AA37" s="32" t="n">
        <f aca="false">SUM(AA6:AA36)</f>
        <v>310000</v>
      </c>
      <c r="AB37" s="32" t="n">
        <f aca="false">SUM(AB6:AB36)</f>
        <v>310000</v>
      </c>
      <c r="AC37" s="89" t="n">
        <f aca="false">SUM(AC6:AC36)</f>
        <v>0</v>
      </c>
      <c r="AD37" s="32" t="n">
        <f aca="false">SUM(AD6:AD36)</f>
        <v>310000</v>
      </c>
      <c r="AE37" s="32" t="n">
        <f aca="false">SUM(AE6:AE36)</f>
        <v>310000</v>
      </c>
      <c r="AF37" s="89" t="n">
        <f aca="false">SUM(AF6:AF36)</f>
        <v>0</v>
      </c>
      <c r="AG37" s="90" t="n">
        <f aca="false">SUM(AG6:AG36)</f>
        <v>6755000</v>
      </c>
      <c r="AH37" s="90" t="n">
        <f aca="false">SUM(AH6:AH36)</f>
        <v>6517819</v>
      </c>
      <c r="AI37" s="121" t="n">
        <f aca="false">SUM(AI6:AI36)</f>
        <v>-237181</v>
      </c>
      <c r="AJ37" s="32" t="n">
        <f aca="false">SUM(AJ6:AJ36)</f>
        <v>310000</v>
      </c>
      <c r="AK37" s="32" t="n">
        <f aca="false">SUM(AK6:AK36)</f>
        <v>281337</v>
      </c>
      <c r="AL37" s="89" t="n">
        <f aca="false">SUM(AL6:AL36)</f>
        <v>-28663</v>
      </c>
      <c r="AM37" s="32" t="n">
        <f aca="false">SUM(AM6:AM36)</f>
        <v>0</v>
      </c>
      <c r="AN37" s="32" t="n">
        <f aca="false">SUM(AN6:AN36)</f>
        <v>0</v>
      </c>
      <c r="AO37" s="89" t="n">
        <f aca="false">SUM(AO6:AO36)</f>
        <v>0</v>
      </c>
      <c r="AP37" s="32" t="n">
        <f aca="false">SUM(AP6:AP36)</f>
        <v>0</v>
      </c>
      <c r="AQ37" s="32" t="n">
        <f aca="false">SUM(AQ6:AQ36)</f>
        <v>0</v>
      </c>
      <c r="AR37" s="89" t="n">
        <f aca="false">SUM(AR6:AR36)</f>
        <v>0</v>
      </c>
      <c r="AS37" s="32" t="n">
        <f aca="false">SUM(AS6:AS36)</f>
        <v>0</v>
      </c>
      <c r="AT37" s="32" t="n">
        <f aca="false">SUM(AT6:AT36)</f>
        <v>0</v>
      </c>
      <c r="AU37" s="89" t="n">
        <f aca="false">SUM(AU6:AU36)</f>
        <v>0</v>
      </c>
      <c r="AV37" s="32" t="n">
        <f aca="false">SUM(AV6:AV36)</f>
        <v>0</v>
      </c>
      <c r="AW37" s="32" t="n">
        <f aca="false">SUM(AW6:AW36)</f>
        <v>0</v>
      </c>
      <c r="AX37" s="89" t="n">
        <f aca="false">SUM(AX6:AX36)</f>
        <v>0</v>
      </c>
      <c r="AY37" s="32" t="n">
        <f aca="false">SUM(AY6:AY36)</f>
        <v>0</v>
      </c>
      <c r="AZ37" s="32" t="n">
        <f aca="false">SUM(AZ6:AZ36)</f>
        <v>0</v>
      </c>
      <c r="BA37" s="89" t="n">
        <f aca="false">SUM(BA6:BA36)</f>
        <v>0</v>
      </c>
      <c r="BB37" s="32" t="n">
        <f aca="false">SUM(BB6:BB36)</f>
        <v>0</v>
      </c>
      <c r="BC37" s="32" t="n">
        <f aca="false">SUM(BC6:BC36)</f>
        <v>0</v>
      </c>
      <c r="BD37" s="89" t="n">
        <f aca="false">SUM(BD6:BD36)</f>
        <v>0</v>
      </c>
      <c r="BE37" s="32" t="n">
        <f aca="false">SUM(BE6:BE36)</f>
        <v>0</v>
      </c>
      <c r="BF37" s="32" t="n">
        <f aca="false">SUM(BF6:BF36)</f>
        <v>0</v>
      </c>
      <c r="BG37" s="32" t="n">
        <f aca="false">SUM(BG6:BG36)</f>
        <v>0</v>
      </c>
      <c r="BH37" s="32" t="n">
        <f aca="false">SUM(BH6:BH36)</f>
        <v>0</v>
      </c>
      <c r="BI37" s="32" t="n">
        <f aca="false">SUM(BI6:BI36)</f>
        <v>0</v>
      </c>
      <c r="BJ37" s="89" t="n">
        <f aca="false">SUM(BJ6:BJ36)</f>
        <v>0</v>
      </c>
      <c r="BK37" s="32" t="n">
        <f aca="false">SUM(BK6:BK36)</f>
        <v>0</v>
      </c>
      <c r="BL37" s="32" t="n">
        <f aca="false">SUM(BL6:BL36)</f>
        <v>0</v>
      </c>
      <c r="BM37" s="89" t="n">
        <f aca="false">SUM(BM6:BM36)</f>
        <v>0</v>
      </c>
      <c r="BN37" s="32" t="n">
        <f aca="false">SUM(BN6:BN36)</f>
        <v>0</v>
      </c>
      <c r="BO37" s="32" t="n">
        <f aca="false">SUM(BO6:BO36)</f>
        <v>0</v>
      </c>
      <c r="BP37" s="89" t="n">
        <f aca="false">SUM(BP6:BP36)</f>
        <v>0</v>
      </c>
      <c r="BQ37" s="32" t="n">
        <f aca="false">SUM(BQ6:BQ36)</f>
        <v>0</v>
      </c>
      <c r="BR37" s="32" t="n">
        <f aca="false">SUM(BR6:BR36)</f>
        <v>0</v>
      </c>
      <c r="BS37" s="89" t="n">
        <f aca="false">SUM(BS6:BS36)</f>
        <v>0</v>
      </c>
      <c r="BT37" s="32" t="n">
        <f aca="false">SUM(BT6:BT36)</f>
        <v>0</v>
      </c>
      <c r="BU37" s="32" t="n">
        <f aca="false">SUM(BU6:BU36)</f>
        <v>0</v>
      </c>
      <c r="BV37" s="89" t="n">
        <f aca="false">SUM(BV6:BV36)</f>
        <v>0</v>
      </c>
      <c r="BW37" s="32" t="n">
        <f aca="false">SUM(BW6:BW36)</f>
        <v>0</v>
      </c>
      <c r="BX37" s="32" t="n">
        <f aca="false">SUM(BX6:BX36)</f>
        <v>0</v>
      </c>
      <c r="BY37" s="89" t="n">
        <f aca="false">SUM(BY6:BY36)</f>
        <v>0</v>
      </c>
      <c r="BZ37" s="32" t="n">
        <f aca="false">SUM(BZ6:BZ36)</f>
        <v>0</v>
      </c>
      <c r="CA37" s="32" t="n">
        <f aca="false">SUM(CA6:CA36)</f>
        <v>0</v>
      </c>
      <c r="CB37" s="89" t="n">
        <f aca="false">SUM(CB6:CB36)</f>
        <v>0</v>
      </c>
      <c r="CC37" s="32" t="n">
        <f aca="false">SUM(CC6:CC36)</f>
        <v>0</v>
      </c>
      <c r="CD37" s="32" t="n">
        <f aca="false">SUM(CD6:CD36)</f>
        <v>0</v>
      </c>
      <c r="CE37" s="89" t="n">
        <f aca="false">SUM(CE6:CE36)</f>
        <v>0</v>
      </c>
      <c r="CF37" s="32" t="n">
        <f aca="false">SUM(CF6:CF36)</f>
        <v>0</v>
      </c>
      <c r="CG37" s="32" t="n">
        <f aca="false">SUM(CG6:CG36)</f>
        <v>0</v>
      </c>
      <c r="CH37" s="89" t="n">
        <f aca="false">SUM(CH6:CH36)</f>
        <v>0</v>
      </c>
      <c r="CI37" s="32" t="n">
        <f aca="false">SUM(CI6:CI36)</f>
        <v>0</v>
      </c>
      <c r="CJ37" s="32" t="n">
        <f aca="false">SUM(CJ6:CJ36)</f>
        <v>0</v>
      </c>
      <c r="CK37" s="89" t="n">
        <f aca="false">SUM(CK6:CK36)</f>
        <v>0</v>
      </c>
      <c r="CL37" s="32" t="n">
        <f aca="false">SUM(CL6:CL36)</f>
        <v>0</v>
      </c>
      <c r="CM37" s="32" t="n">
        <f aca="false">SUM(CM6:CM36)</f>
        <v>0</v>
      </c>
      <c r="CN37" s="89" t="n">
        <f aca="false">SUM(CN6:CN36)</f>
        <v>0</v>
      </c>
      <c r="CO37" s="32" t="n">
        <f aca="false">SUM(CO6:CO36)</f>
        <v>0</v>
      </c>
      <c r="CP37" s="32" t="n">
        <f aca="false">SUM(CP6:CP36)</f>
        <v>0</v>
      </c>
      <c r="CQ37" s="89" t="n">
        <f aca="false">SUM(CQ6:CQ36)</f>
        <v>0</v>
      </c>
      <c r="CR37" s="32" t="n">
        <f aca="false">SUM(CR6:CR36)</f>
        <v>0</v>
      </c>
      <c r="CS37" s="32" t="n">
        <f aca="false">SUM(CS6:CS36)</f>
        <v>0</v>
      </c>
      <c r="CT37" s="89" t="n">
        <f aca="false">SUM(CT6:CT36)</f>
        <v>0</v>
      </c>
      <c r="CU37" s="32" t="n">
        <f aca="false">SUM(CU6:CU36)</f>
        <v>0</v>
      </c>
      <c r="CV37" s="32" t="n">
        <f aca="false">SUM(CV6:CV36)</f>
        <v>0</v>
      </c>
      <c r="CW37" s="89" t="n">
        <f aca="false">SUM(CW6:CW36)</f>
        <v>0</v>
      </c>
      <c r="CX37" s="32" t="n">
        <f aca="false">SUM(CX6:CX36)</f>
        <v>0</v>
      </c>
      <c r="CY37" s="32" t="n">
        <f aca="false">SUM(CY6:CY36)</f>
        <v>0</v>
      </c>
      <c r="CZ37" s="89" t="n">
        <f aca="false">SUM(CZ6:CZ36)</f>
        <v>0</v>
      </c>
      <c r="DA37" s="32" t="n">
        <f aca="false">SUM(DA6:DA36)</f>
        <v>0</v>
      </c>
      <c r="DB37" s="32" t="n">
        <f aca="false">SUM(DB6:DB36)</f>
        <v>0</v>
      </c>
      <c r="DC37" s="89" t="n">
        <f aca="false">SUM(DC6:DC36)</f>
        <v>0</v>
      </c>
      <c r="DD37" s="32" t="n">
        <f aca="false">SUM(DD6:DD36)</f>
        <v>0</v>
      </c>
      <c r="DE37" s="32" t="n">
        <f aca="false">SUM(DE6:DE36)</f>
        <v>0</v>
      </c>
      <c r="DF37" s="89" t="n">
        <f aca="false">SUM(DF6:DF36)</f>
        <v>0</v>
      </c>
      <c r="DG37" s="32" t="n">
        <f aca="false">SUM(DG6:DG36)</f>
        <v>0</v>
      </c>
      <c r="DH37" s="32" t="n">
        <f aca="false">SUM(DH6:DH36)</f>
        <v>0</v>
      </c>
      <c r="DI37" s="89" t="n">
        <f aca="false">SUM(DI6:DI36)</f>
        <v>0</v>
      </c>
      <c r="DJ37" s="32" t="n">
        <f aca="false">SUM(DJ6:DJ36)</f>
        <v>0</v>
      </c>
      <c r="DK37" s="32" t="n">
        <f aca="false">SUM(DK6:DK36)</f>
        <v>0</v>
      </c>
      <c r="DL37" s="89" t="n">
        <f aca="false">SUM(DL6:DL36)</f>
        <v>0</v>
      </c>
      <c r="DM37" s="32" t="n">
        <f aca="false">SUM(DM6:DM36)</f>
        <v>0</v>
      </c>
      <c r="DN37" s="32" t="n">
        <f aca="false">SUM(DN6:DN36)</f>
        <v>0</v>
      </c>
      <c r="DO37" s="89" t="n">
        <f aca="false">SUM(DO6:DO36)</f>
        <v>0</v>
      </c>
      <c r="DP37" s="32" t="n">
        <f aca="false">SUM(DP6:DP36)</f>
        <v>0</v>
      </c>
      <c r="DQ37" s="32" t="n">
        <f aca="false">SUM(DQ6:DQ36)</f>
        <v>0</v>
      </c>
      <c r="DR37" s="89" t="n">
        <f aca="false">SUM(DR6:DR36)</f>
        <v>0</v>
      </c>
      <c r="DS37" s="32" t="n">
        <f aca="false">SUM(DS6:DS36)</f>
        <v>0</v>
      </c>
      <c r="DT37" s="32" t="n">
        <f aca="false">SUM(DT6:DT36)</f>
        <v>0</v>
      </c>
      <c r="DU37" s="89" t="n">
        <f aca="false">SUM(DU6:DU36)</f>
        <v>0</v>
      </c>
      <c r="DV37" s="32" t="n">
        <f aca="false">SUM(DV6:DV36)</f>
        <v>0</v>
      </c>
      <c r="DW37" s="32" t="n">
        <f aca="false">SUM(DW6:DW36)</f>
        <v>0</v>
      </c>
      <c r="DX37" s="89" t="n">
        <f aca="false">SUM(DX6:DX36)</f>
        <v>0</v>
      </c>
      <c r="DY37" s="32" t="n">
        <f aca="false">SUM(DY6:DY36)</f>
        <v>0</v>
      </c>
      <c r="DZ37" s="32" t="n">
        <f aca="false">SUM(DZ6:DZ36)</f>
        <v>0</v>
      </c>
      <c r="EA37" s="89" t="n">
        <f aca="false">SUM(EA6:EA36)</f>
        <v>0</v>
      </c>
      <c r="EB37" s="32" t="n">
        <f aca="false">SUM(EB6:EB36)</f>
        <v>0</v>
      </c>
      <c r="EC37" s="32" t="n">
        <f aca="false">SUM(EC6:EC36)</f>
        <v>0</v>
      </c>
      <c r="ED37" s="89" t="n">
        <f aca="false">SUM(ED6:ED36)</f>
        <v>0</v>
      </c>
      <c r="EE37" s="32" t="n">
        <f aca="false">SUM(EE6:EE36)</f>
        <v>0</v>
      </c>
      <c r="EF37" s="32" t="n">
        <f aca="false">SUM(EF6:EF36)</f>
        <v>0</v>
      </c>
      <c r="EG37" s="89" t="n">
        <f aca="false">SUM(EG6:EG36)</f>
        <v>0</v>
      </c>
      <c r="EH37" s="32" t="n">
        <f aca="false">SUM(EH6:EH36)</f>
        <v>0</v>
      </c>
      <c r="EI37" s="32" t="n">
        <f aca="false">SUM(EI6:EI36)</f>
        <v>0</v>
      </c>
      <c r="EJ37" s="89" t="n">
        <f aca="false">SUM(EJ6:EJ36)</f>
        <v>0</v>
      </c>
      <c r="EK37" s="32" t="n">
        <f aca="false">SUM(EK6:EK36)</f>
        <v>0</v>
      </c>
      <c r="EL37" s="32" t="n">
        <f aca="false">SUM(EL6:EL36)</f>
        <v>0</v>
      </c>
      <c r="EM37" s="89" t="n">
        <f aca="false">SUM(EM6:EM36)</f>
        <v>0</v>
      </c>
      <c r="EN37" s="32" t="n">
        <f aca="false">SUM(EN6:EN36)</f>
        <v>0</v>
      </c>
      <c r="EO37" s="32" t="n">
        <f aca="false">SUM(EO6:EO36)</f>
        <v>0</v>
      </c>
      <c r="EP37" s="89" t="n">
        <f aca="false">SUM(EP6:EP36)</f>
        <v>0</v>
      </c>
      <c r="EQ37" s="91" t="n">
        <f aca="false">SUM(EQ6:EQ36)</f>
        <v>10010000</v>
      </c>
      <c r="ER37" s="89" t="n">
        <f aca="false">SUM(ER6:ER36)</f>
        <v>9710165</v>
      </c>
      <c r="ES37" s="89" t="n">
        <f aca="false">SUM(ES6:ES36)</f>
        <v>-299835</v>
      </c>
      <c r="ET37" s="32"/>
      <c r="EU37" s="32"/>
      <c r="EV37" s="32"/>
      <c r="EW37" s="9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93"/>
      <c r="FK37" s="93"/>
      <c r="FL37" s="93"/>
      <c r="FM37" s="93"/>
      <c r="FN37" s="93"/>
      <c r="FO37" s="93"/>
      <c r="FP37" s="93"/>
      <c r="FQ37" s="93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5"/>
      <c r="GO37" s="95"/>
      <c r="GP37" s="95"/>
      <c r="GQ37" s="95"/>
      <c r="GR37" s="95"/>
      <c r="GS37" s="95"/>
      <c r="GT37" s="95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12.75" hidden="false" customHeight="false" outlineLevel="0" collapsed="false">
      <c r="A38" s="97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44"/>
      <c r="AA38" s="35"/>
      <c r="AB38" s="35"/>
      <c r="AC38" s="44"/>
      <c r="AD38" s="35"/>
      <c r="AE38" s="35"/>
      <c r="AF38" s="44"/>
      <c r="AG38" s="98"/>
      <c r="AH38" s="98"/>
      <c r="AI38" s="122"/>
      <c r="AJ38" s="35"/>
      <c r="AK38" s="35"/>
      <c r="AL38" s="44"/>
      <c r="AM38" s="35"/>
      <c r="AN38" s="35"/>
      <c r="AO38" s="44"/>
      <c r="AP38" s="35"/>
      <c r="AQ38" s="35"/>
      <c r="AR38" s="44"/>
      <c r="AS38" s="35"/>
      <c r="AT38" s="35"/>
      <c r="AU38" s="44"/>
      <c r="AV38" s="35"/>
      <c r="AW38" s="35"/>
      <c r="AX38" s="35"/>
      <c r="AY38" s="35"/>
      <c r="AZ38" s="35"/>
      <c r="BA38" s="44"/>
      <c r="BB38" s="35"/>
      <c r="BC38" s="35"/>
      <c r="BD38" s="44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44"/>
      <c r="BZ38" s="35"/>
      <c r="CA38" s="35"/>
      <c r="CB38" s="44"/>
      <c r="CC38" s="35"/>
      <c r="CD38" s="35"/>
      <c r="CE38" s="44"/>
      <c r="CF38" s="35"/>
      <c r="CG38" s="35"/>
      <c r="CH38" s="44"/>
      <c r="CI38" s="35"/>
      <c r="CJ38" s="35"/>
      <c r="CK38" s="44"/>
      <c r="CL38" s="35"/>
      <c r="CM38" s="35"/>
      <c r="CN38" s="44"/>
      <c r="CO38" s="35"/>
      <c r="CP38" s="35"/>
      <c r="CQ38" s="44"/>
      <c r="CR38" s="35"/>
      <c r="CS38" s="35"/>
      <c r="CT38" s="44"/>
      <c r="CU38" s="35"/>
      <c r="CV38" s="35"/>
      <c r="CW38" s="44"/>
      <c r="CX38" s="35"/>
      <c r="CY38" s="35"/>
      <c r="CZ38" s="44"/>
      <c r="DA38" s="35"/>
      <c r="DB38" s="35"/>
      <c r="DC38" s="44"/>
      <c r="DD38" s="35"/>
      <c r="DE38" s="35"/>
      <c r="DF38" s="44"/>
      <c r="DG38" s="35"/>
      <c r="DH38" s="35"/>
      <c r="DI38" s="35"/>
      <c r="DJ38" s="35"/>
      <c r="DK38" s="35"/>
      <c r="DL38" s="44"/>
      <c r="DM38" s="35"/>
      <c r="DN38" s="35"/>
      <c r="DO38" s="44"/>
      <c r="DP38" s="35"/>
      <c r="DQ38" s="35"/>
      <c r="DR38" s="44"/>
      <c r="DS38" s="35"/>
      <c r="DT38" s="35"/>
      <c r="DU38" s="44"/>
      <c r="DV38" s="35"/>
      <c r="DW38" s="35"/>
      <c r="DX38" s="44"/>
      <c r="DY38" s="35"/>
      <c r="DZ38" s="35"/>
      <c r="EA38" s="44"/>
      <c r="EB38" s="35"/>
      <c r="EC38" s="35"/>
      <c r="ED38" s="44"/>
      <c r="EE38" s="35"/>
      <c r="EF38" s="35"/>
      <c r="EG38" s="44"/>
      <c r="EH38" s="35"/>
      <c r="EI38" s="35"/>
      <c r="EJ38" s="44"/>
      <c r="EK38" s="35"/>
      <c r="EL38" s="35"/>
      <c r="EM38" s="44"/>
      <c r="EN38" s="35"/>
      <c r="EO38" s="35"/>
      <c r="EP38" s="44"/>
      <c r="EQ38" s="44"/>
      <c r="ER38" s="35"/>
      <c r="ES38" s="35"/>
      <c r="ET38" s="35"/>
      <c r="EU38" s="35"/>
      <c r="EV38" s="35"/>
      <c r="EW38" s="99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100"/>
      <c r="FK38" s="100"/>
      <c r="FL38" s="100"/>
      <c r="FM38" s="100"/>
      <c r="FN38" s="100"/>
      <c r="FO38" s="100"/>
      <c r="FP38" s="100"/>
      <c r="FQ38" s="100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2"/>
      <c r="GO38" s="102"/>
      <c r="GP38" s="102"/>
      <c r="GQ38" s="102"/>
      <c r="GR38" s="102"/>
      <c r="GS38" s="102"/>
      <c r="GT38" s="102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</row>
    <row r="39" customFormat="false" ht="12.75" hidden="false" customHeight="false" outlineLevel="0" collapsed="false">
      <c r="A39" s="104" t="n">
        <v>1</v>
      </c>
      <c r="B39" s="42" t="n">
        <f aca="false">+A39+1</f>
        <v>2</v>
      </c>
      <c r="C39" s="42" t="n">
        <f aca="false">+B39+1</f>
        <v>3</v>
      </c>
      <c r="D39" s="42" t="n">
        <f aca="false">+C39+1</f>
        <v>4</v>
      </c>
      <c r="E39" s="42" t="n">
        <f aca="false">+D39+1</f>
        <v>5</v>
      </c>
      <c r="F39" s="42" t="n">
        <f aca="false">+E39+1</f>
        <v>6</v>
      </c>
      <c r="G39" s="42" t="n">
        <f aca="false">+F39+1</f>
        <v>7</v>
      </c>
      <c r="H39" s="42" t="n">
        <f aca="false">+G39+1</f>
        <v>8</v>
      </c>
      <c r="I39" s="42" t="n">
        <f aca="false">+H39+1</f>
        <v>9</v>
      </c>
      <c r="J39" s="42" t="n">
        <f aca="false">+I39+1</f>
        <v>10</v>
      </c>
      <c r="K39" s="42" t="n">
        <f aca="false">+J39+1</f>
        <v>11</v>
      </c>
      <c r="L39" s="42" t="n">
        <f aca="false">+K39+1</f>
        <v>12</v>
      </c>
      <c r="M39" s="42" t="n">
        <f aca="false">+L39+1</f>
        <v>13</v>
      </c>
      <c r="N39" s="42" t="n">
        <f aca="false">+M39+1</f>
        <v>14</v>
      </c>
      <c r="O39" s="42" t="n">
        <f aca="false">+N39+1</f>
        <v>15</v>
      </c>
      <c r="P39" s="42" t="n">
        <f aca="false">+O39+1</f>
        <v>16</v>
      </c>
      <c r="Q39" s="42" t="n">
        <f aca="false">+P39+1</f>
        <v>17</v>
      </c>
      <c r="R39" s="42" t="n">
        <f aca="false">+Q39+1</f>
        <v>18</v>
      </c>
      <c r="S39" s="42" t="n">
        <f aca="false">+R39+1</f>
        <v>19</v>
      </c>
      <c r="T39" s="42" t="n">
        <f aca="false">+S39+1</f>
        <v>20</v>
      </c>
      <c r="U39" s="42" t="n">
        <f aca="false">+T39+1</f>
        <v>21</v>
      </c>
      <c r="V39" s="42" t="n">
        <f aca="false">+U39+1</f>
        <v>22</v>
      </c>
      <c r="W39" s="42" t="n">
        <f aca="false">+V39+1</f>
        <v>23</v>
      </c>
      <c r="X39" s="42" t="n">
        <f aca="false">+W39+1</f>
        <v>24</v>
      </c>
      <c r="Y39" s="42" t="n">
        <f aca="false">+X39+1</f>
        <v>25</v>
      </c>
      <c r="Z39" s="42" t="n">
        <f aca="false">+Y39+1</f>
        <v>26</v>
      </c>
      <c r="AA39" s="42" t="n">
        <f aca="false">+Z39+1</f>
        <v>27</v>
      </c>
      <c r="AB39" s="42" t="n">
        <f aca="false">+AA39+1</f>
        <v>28</v>
      </c>
      <c r="AC39" s="42" t="n">
        <f aca="false">+AB39+1</f>
        <v>29</v>
      </c>
      <c r="AD39" s="42" t="n">
        <f aca="false">+AC39+1</f>
        <v>30</v>
      </c>
      <c r="AE39" s="42" t="n">
        <f aca="false">+AD39+1</f>
        <v>31</v>
      </c>
      <c r="AF39" s="42" t="n">
        <f aca="false">+AE39+1</f>
        <v>32</v>
      </c>
      <c r="AG39" s="105" t="n">
        <f aca="false">+AF39+1</f>
        <v>33</v>
      </c>
      <c r="AH39" s="105" t="n">
        <f aca="false">+AG39+1</f>
        <v>34</v>
      </c>
      <c r="AI39" s="105" t="n">
        <f aca="false">+AH39+1</f>
        <v>35</v>
      </c>
      <c r="AJ39" s="42" t="n">
        <f aca="false">+AI39+1</f>
        <v>36</v>
      </c>
      <c r="AK39" s="42" t="n">
        <f aca="false">+AJ39+1</f>
        <v>37</v>
      </c>
      <c r="AL39" s="42" t="n">
        <f aca="false">+AK39+1</f>
        <v>38</v>
      </c>
      <c r="AM39" s="42" t="n">
        <f aca="false">+AL39+1</f>
        <v>39</v>
      </c>
      <c r="AN39" s="42" t="n">
        <f aca="false">+AM39+1</f>
        <v>40</v>
      </c>
      <c r="AO39" s="42" t="n">
        <f aca="false">+AN39+1</f>
        <v>41</v>
      </c>
      <c r="AP39" s="42" t="n">
        <f aca="false">+AO39+1</f>
        <v>42</v>
      </c>
      <c r="AQ39" s="42" t="n">
        <f aca="false">+AP39+1</f>
        <v>43</v>
      </c>
      <c r="AR39" s="42" t="n">
        <f aca="false">+AQ39+1</f>
        <v>44</v>
      </c>
      <c r="AS39" s="42" t="n">
        <f aca="false">+AR39+1</f>
        <v>45</v>
      </c>
      <c r="AT39" s="42" t="n">
        <f aca="false">+AS39+1</f>
        <v>46</v>
      </c>
      <c r="AU39" s="42" t="n">
        <f aca="false">+AT39+1</f>
        <v>47</v>
      </c>
      <c r="AV39" s="42" t="n">
        <f aca="false">+AU39+1</f>
        <v>48</v>
      </c>
      <c r="AW39" s="42" t="n">
        <f aca="false">+AV39+1</f>
        <v>49</v>
      </c>
      <c r="AX39" s="42" t="n">
        <f aca="false">+AW39+1</f>
        <v>50</v>
      </c>
      <c r="AY39" s="42" t="n">
        <f aca="false">+AX39+1</f>
        <v>51</v>
      </c>
      <c r="AZ39" s="42" t="n">
        <f aca="false">+AY39+1</f>
        <v>52</v>
      </c>
      <c r="BA39" s="42" t="n">
        <f aca="false">+AZ39+1</f>
        <v>53</v>
      </c>
      <c r="BB39" s="42" t="n">
        <f aca="false">+BA39+1</f>
        <v>54</v>
      </c>
      <c r="BC39" s="42" t="n">
        <f aca="false">+BB39+1</f>
        <v>55</v>
      </c>
      <c r="BD39" s="42" t="n">
        <f aca="false">+BC39+1</f>
        <v>56</v>
      </c>
      <c r="BE39" s="42" t="n">
        <f aca="false">+BD39+1</f>
        <v>57</v>
      </c>
      <c r="BF39" s="42" t="n">
        <f aca="false">+BE39+1</f>
        <v>58</v>
      </c>
      <c r="BG39" s="42" t="n">
        <f aca="false">+BF39+1</f>
        <v>59</v>
      </c>
      <c r="BH39" s="42" t="n">
        <f aca="false">+BG39+1</f>
        <v>60</v>
      </c>
      <c r="BI39" s="42" t="n">
        <f aca="false">+BH39+1</f>
        <v>61</v>
      </c>
      <c r="BJ39" s="42" t="n">
        <f aca="false">+BI39+1</f>
        <v>62</v>
      </c>
      <c r="BK39" s="42" t="n">
        <f aca="false">+BJ39+1</f>
        <v>63</v>
      </c>
      <c r="BL39" s="42" t="n">
        <f aca="false">+BK39+1</f>
        <v>64</v>
      </c>
      <c r="BM39" s="42" t="n">
        <f aca="false">+BL39+1</f>
        <v>65</v>
      </c>
      <c r="BN39" s="42" t="n">
        <f aca="false">+BM39+1</f>
        <v>66</v>
      </c>
      <c r="BO39" s="42" t="n">
        <f aca="false">+BN39+1</f>
        <v>67</v>
      </c>
      <c r="BP39" s="42" t="n">
        <f aca="false">+BO39+1</f>
        <v>68</v>
      </c>
      <c r="BQ39" s="42" t="n">
        <f aca="false">+BP39+1</f>
        <v>69</v>
      </c>
      <c r="BR39" s="42" t="n">
        <f aca="false">+BQ39+1</f>
        <v>70</v>
      </c>
      <c r="BS39" s="42" t="n">
        <f aca="false">+BR39+1</f>
        <v>71</v>
      </c>
      <c r="BT39" s="42" t="n">
        <f aca="false">+BS39+1</f>
        <v>72</v>
      </c>
      <c r="BU39" s="42" t="n">
        <f aca="false">+BT39+1</f>
        <v>73</v>
      </c>
      <c r="BV39" s="42" t="n">
        <f aca="false">+BU39+1</f>
        <v>74</v>
      </c>
      <c r="BW39" s="42" t="n">
        <f aca="false">+BV39+1</f>
        <v>75</v>
      </c>
      <c r="BX39" s="42" t="n">
        <f aca="false">+BW39+1</f>
        <v>76</v>
      </c>
      <c r="BY39" s="42" t="n">
        <f aca="false">+BX39+1</f>
        <v>77</v>
      </c>
      <c r="BZ39" s="42" t="n">
        <f aca="false">+BY39+1</f>
        <v>78</v>
      </c>
      <c r="CA39" s="42" t="n">
        <f aca="false">+BZ39+1</f>
        <v>79</v>
      </c>
      <c r="CB39" s="42" t="n">
        <f aca="false">+CA39+1</f>
        <v>80</v>
      </c>
      <c r="CC39" s="42" t="n">
        <f aca="false">+CB39+1</f>
        <v>81</v>
      </c>
      <c r="CD39" s="42" t="n">
        <f aca="false">+CC39+1</f>
        <v>82</v>
      </c>
      <c r="CE39" s="42" t="n">
        <f aca="false">+CD39+1</f>
        <v>83</v>
      </c>
      <c r="CF39" s="42" t="n">
        <f aca="false">+CE39+1</f>
        <v>84</v>
      </c>
      <c r="CG39" s="42" t="n">
        <f aca="false">+CF39+1</f>
        <v>85</v>
      </c>
      <c r="CH39" s="42" t="n">
        <f aca="false">+CG39+1</f>
        <v>86</v>
      </c>
      <c r="CI39" s="42" t="n">
        <f aca="false">+CH39+1</f>
        <v>87</v>
      </c>
      <c r="CJ39" s="42" t="n">
        <f aca="false">+CI39+1</f>
        <v>88</v>
      </c>
      <c r="CK39" s="42" t="n">
        <f aca="false">+CJ39+1</f>
        <v>89</v>
      </c>
      <c r="CL39" s="42" t="n">
        <f aca="false">+CK39+1</f>
        <v>90</v>
      </c>
      <c r="CM39" s="42" t="n">
        <f aca="false">+CL39+1</f>
        <v>91</v>
      </c>
      <c r="CN39" s="42" t="n">
        <f aca="false">+CM39+1</f>
        <v>92</v>
      </c>
      <c r="CO39" s="42" t="n">
        <f aca="false">+CN39+1</f>
        <v>93</v>
      </c>
      <c r="CP39" s="42" t="n">
        <f aca="false">+CO39+1</f>
        <v>94</v>
      </c>
      <c r="CQ39" s="42" t="n">
        <f aca="false">+CP39+1</f>
        <v>95</v>
      </c>
      <c r="CR39" s="42" t="n">
        <f aca="false">+CQ39+1</f>
        <v>96</v>
      </c>
      <c r="CS39" s="42" t="n">
        <f aca="false">+CR39+1</f>
        <v>97</v>
      </c>
      <c r="CT39" s="42" t="n">
        <f aca="false">+CS39+1</f>
        <v>98</v>
      </c>
      <c r="CU39" s="42" t="n">
        <f aca="false">+CT39+1</f>
        <v>99</v>
      </c>
      <c r="CV39" s="42" t="n">
        <f aca="false">+CU39+1</f>
        <v>100</v>
      </c>
      <c r="CW39" s="42" t="n">
        <f aca="false">+CV39+1</f>
        <v>101</v>
      </c>
      <c r="CX39" s="42" t="n">
        <f aca="false">+CW39+1</f>
        <v>102</v>
      </c>
      <c r="CY39" s="42" t="n">
        <f aca="false">+CX39+1</f>
        <v>103</v>
      </c>
      <c r="CZ39" s="42" t="n">
        <f aca="false">+CY39+1</f>
        <v>104</v>
      </c>
      <c r="DA39" s="42" t="n">
        <f aca="false">+CZ39+1</f>
        <v>105</v>
      </c>
      <c r="DB39" s="42" t="n">
        <f aca="false">+DA39+1</f>
        <v>106</v>
      </c>
      <c r="DC39" s="42" t="n">
        <f aca="false">+DB39+1</f>
        <v>107</v>
      </c>
      <c r="DD39" s="42" t="n">
        <f aca="false">+DC39+1</f>
        <v>108</v>
      </c>
      <c r="DE39" s="42" t="n">
        <f aca="false">+DD39+1</f>
        <v>109</v>
      </c>
      <c r="DF39" s="42" t="n">
        <f aca="false">+DE39+1</f>
        <v>110</v>
      </c>
      <c r="DG39" s="42" t="n">
        <f aca="false">+DF39+1</f>
        <v>111</v>
      </c>
      <c r="DH39" s="42" t="n">
        <f aca="false">+DG39+1</f>
        <v>112</v>
      </c>
      <c r="DI39" s="42" t="n">
        <f aca="false">+DH39+1</f>
        <v>113</v>
      </c>
      <c r="DJ39" s="42" t="n">
        <f aca="false">+DI39+1</f>
        <v>114</v>
      </c>
      <c r="DK39" s="42" t="n">
        <f aca="false">+DJ39+1</f>
        <v>115</v>
      </c>
      <c r="DL39" s="42" t="n">
        <f aca="false">+DK39+1</f>
        <v>116</v>
      </c>
      <c r="DM39" s="42" t="n">
        <f aca="false">+DL39+1</f>
        <v>117</v>
      </c>
      <c r="DN39" s="42" t="n">
        <f aca="false">+DM39+1</f>
        <v>118</v>
      </c>
      <c r="DO39" s="42" t="n">
        <f aca="false">+DN39+1</f>
        <v>119</v>
      </c>
      <c r="DP39" s="42" t="n">
        <f aca="false">+DO39+1</f>
        <v>120</v>
      </c>
      <c r="DQ39" s="42" t="n">
        <f aca="false">+DP39+1</f>
        <v>121</v>
      </c>
      <c r="DR39" s="42" t="n">
        <f aca="false">+DQ39+1</f>
        <v>122</v>
      </c>
      <c r="DS39" s="42" t="n">
        <f aca="false">+DR39+1</f>
        <v>123</v>
      </c>
      <c r="DT39" s="42" t="n">
        <f aca="false">+DS39+1</f>
        <v>124</v>
      </c>
      <c r="DU39" s="42" t="n">
        <f aca="false">+DT39+1</f>
        <v>125</v>
      </c>
      <c r="DV39" s="42" t="n">
        <f aca="false">+DU39+1</f>
        <v>126</v>
      </c>
      <c r="DW39" s="42" t="n">
        <f aca="false">+DV39+1</f>
        <v>127</v>
      </c>
      <c r="DX39" s="42" t="n">
        <f aca="false">+DW39+1</f>
        <v>128</v>
      </c>
      <c r="DY39" s="42" t="n">
        <f aca="false">+DX39+1</f>
        <v>129</v>
      </c>
      <c r="DZ39" s="42" t="n">
        <f aca="false">+DY39+1</f>
        <v>130</v>
      </c>
      <c r="EA39" s="42" t="n">
        <f aca="false">+DZ39+1</f>
        <v>131</v>
      </c>
      <c r="EB39" s="42" t="n">
        <f aca="false">+EA39+1</f>
        <v>132</v>
      </c>
      <c r="EC39" s="42" t="n">
        <f aca="false">+EB39+1</f>
        <v>133</v>
      </c>
      <c r="ED39" s="42" t="n">
        <f aca="false">+EC39+1</f>
        <v>134</v>
      </c>
      <c r="EE39" s="42" t="n">
        <f aca="false">+ED39+1</f>
        <v>135</v>
      </c>
      <c r="EF39" s="42" t="n">
        <f aca="false">+EE39+1</f>
        <v>136</v>
      </c>
      <c r="EG39" s="42" t="n">
        <f aca="false">+EF39+1</f>
        <v>137</v>
      </c>
      <c r="EH39" s="42" t="n">
        <f aca="false">+EG39+1</f>
        <v>138</v>
      </c>
      <c r="EI39" s="42" t="n">
        <f aca="false">+EH39+1</f>
        <v>139</v>
      </c>
      <c r="EJ39" s="42" t="n">
        <f aca="false">+EI39+1</f>
        <v>140</v>
      </c>
      <c r="EK39" s="42" t="n">
        <f aca="false">+EJ39+1</f>
        <v>141</v>
      </c>
      <c r="EL39" s="42" t="n">
        <f aca="false">+EK39+1</f>
        <v>142</v>
      </c>
      <c r="EM39" s="42" t="n">
        <f aca="false">+EL39+1</f>
        <v>143</v>
      </c>
      <c r="EN39" s="42" t="n">
        <f aca="false">+EM39+1</f>
        <v>144</v>
      </c>
      <c r="EO39" s="42" t="n">
        <f aca="false">+EN39+1</f>
        <v>145</v>
      </c>
      <c r="EP39" s="42" t="n">
        <f aca="false">+EO39+1</f>
        <v>146</v>
      </c>
      <c r="EQ39" s="42" t="n">
        <f aca="false">+EP39+1</f>
        <v>147</v>
      </c>
      <c r="ER39" s="42" t="n">
        <f aca="false">+EQ39+1</f>
        <v>148</v>
      </c>
      <c r="ES39" s="42" t="n">
        <f aca="false">+ER39+1</f>
        <v>149</v>
      </c>
      <c r="ET39" s="42" t="n">
        <f aca="false">+ES39+1</f>
        <v>150</v>
      </c>
      <c r="EU39" s="42" t="n">
        <f aca="false">+ET39+1</f>
        <v>151</v>
      </c>
      <c r="EV39" s="42" t="n">
        <f aca="false">+EU39+1</f>
        <v>152</v>
      </c>
      <c r="EW39" s="42" t="n">
        <f aca="false">+EV39+1</f>
        <v>153</v>
      </c>
      <c r="EX39" s="42" t="n">
        <f aca="false">+EW39+1</f>
        <v>154</v>
      </c>
      <c r="EY39" s="42" t="n">
        <f aca="false">+EX39+1</f>
        <v>155</v>
      </c>
      <c r="EZ39" s="42" t="n">
        <f aca="false">+EY39+1</f>
        <v>156</v>
      </c>
      <c r="FA39" s="42" t="n">
        <f aca="false">+EZ39+1</f>
        <v>157</v>
      </c>
      <c r="FB39" s="42" t="n">
        <f aca="false">+FA39+1</f>
        <v>158</v>
      </c>
      <c r="FC39" s="42" t="n">
        <f aca="false">+FB39+1</f>
        <v>159</v>
      </c>
      <c r="FD39" s="42" t="n">
        <f aca="false">+FC39+1</f>
        <v>160</v>
      </c>
      <c r="FE39" s="42" t="n">
        <f aca="false">+FD39+1</f>
        <v>161</v>
      </c>
      <c r="FF39" s="42" t="n">
        <f aca="false">+FE39+1</f>
        <v>162</v>
      </c>
      <c r="FG39" s="42" t="n">
        <f aca="false">+FF39+1</f>
        <v>163</v>
      </c>
      <c r="FH39" s="42" t="n">
        <f aca="false">+FG39+1</f>
        <v>164</v>
      </c>
      <c r="FI39" s="42" t="n">
        <f aca="false">+FH39+1</f>
        <v>165</v>
      </c>
      <c r="FJ39" s="42" t="n">
        <f aca="false">+FI39+1</f>
        <v>166</v>
      </c>
      <c r="FK39" s="42" t="n">
        <f aca="false">+FJ39+1</f>
        <v>167</v>
      </c>
      <c r="FL39" s="42" t="n">
        <f aca="false">+FK39+1</f>
        <v>168</v>
      </c>
      <c r="FM39" s="42" t="n">
        <f aca="false">+FL39+1</f>
        <v>169</v>
      </c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  <c r="IW39" s="50"/>
    </row>
    <row r="40" customFormat="false" ht="12.75" hidden="false" customHeight="false" outlineLevel="0" collapsed="false">
      <c r="A40" s="46"/>
      <c r="C40" s="41"/>
      <c r="F40" s="41"/>
      <c r="I40" s="41"/>
      <c r="L40" s="41"/>
      <c r="O40" s="41"/>
      <c r="R40" s="41"/>
      <c r="U40" s="41"/>
      <c r="X40" s="41"/>
      <c r="AA40" s="41"/>
      <c r="AD40" s="41"/>
      <c r="AG40" s="123"/>
      <c r="AJ40" s="41"/>
      <c r="AM40" s="41"/>
      <c r="AP40" s="41"/>
      <c r="AS40" s="41"/>
      <c r="AV40" s="41"/>
      <c r="AY40" s="41"/>
      <c r="BB40" s="41"/>
      <c r="BE40" s="41"/>
      <c r="BH40" s="41"/>
      <c r="BK40" s="41"/>
      <c r="BN40" s="41"/>
      <c r="BQ40" s="41"/>
      <c r="BT40" s="41"/>
      <c r="BW40" s="41"/>
      <c r="BZ40" s="41"/>
      <c r="CC40" s="41"/>
      <c r="CF40" s="41"/>
      <c r="CI40" s="41"/>
      <c r="CL40" s="41"/>
      <c r="CO40" s="41"/>
      <c r="CR40" s="41"/>
      <c r="CU40" s="41"/>
      <c r="CX40" s="41"/>
      <c r="DA40" s="41"/>
      <c r="DD40" s="41"/>
      <c r="DG40" s="41"/>
      <c r="DJ40" s="41"/>
      <c r="DM40" s="41"/>
      <c r="DP40" s="41"/>
      <c r="DS40" s="41"/>
      <c r="DV40" s="41"/>
      <c r="DY40" s="41"/>
      <c r="EB40" s="41"/>
      <c r="EE40" s="41"/>
      <c r="EH40" s="41"/>
      <c r="EK40" s="41"/>
      <c r="EN40" s="41"/>
      <c r="EQ40" s="44"/>
    </row>
    <row r="41" customFormat="false" ht="12.75" hidden="false" customHeight="false" outlineLevel="0" collapsed="false">
      <c r="A41" s="46"/>
      <c r="C41" s="41"/>
      <c r="F41" s="41"/>
      <c r="I41" s="41"/>
      <c r="L41" s="41"/>
      <c r="O41" s="41"/>
      <c r="R41" s="41"/>
      <c r="U41" s="41"/>
      <c r="X41" s="41"/>
      <c r="AA41" s="41"/>
      <c r="AD41" s="41"/>
      <c r="AG41" s="123"/>
      <c r="AJ41" s="41"/>
      <c r="AM41" s="41"/>
      <c r="AP41" s="41"/>
      <c r="AS41" s="41"/>
      <c r="AV41" s="41"/>
      <c r="AY41" s="41"/>
      <c r="BB41" s="41"/>
      <c r="BE41" s="41"/>
      <c r="BH41" s="41"/>
      <c r="BK41" s="41"/>
      <c r="BN41" s="41"/>
      <c r="BQ41" s="41"/>
      <c r="BT41" s="41"/>
      <c r="BW41" s="41"/>
      <c r="BZ41" s="41"/>
      <c r="CC41" s="41"/>
      <c r="CF41" s="41"/>
      <c r="CI41" s="41"/>
      <c r="CL41" s="41"/>
      <c r="CO41" s="41"/>
      <c r="CR41" s="41"/>
      <c r="CU41" s="41"/>
      <c r="CX41" s="41"/>
      <c r="DA41" s="41"/>
      <c r="DD41" s="41"/>
      <c r="DG41" s="41"/>
      <c r="DJ41" s="41"/>
      <c r="DM41" s="41"/>
      <c r="DP41" s="41"/>
      <c r="DS41" s="41"/>
      <c r="DV41" s="41"/>
      <c r="DY41" s="41"/>
      <c r="EB41" s="41"/>
      <c r="EE41" s="41"/>
      <c r="EH41" s="41"/>
      <c r="EK41" s="41"/>
      <c r="EN41" s="41"/>
    </row>
    <row r="42" customFormat="false" ht="12.75" hidden="false" customHeight="false" outlineLevel="0" collapsed="false">
      <c r="A42" s="46"/>
      <c r="C42" s="41"/>
      <c r="F42" s="41"/>
      <c r="I42" s="41"/>
      <c r="L42" s="41"/>
      <c r="O42" s="41"/>
      <c r="R42" s="41"/>
      <c r="U42" s="41"/>
      <c r="X42" s="41"/>
      <c r="AA42" s="41"/>
      <c r="AD42" s="41"/>
      <c r="AG42" s="123"/>
      <c r="AJ42" s="41"/>
      <c r="AM42" s="41"/>
      <c r="AP42" s="41"/>
      <c r="AS42" s="41"/>
      <c r="AV42" s="41"/>
      <c r="AY42" s="41"/>
      <c r="BB42" s="41"/>
      <c r="BE42" s="41"/>
      <c r="BH42" s="41"/>
      <c r="BK42" s="41"/>
      <c r="BN42" s="41"/>
      <c r="BQ42" s="41"/>
      <c r="BT42" s="41"/>
      <c r="BW42" s="41"/>
      <c r="BZ42" s="41"/>
      <c r="CC42" s="41"/>
      <c r="CF42" s="41"/>
      <c r="CI42" s="41"/>
      <c r="CL42" s="41"/>
      <c r="CO42" s="41"/>
      <c r="CR42" s="41"/>
      <c r="CU42" s="41"/>
      <c r="CX42" s="41"/>
      <c r="DA42" s="41"/>
      <c r="DD42" s="41"/>
      <c r="DG42" s="41"/>
      <c r="DJ42" s="41"/>
      <c r="DM42" s="41"/>
      <c r="DP42" s="41"/>
      <c r="DS42" s="41"/>
      <c r="DV42" s="41"/>
      <c r="DY42" s="41"/>
      <c r="EB42" s="41"/>
      <c r="EE42" s="41"/>
      <c r="EH42" s="41"/>
      <c r="EK42" s="41"/>
      <c r="EN42" s="41"/>
    </row>
    <row r="43" customFormat="false" ht="12.75" hidden="false" customHeight="false" outlineLevel="0" collapsed="false">
      <c r="A43" s="46"/>
      <c r="C43" s="41"/>
      <c r="F43" s="41"/>
      <c r="I43" s="41"/>
      <c r="L43" s="41"/>
      <c r="O43" s="41"/>
      <c r="R43" s="41"/>
      <c r="U43" s="41"/>
      <c r="X43" s="41"/>
      <c r="AA43" s="41"/>
      <c r="AD43" s="41"/>
      <c r="AG43" s="123"/>
      <c r="AJ43" s="41"/>
      <c r="AM43" s="41"/>
      <c r="AP43" s="41"/>
      <c r="AS43" s="41"/>
      <c r="AV43" s="41"/>
      <c r="AY43" s="41"/>
      <c r="BB43" s="41"/>
      <c r="BE43" s="41"/>
      <c r="BH43" s="41"/>
      <c r="BK43" s="41"/>
      <c r="BN43" s="41"/>
      <c r="BQ43" s="41"/>
      <c r="BT43" s="41"/>
      <c r="BW43" s="41"/>
      <c r="BZ43" s="41"/>
      <c r="CC43" s="41"/>
      <c r="CF43" s="41"/>
      <c r="CI43" s="41"/>
      <c r="CL43" s="41"/>
      <c r="CO43" s="41"/>
      <c r="CR43" s="41"/>
      <c r="CU43" s="41"/>
      <c r="CX43" s="41"/>
      <c r="DA43" s="41"/>
      <c r="DD43" s="41"/>
      <c r="DG43" s="41"/>
      <c r="DJ43" s="41"/>
      <c r="DM43" s="41"/>
      <c r="DP43" s="41"/>
      <c r="DS43" s="41"/>
      <c r="DV43" s="41"/>
      <c r="DY43" s="41"/>
      <c r="EB43" s="41"/>
      <c r="EE43" s="41"/>
      <c r="EH43" s="41"/>
      <c r="EK43" s="41"/>
      <c r="EN43" s="41"/>
    </row>
    <row r="44" customFormat="false" ht="12.75" hidden="false" customHeight="false" outlineLevel="0" collapsed="false">
      <c r="A44" s="0"/>
      <c r="B44" s="0"/>
      <c r="E44" s="0"/>
      <c r="H44" s="0"/>
      <c r="K44" s="0"/>
      <c r="N44" s="0"/>
      <c r="Q44" s="0"/>
      <c r="T44" s="0"/>
      <c r="W44" s="0"/>
      <c r="Z44" s="0"/>
      <c r="AC44" s="0"/>
      <c r="AF44" s="0"/>
      <c r="AI44" s="106"/>
      <c r="AL44" s="0"/>
      <c r="AO44" s="0"/>
      <c r="AR44" s="0"/>
      <c r="AU44" s="0"/>
      <c r="AX44" s="0"/>
      <c r="BA44" s="0"/>
      <c r="BD44" s="0"/>
      <c r="BG44" s="0"/>
      <c r="BJ44" s="0"/>
      <c r="BM44" s="0"/>
      <c r="BP44" s="0"/>
      <c r="BS44" s="0"/>
      <c r="BV44" s="0"/>
      <c r="BY44" s="0"/>
      <c r="CB44" s="0"/>
      <c r="CE44" s="0"/>
      <c r="CH44" s="0"/>
      <c r="CK44" s="0"/>
      <c r="CN44" s="0"/>
      <c r="CQ44" s="0"/>
      <c r="CT44" s="0"/>
      <c r="CW44" s="0"/>
      <c r="CZ44" s="0"/>
      <c r="DC44" s="0"/>
      <c r="DF44" s="0"/>
      <c r="DI44" s="0"/>
      <c r="DL44" s="0"/>
      <c r="DO44" s="0"/>
      <c r="DR44" s="0"/>
      <c r="DU44" s="0"/>
      <c r="DX44" s="0"/>
      <c r="EA44" s="0"/>
      <c r="ED44" s="0"/>
      <c r="EG44" s="0"/>
      <c r="EJ44" s="0"/>
      <c r="EM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6"/>
    </row>
    <row r="46" customFormat="false" ht="12.75" hidden="false" customHeight="false" outlineLevel="0" collapsed="false">
      <c r="A46" s="46"/>
    </row>
    <row r="47" customFormat="false" ht="12.75" hidden="false" customHeight="false" outlineLevel="0" collapsed="false">
      <c r="A47" s="46"/>
    </row>
    <row r="48" customFormat="false" ht="12.75" hidden="false" customHeight="false" outlineLevel="0" collapsed="false">
      <c r="A48" s="46"/>
    </row>
    <row r="49" customFormat="false" ht="12.75" hidden="false" customHeight="false" outlineLevel="0" collapsed="false">
      <c r="A49" s="46"/>
    </row>
    <row r="50" customFormat="false" ht="12.75" hidden="false" customHeight="false" outlineLevel="0" collapsed="false">
      <c r="A50" s="46"/>
    </row>
    <row r="51" customFormat="false" ht="12.75" hidden="false" customHeight="false" outlineLevel="0" collapsed="false">
      <c r="A51" s="46"/>
    </row>
    <row r="52" customFormat="false" ht="12.75" hidden="false" customHeight="false" outlineLevel="0" collapsed="false">
      <c r="A52" s="46"/>
    </row>
    <row r="53" customFormat="false" ht="12.75" hidden="false" customHeight="false" outlineLevel="0" collapsed="false">
      <c r="A53" s="46"/>
    </row>
    <row r="54" customFormat="false" ht="12.75" hidden="false" customHeight="false" outlineLevel="0" collapsed="false">
      <c r="A54" s="46"/>
    </row>
    <row r="55" customFormat="false" ht="12.75" hidden="false" customHeight="false" outlineLevel="0" collapsed="false">
      <c r="A55" s="46"/>
    </row>
    <row r="56" customFormat="false" ht="12.75" hidden="false" customHeight="false" outlineLevel="0" collapsed="false">
      <c r="A56" s="46"/>
    </row>
    <row r="57" customFormat="false" ht="12.75" hidden="false" customHeight="false" outlineLevel="0" collapsed="false">
      <c r="A57" s="46"/>
    </row>
    <row r="58" customFormat="false" ht="12.75" hidden="false" customHeight="false" outlineLevel="0" collapsed="false">
      <c r="A58" s="46"/>
    </row>
    <row r="59" customFormat="false" ht="12.75" hidden="false" customHeight="false" outlineLevel="0" collapsed="false">
      <c r="A59" s="46"/>
    </row>
    <row r="60" customFormat="false" ht="12.75" hidden="false" customHeight="false" outlineLevel="0" collapsed="false">
      <c r="A60" s="46"/>
    </row>
    <row r="61" customFormat="false" ht="12.75" hidden="false" customHeight="false" outlineLevel="0" collapsed="false">
      <c r="A61" s="46"/>
    </row>
    <row r="62" customFormat="false" ht="12.75" hidden="false" customHeight="false" outlineLevel="0" collapsed="false">
      <c r="A62" s="46"/>
    </row>
    <row r="63" customFormat="false" ht="12.75" hidden="false" customHeight="false" outlineLevel="0" collapsed="false">
      <c r="A63" s="46"/>
    </row>
    <row r="64" customFormat="false" ht="12.75" hidden="false" customHeight="false" outlineLevel="0" collapsed="false">
      <c r="A64" s="46"/>
    </row>
    <row r="65" customFormat="false" ht="12.75" hidden="false" customHeight="false" outlineLevel="0" collapsed="false">
      <c r="A65" s="46"/>
    </row>
    <row r="66" customFormat="false" ht="12.75" hidden="false" customHeight="false" outlineLevel="0" collapsed="false">
      <c r="A66" s="46"/>
    </row>
    <row r="67" customFormat="false" ht="12.75" hidden="false" customHeight="false" outlineLevel="0" collapsed="false">
      <c r="A67" s="46"/>
    </row>
    <row r="68" customFormat="false" ht="12.75" hidden="false" customHeight="false" outlineLevel="0" collapsed="false">
      <c r="A68" s="46"/>
    </row>
    <row r="69" customFormat="false" ht="12.75" hidden="false" customHeight="false" outlineLevel="0" collapsed="false">
      <c r="A69" s="46"/>
    </row>
    <row r="70" customFormat="false" ht="12.75" hidden="false" customHeight="false" outlineLevel="0" collapsed="false">
      <c r="A70" s="46"/>
    </row>
    <row r="71" customFormat="false" ht="12.75" hidden="false" customHeight="false" outlineLevel="0" collapsed="false">
      <c r="A71" s="46"/>
    </row>
    <row r="72" customFormat="false" ht="12.75" hidden="false" customHeight="false" outlineLevel="0" collapsed="false">
      <c r="A72" s="46"/>
    </row>
    <row r="73" customFormat="false" ht="12.75" hidden="false" customHeight="false" outlineLevel="0" collapsed="false">
      <c r="A73" s="46"/>
    </row>
    <row r="74" customFormat="false" ht="12.75" hidden="false" customHeight="false" outlineLevel="0" collapsed="false">
      <c r="A74" s="46"/>
    </row>
    <row r="75" customFormat="false" ht="12.75" hidden="false" customHeight="false" outlineLevel="0" collapsed="false">
      <c r="A75" s="46"/>
    </row>
    <row r="76" customFormat="false" ht="12.75" hidden="false" customHeight="false" outlineLevel="0" collapsed="false">
      <c r="A76" s="46"/>
    </row>
    <row r="77" customFormat="false" ht="12.75" hidden="false" customHeight="false" outlineLevel="0" collapsed="false">
      <c r="A77" s="46"/>
    </row>
    <row r="78" customFormat="false" ht="12.75" hidden="false" customHeight="false" outlineLevel="0" collapsed="false">
      <c r="A78" s="46"/>
    </row>
    <row r="79" customFormat="false" ht="12.75" hidden="false" customHeight="false" outlineLevel="0" collapsed="false">
      <c r="A79" s="46"/>
    </row>
    <row r="80" customFormat="false" ht="12.75" hidden="false" customHeight="false" outlineLevel="0" collapsed="false">
      <c r="A80" s="46"/>
    </row>
    <row r="81" customFormat="false" ht="12.75" hidden="false" customHeight="false" outlineLevel="0" collapsed="false">
      <c r="A81" s="46"/>
    </row>
    <row r="82" customFormat="false" ht="12.75" hidden="false" customHeight="false" outlineLevel="0" collapsed="false">
      <c r="A82" s="46"/>
    </row>
    <row r="83" customFormat="false" ht="12.75" hidden="false" customHeight="false" outlineLevel="0" collapsed="false">
      <c r="A83" s="46"/>
    </row>
    <row r="84" customFormat="false" ht="12.75" hidden="false" customHeight="false" outlineLevel="0" collapsed="false">
      <c r="A84" s="46"/>
    </row>
    <row r="85" customFormat="false" ht="12.75" hidden="false" customHeight="false" outlineLevel="0" collapsed="false">
      <c r="A85" s="46"/>
    </row>
    <row r="86" customFormat="false" ht="12.75" hidden="false" customHeight="false" outlineLevel="0" collapsed="false">
      <c r="A86" s="46"/>
    </row>
    <row r="87" customFormat="false" ht="12.75" hidden="false" customHeight="false" outlineLevel="0" collapsed="false">
      <c r="A87" s="46"/>
    </row>
    <row r="88" customFormat="false" ht="12.75" hidden="false" customHeight="false" outlineLevel="0" collapsed="false">
      <c r="A88" s="46"/>
    </row>
    <row r="89" customFormat="false" ht="12.75" hidden="false" customHeight="false" outlineLevel="0" collapsed="false">
      <c r="A89" s="46"/>
    </row>
    <row r="90" customFormat="false" ht="12.75" hidden="false" customHeight="false" outlineLevel="0" collapsed="false">
      <c r="A90" s="46"/>
    </row>
    <row r="91" customFormat="false" ht="12.75" hidden="false" customHeight="false" outlineLevel="0" collapsed="false">
      <c r="A91" s="46"/>
    </row>
    <row r="92" customFormat="false" ht="12.75" hidden="false" customHeight="false" outlineLevel="0" collapsed="false">
      <c r="A92" s="46"/>
    </row>
    <row r="93" customFormat="false" ht="12.75" hidden="false" customHeight="false" outlineLevel="0" collapsed="false">
      <c r="A93" s="46"/>
    </row>
    <row r="94" customFormat="false" ht="12.75" hidden="false" customHeight="false" outlineLevel="0" collapsed="false">
      <c r="A94" s="46"/>
    </row>
    <row r="95" customFormat="false" ht="12.75" hidden="false" customHeight="false" outlineLevel="0" collapsed="false">
      <c r="A95" s="46"/>
    </row>
    <row r="96" customFormat="false" ht="12.75" hidden="false" customHeight="false" outlineLevel="0" collapsed="false">
      <c r="A96" s="46"/>
    </row>
    <row r="97" customFormat="false" ht="12.75" hidden="false" customHeight="false" outlineLevel="0" collapsed="false">
      <c r="A97" s="46"/>
    </row>
    <row r="98" customFormat="false" ht="12.75" hidden="false" customHeight="false" outlineLevel="0" collapsed="false">
      <c r="A98" s="46"/>
    </row>
    <row r="99" customFormat="false" ht="12.75" hidden="false" customHeight="false" outlineLevel="0" collapsed="false">
      <c r="A99" s="46"/>
    </row>
    <row r="100" customFormat="false" ht="12.75" hidden="false" customHeight="false" outlineLevel="0" collapsed="false">
      <c r="A100" s="46"/>
    </row>
    <row r="101" customFormat="false" ht="12.75" hidden="false" customHeight="false" outlineLevel="0" collapsed="false">
      <c r="A101" s="46"/>
    </row>
    <row r="102" customFormat="false" ht="12.75" hidden="false" customHeight="false" outlineLevel="0" collapsed="false">
      <c r="A102" s="46"/>
    </row>
    <row r="103" customFormat="false" ht="12.75" hidden="false" customHeight="false" outlineLevel="0" collapsed="false">
      <c r="A103" s="46"/>
    </row>
    <row r="104" customFormat="false" ht="12.75" hidden="false" customHeight="false" outlineLevel="0" collapsed="false">
      <c r="A104" s="46"/>
    </row>
    <row r="105" customFormat="false" ht="12.75" hidden="false" customHeight="false" outlineLevel="0" collapsed="false">
      <c r="A105" s="46"/>
    </row>
    <row r="106" customFormat="false" ht="12.75" hidden="false" customHeight="false" outlineLevel="0" collapsed="false">
      <c r="A106" s="46"/>
    </row>
    <row r="107" customFormat="false" ht="12.75" hidden="false" customHeight="false" outlineLevel="0" collapsed="false">
      <c r="A107" s="46"/>
    </row>
    <row r="108" customFormat="false" ht="12.75" hidden="false" customHeight="false" outlineLevel="0" collapsed="false">
      <c r="A108" s="46"/>
    </row>
    <row r="109" customFormat="false" ht="12.75" hidden="false" customHeight="false" outlineLevel="0" collapsed="false">
      <c r="A109" s="46"/>
    </row>
    <row r="110" customFormat="false" ht="12.75" hidden="false" customHeight="false" outlineLevel="0" collapsed="false">
      <c r="A110" s="46"/>
    </row>
    <row r="111" customFormat="false" ht="12.75" hidden="false" customHeight="false" outlineLevel="0" collapsed="false">
      <c r="A111" s="46"/>
    </row>
    <row r="112" customFormat="false" ht="12.75" hidden="false" customHeight="false" outlineLevel="0" collapsed="false">
      <c r="A112" s="46"/>
    </row>
    <row r="113" customFormat="false" ht="12.75" hidden="false" customHeight="false" outlineLevel="0" collapsed="false">
      <c r="A113" s="46"/>
    </row>
    <row r="114" customFormat="false" ht="12.75" hidden="false" customHeight="false" outlineLevel="0" collapsed="false">
      <c r="A114" s="46"/>
    </row>
    <row r="115" customFormat="false" ht="12.75" hidden="false" customHeight="false" outlineLevel="0" collapsed="false">
      <c r="A115" s="46"/>
    </row>
    <row r="116" customFormat="false" ht="12.75" hidden="false" customHeight="false" outlineLevel="0" collapsed="false">
      <c r="A116" s="46"/>
    </row>
    <row r="117" customFormat="false" ht="12.75" hidden="false" customHeight="false" outlineLevel="0" collapsed="false">
      <c r="A117" s="46"/>
    </row>
    <row r="118" customFormat="false" ht="12.75" hidden="false" customHeight="false" outlineLevel="0" collapsed="false">
      <c r="A118" s="46"/>
    </row>
    <row r="119" customFormat="false" ht="12.75" hidden="false" customHeight="false" outlineLevel="0" collapsed="false">
      <c r="A119" s="46"/>
    </row>
    <row r="120" customFormat="false" ht="12.75" hidden="false" customHeight="false" outlineLevel="0" collapsed="false">
      <c r="A120" s="46"/>
    </row>
    <row r="121" customFormat="false" ht="12.75" hidden="false" customHeight="false" outlineLevel="0" collapsed="false">
      <c r="A121" s="46"/>
    </row>
    <row r="122" customFormat="false" ht="12.75" hidden="false" customHeight="false" outlineLevel="0" collapsed="false">
      <c r="A122" s="46"/>
    </row>
    <row r="123" customFormat="false" ht="12.75" hidden="false" customHeight="false" outlineLevel="0" collapsed="false">
      <c r="A123" s="46"/>
    </row>
    <row r="124" customFormat="false" ht="12.75" hidden="false" customHeight="false" outlineLevel="0" collapsed="false">
      <c r="A124" s="46"/>
    </row>
    <row r="125" customFormat="false" ht="12.75" hidden="false" customHeight="false" outlineLevel="0" collapsed="false">
      <c r="A125" s="46"/>
    </row>
    <row r="126" customFormat="false" ht="12.75" hidden="false" customHeight="false" outlineLevel="0" collapsed="false">
      <c r="A126" s="46"/>
    </row>
    <row r="127" customFormat="false" ht="12.75" hidden="false" customHeight="false" outlineLevel="0" collapsed="false">
      <c r="A127" s="46"/>
    </row>
    <row r="128" customFormat="false" ht="12.75" hidden="false" customHeight="false" outlineLevel="0" collapsed="false">
      <c r="A128" s="46"/>
    </row>
    <row r="129" customFormat="false" ht="12.75" hidden="false" customHeight="false" outlineLevel="0" collapsed="false">
      <c r="A129" s="46"/>
    </row>
    <row r="130" customFormat="false" ht="12.75" hidden="false" customHeight="false" outlineLevel="0" collapsed="false">
      <c r="A130" s="46"/>
    </row>
    <row r="131" customFormat="false" ht="12.75" hidden="false" customHeight="false" outlineLevel="0" collapsed="false">
      <c r="A131" s="46"/>
    </row>
    <row r="132" customFormat="false" ht="12.75" hidden="false" customHeight="false" outlineLevel="0" collapsed="false">
      <c r="A132" s="46"/>
    </row>
    <row r="133" customFormat="false" ht="12.75" hidden="false" customHeight="false" outlineLevel="0" collapsed="false">
      <c r="A133" s="46"/>
    </row>
    <row r="134" customFormat="false" ht="12.75" hidden="false" customHeight="false" outlineLevel="0" collapsed="false">
      <c r="A134" s="46"/>
    </row>
    <row r="135" customFormat="false" ht="12.75" hidden="false" customHeight="false" outlineLevel="0" collapsed="false">
      <c r="A135" s="46"/>
    </row>
    <row r="136" customFormat="false" ht="12.75" hidden="false" customHeight="false" outlineLevel="0" collapsed="false">
      <c r="A136" s="46"/>
    </row>
    <row r="137" customFormat="false" ht="12.75" hidden="false" customHeight="false" outlineLevel="0" collapsed="false">
      <c r="A137" s="46"/>
    </row>
    <row r="138" customFormat="false" ht="12.75" hidden="false" customHeight="false" outlineLevel="0" collapsed="false">
      <c r="A138" s="46"/>
    </row>
    <row r="139" customFormat="false" ht="12.75" hidden="false" customHeight="false" outlineLevel="0" collapsed="false">
      <c r="A139" s="46"/>
    </row>
    <row r="140" customFormat="false" ht="12.75" hidden="false" customHeight="false" outlineLevel="0" collapsed="false">
      <c r="A140" s="46"/>
    </row>
    <row r="141" customFormat="false" ht="12.75" hidden="false" customHeight="false" outlineLevel="0" collapsed="false">
      <c r="A141" s="46"/>
    </row>
    <row r="142" customFormat="false" ht="12.75" hidden="false" customHeight="false" outlineLevel="0" collapsed="false">
      <c r="A142" s="46"/>
    </row>
    <row r="143" customFormat="false" ht="12.75" hidden="false" customHeight="false" outlineLevel="0" collapsed="false">
      <c r="A143" s="46"/>
    </row>
    <row r="144" customFormat="false" ht="12.75" hidden="false" customHeight="false" outlineLevel="0" collapsed="false">
      <c r="A144" s="46"/>
    </row>
    <row r="145" customFormat="false" ht="12.75" hidden="false" customHeight="false" outlineLevel="0" collapsed="false">
      <c r="A145" s="46"/>
    </row>
    <row r="146" customFormat="false" ht="12.75" hidden="false" customHeight="false" outlineLevel="0" collapsed="false">
      <c r="A146" s="46"/>
    </row>
    <row r="147" customFormat="false" ht="12.75" hidden="false" customHeight="false" outlineLevel="0" collapsed="false">
      <c r="A147" s="46"/>
    </row>
    <row r="148" customFormat="false" ht="12.75" hidden="false" customHeight="false" outlineLevel="0" collapsed="false">
      <c r="A148" s="46"/>
    </row>
    <row r="149" customFormat="false" ht="12.75" hidden="false" customHeight="false" outlineLevel="0" collapsed="false">
      <c r="A149" s="46"/>
    </row>
    <row r="150" customFormat="false" ht="12.75" hidden="false" customHeight="false" outlineLevel="0" collapsed="false">
      <c r="A150" s="46"/>
    </row>
    <row r="151" customFormat="false" ht="12.75" hidden="false" customHeight="false" outlineLevel="0" collapsed="false">
      <c r="A151" s="46"/>
    </row>
    <row r="152" customFormat="false" ht="12.75" hidden="false" customHeight="false" outlineLevel="0" collapsed="false">
      <c r="A152" s="46"/>
    </row>
    <row r="153" customFormat="false" ht="12.75" hidden="false" customHeight="false" outlineLevel="0" collapsed="false">
      <c r="A153" s="46"/>
    </row>
    <row r="154" customFormat="false" ht="12.75" hidden="false" customHeight="false" outlineLevel="0" collapsed="false">
      <c r="A154" s="46"/>
    </row>
    <row r="155" customFormat="false" ht="12.75" hidden="false" customHeight="false" outlineLevel="0" collapsed="false">
      <c r="A155" s="46"/>
    </row>
    <row r="156" customFormat="false" ht="12.75" hidden="false" customHeight="false" outlineLevel="0" collapsed="false">
      <c r="A156" s="46"/>
    </row>
    <row r="157" customFormat="false" ht="12.75" hidden="false" customHeight="false" outlineLevel="0" collapsed="false">
      <c r="A157" s="46"/>
    </row>
    <row r="158" customFormat="false" ht="12.75" hidden="false" customHeight="false" outlineLevel="0" collapsed="false">
      <c r="A158" s="46"/>
    </row>
    <row r="159" customFormat="false" ht="12.75" hidden="false" customHeight="false" outlineLevel="0" collapsed="false">
      <c r="A159" s="46"/>
    </row>
    <row r="160" customFormat="false" ht="12.75" hidden="false" customHeight="false" outlineLevel="0" collapsed="false">
      <c r="A160" s="46"/>
    </row>
    <row r="161" customFormat="false" ht="12.75" hidden="false" customHeight="false" outlineLevel="0" collapsed="false">
      <c r="A161" s="46"/>
    </row>
    <row r="162" customFormat="false" ht="12.75" hidden="false" customHeight="false" outlineLevel="0" collapsed="false">
      <c r="A162" s="46"/>
    </row>
    <row r="163" customFormat="false" ht="12.75" hidden="false" customHeight="false" outlineLevel="0" collapsed="false">
      <c r="A163" s="46"/>
    </row>
    <row r="164" customFormat="false" ht="12.75" hidden="false" customHeight="false" outlineLevel="0" collapsed="false">
      <c r="A164" s="46"/>
    </row>
    <row r="165" customFormat="false" ht="12.75" hidden="false" customHeight="false" outlineLevel="0" collapsed="false">
      <c r="A165" s="46"/>
    </row>
    <row r="166" customFormat="false" ht="12.75" hidden="false" customHeight="false" outlineLevel="0" collapsed="false">
      <c r="A166" s="46"/>
    </row>
    <row r="167" customFormat="false" ht="12.75" hidden="false" customHeight="false" outlineLevel="0" collapsed="false">
      <c r="A167" s="46"/>
    </row>
    <row r="168" customFormat="false" ht="12.75" hidden="false" customHeight="false" outlineLevel="0" collapsed="false">
      <c r="A168" s="46"/>
    </row>
    <row r="169" customFormat="false" ht="12.75" hidden="false" customHeight="false" outlineLevel="0" collapsed="false">
      <c r="A169" s="46"/>
    </row>
    <row r="170" customFormat="false" ht="12.75" hidden="false" customHeight="false" outlineLevel="0" collapsed="false">
      <c r="A170" s="46"/>
    </row>
    <row r="171" customFormat="false" ht="12.75" hidden="false" customHeight="false" outlineLevel="0" collapsed="false">
      <c r="A171" s="46"/>
    </row>
    <row r="172" customFormat="false" ht="12.75" hidden="false" customHeight="false" outlineLevel="0" collapsed="false">
      <c r="A172" s="46"/>
    </row>
    <row r="173" customFormat="false" ht="12.75" hidden="false" customHeight="false" outlineLevel="0" collapsed="false">
      <c r="A173" s="46"/>
    </row>
    <row r="174" customFormat="false" ht="12.75" hidden="false" customHeight="false" outlineLevel="0" collapsed="false">
      <c r="A174" s="46"/>
    </row>
    <row r="175" customFormat="false" ht="12.75" hidden="false" customHeight="false" outlineLevel="0" collapsed="false">
      <c r="A175" s="46"/>
    </row>
    <row r="176" customFormat="false" ht="12.75" hidden="false" customHeight="false" outlineLevel="0" collapsed="false">
      <c r="A176" s="46"/>
    </row>
    <row r="177" customFormat="false" ht="12.75" hidden="false" customHeight="false" outlineLevel="0" collapsed="false">
      <c r="A177" s="46"/>
    </row>
    <row r="178" customFormat="false" ht="12.75" hidden="false" customHeight="false" outlineLevel="0" collapsed="false">
      <c r="A178" s="46"/>
    </row>
    <row r="179" customFormat="false" ht="12.75" hidden="false" customHeight="false" outlineLevel="0" collapsed="false">
      <c r="A179" s="46"/>
    </row>
    <row r="180" customFormat="false" ht="12.75" hidden="false" customHeight="false" outlineLevel="0" collapsed="false">
      <c r="A180" s="46"/>
    </row>
    <row r="181" customFormat="false" ht="12.75" hidden="false" customHeight="false" outlineLevel="0" collapsed="false">
      <c r="A181" s="46"/>
    </row>
    <row r="182" customFormat="false" ht="12.75" hidden="false" customHeight="false" outlineLevel="0" collapsed="false">
      <c r="A182" s="46"/>
    </row>
    <row r="183" customFormat="false" ht="12.75" hidden="false" customHeight="false" outlineLevel="0" collapsed="false">
      <c r="A183" s="46"/>
    </row>
    <row r="184" customFormat="false" ht="12.75" hidden="false" customHeight="false" outlineLevel="0" collapsed="false">
      <c r="A184" s="46"/>
    </row>
    <row r="185" customFormat="false" ht="12.75" hidden="false" customHeight="false" outlineLevel="0" collapsed="false">
      <c r="A185" s="46"/>
    </row>
    <row r="186" customFormat="false" ht="12.75" hidden="false" customHeight="false" outlineLevel="0" collapsed="false">
      <c r="A186" s="46"/>
    </row>
    <row r="187" customFormat="false" ht="12.75" hidden="false" customHeight="false" outlineLevel="0" collapsed="false">
      <c r="A187" s="46"/>
    </row>
    <row r="188" customFormat="false" ht="12.75" hidden="false" customHeight="false" outlineLevel="0" collapsed="false">
      <c r="A188" s="46"/>
    </row>
    <row r="189" customFormat="false" ht="12.75" hidden="false" customHeight="false" outlineLevel="0" collapsed="false">
      <c r="A189" s="46"/>
    </row>
    <row r="190" customFormat="false" ht="12.75" hidden="false" customHeight="false" outlineLevel="0" collapsed="false">
      <c r="A190" s="46"/>
    </row>
    <row r="191" customFormat="false" ht="12.75" hidden="false" customHeight="false" outlineLevel="0" collapsed="false">
      <c r="A191" s="46"/>
    </row>
    <row r="192" customFormat="false" ht="12.75" hidden="false" customHeight="false" outlineLevel="0" collapsed="false">
      <c r="A192" s="46"/>
    </row>
    <row r="193" customFormat="false" ht="12.75" hidden="false" customHeight="false" outlineLevel="0" collapsed="false">
      <c r="A193" s="46"/>
    </row>
    <row r="194" customFormat="false" ht="12.75" hidden="false" customHeight="false" outlineLevel="0" collapsed="false">
      <c r="A194" s="46"/>
    </row>
    <row r="195" customFormat="false" ht="12.75" hidden="false" customHeight="false" outlineLevel="0" collapsed="false">
      <c r="A195" s="46"/>
    </row>
    <row r="196" customFormat="false" ht="12.75" hidden="false" customHeight="false" outlineLevel="0" collapsed="false">
      <c r="A196" s="46"/>
    </row>
    <row r="197" customFormat="false" ht="12.75" hidden="false" customHeight="false" outlineLevel="0" collapsed="false">
      <c r="A197" s="46"/>
    </row>
    <row r="198" customFormat="false" ht="12.75" hidden="false" customHeight="false" outlineLevel="0" collapsed="false">
      <c r="A198" s="46"/>
    </row>
    <row r="199" customFormat="false" ht="12.75" hidden="false" customHeight="false" outlineLevel="0" collapsed="false">
      <c r="A199" s="46"/>
    </row>
    <row r="200" customFormat="false" ht="12.75" hidden="false" customHeight="false" outlineLevel="0" collapsed="false">
      <c r="A200" s="46"/>
    </row>
    <row r="201" customFormat="false" ht="12.75" hidden="false" customHeight="false" outlineLevel="0" collapsed="false">
      <c r="A201" s="46"/>
    </row>
    <row r="202" customFormat="false" ht="12.75" hidden="false" customHeight="false" outlineLevel="0" collapsed="false">
      <c r="A202" s="46"/>
    </row>
    <row r="203" customFormat="false" ht="12.75" hidden="false" customHeight="false" outlineLevel="0" collapsed="false">
      <c r="A203" s="46"/>
    </row>
    <row r="204" customFormat="false" ht="12.75" hidden="false" customHeight="false" outlineLevel="0" collapsed="false">
      <c r="A204" s="46"/>
    </row>
    <row r="205" customFormat="false" ht="12.75" hidden="false" customHeight="false" outlineLevel="0" collapsed="false">
      <c r="A205" s="46"/>
    </row>
    <row r="206" customFormat="false" ht="12.75" hidden="false" customHeight="false" outlineLevel="0" collapsed="false">
      <c r="A206" s="46"/>
    </row>
    <row r="207" customFormat="false" ht="12.75" hidden="false" customHeight="false" outlineLevel="0" collapsed="false">
      <c r="A207" s="46"/>
    </row>
    <row r="208" customFormat="false" ht="12.75" hidden="false" customHeight="false" outlineLevel="0" collapsed="false">
      <c r="A208" s="46"/>
    </row>
    <row r="209" customFormat="false" ht="12.75" hidden="false" customHeight="false" outlineLevel="0" collapsed="false">
      <c r="A209" s="46"/>
    </row>
    <row r="210" customFormat="false" ht="12.75" hidden="false" customHeight="false" outlineLevel="0" collapsed="false">
      <c r="A210" s="46"/>
    </row>
    <row r="211" customFormat="false" ht="12.75" hidden="false" customHeight="false" outlineLevel="0" collapsed="false">
      <c r="A211" s="46"/>
    </row>
    <row r="212" customFormat="false" ht="12.75" hidden="false" customHeight="false" outlineLevel="0" collapsed="false">
      <c r="A212" s="46"/>
    </row>
    <row r="213" customFormat="false" ht="12.75" hidden="false" customHeight="false" outlineLevel="0" collapsed="false">
      <c r="A213" s="46"/>
    </row>
    <row r="214" customFormat="false" ht="12.75" hidden="false" customHeight="false" outlineLevel="0" collapsed="false">
      <c r="A214" s="46"/>
    </row>
    <row r="215" customFormat="false" ht="12.75" hidden="false" customHeight="false" outlineLevel="0" collapsed="false">
      <c r="A215" s="46"/>
    </row>
    <row r="216" customFormat="false" ht="12.75" hidden="false" customHeight="false" outlineLevel="0" collapsed="false">
      <c r="A216" s="46"/>
    </row>
    <row r="217" customFormat="false" ht="12.75" hidden="false" customHeight="false" outlineLevel="0" collapsed="false">
      <c r="A217" s="46"/>
    </row>
    <row r="218" customFormat="false" ht="12.75" hidden="false" customHeight="false" outlineLevel="0" collapsed="false">
      <c r="A218" s="46"/>
    </row>
    <row r="219" customFormat="false" ht="12.75" hidden="false" customHeight="false" outlineLevel="0" collapsed="false">
      <c r="A219" s="46"/>
    </row>
    <row r="220" customFormat="false" ht="12.75" hidden="false" customHeight="false" outlineLevel="0" collapsed="false">
      <c r="A220" s="46"/>
    </row>
    <row r="221" customFormat="false" ht="12.75" hidden="false" customHeight="false" outlineLevel="0" collapsed="false">
      <c r="A221" s="46"/>
    </row>
    <row r="222" customFormat="false" ht="12.75" hidden="false" customHeight="false" outlineLevel="0" collapsed="false">
      <c r="A222" s="46"/>
    </row>
    <row r="223" customFormat="false" ht="12.75" hidden="false" customHeight="false" outlineLevel="0" collapsed="false">
      <c r="A223" s="46"/>
    </row>
    <row r="224" customFormat="false" ht="12.75" hidden="false" customHeight="false" outlineLevel="0" collapsed="false">
      <c r="A224" s="46"/>
    </row>
    <row r="225" customFormat="false" ht="12.75" hidden="false" customHeight="false" outlineLevel="0" collapsed="false">
      <c r="A225" s="46"/>
    </row>
    <row r="226" customFormat="false" ht="12.75" hidden="false" customHeight="false" outlineLevel="0" collapsed="false">
      <c r="A226" s="46"/>
    </row>
    <row r="227" customFormat="false" ht="12.75" hidden="false" customHeight="false" outlineLevel="0" collapsed="false">
      <c r="A227" s="46"/>
    </row>
    <row r="228" customFormat="false" ht="12.75" hidden="false" customHeight="false" outlineLevel="0" collapsed="false">
      <c r="A228" s="46"/>
    </row>
    <row r="229" customFormat="false" ht="12.75" hidden="false" customHeight="false" outlineLevel="0" collapsed="false">
      <c r="A229" s="46"/>
    </row>
    <row r="230" customFormat="false" ht="12.75" hidden="false" customHeight="false" outlineLevel="0" collapsed="false">
      <c r="A230" s="46"/>
    </row>
    <row r="231" customFormat="false" ht="12.75" hidden="false" customHeight="false" outlineLevel="0" collapsed="false">
      <c r="A231" s="46"/>
    </row>
    <row r="232" customFormat="false" ht="12.75" hidden="false" customHeight="false" outlineLevel="0" collapsed="false">
      <c r="A232" s="46"/>
    </row>
    <row r="233" customFormat="false" ht="12.75" hidden="false" customHeight="false" outlineLevel="0" collapsed="false">
      <c r="A233" s="46"/>
    </row>
    <row r="234" customFormat="false" ht="12.75" hidden="false" customHeight="false" outlineLevel="0" collapsed="false">
      <c r="A234" s="46"/>
    </row>
    <row r="235" customFormat="false" ht="12.75" hidden="false" customHeight="false" outlineLevel="0" collapsed="false">
      <c r="A235" s="46"/>
    </row>
    <row r="236" customFormat="false" ht="12.75" hidden="false" customHeight="false" outlineLevel="0" collapsed="false">
      <c r="A236" s="46"/>
    </row>
    <row r="237" customFormat="false" ht="12.75" hidden="false" customHeight="false" outlineLevel="0" collapsed="false">
      <c r="A237" s="46"/>
    </row>
    <row r="238" customFormat="false" ht="12.75" hidden="false" customHeight="false" outlineLevel="0" collapsed="false">
      <c r="A238" s="46"/>
    </row>
    <row r="239" customFormat="false" ht="12.75" hidden="false" customHeight="false" outlineLevel="0" collapsed="false">
      <c r="A239" s="46"/>
    </row>
    <row r="240" customFormat="false" ht="12.75" hidden="false" customHeight="false" outlineLevel="0" collapsed="false">
      <c r="A240" s="46"/>
    </row>
    <row r="241" customFormat="false" ht="12.75" hidden="false" customHeight="false" outlineLevel="0" collapsed="false">
      <c r="A241" s="46"/>
    </row>
    <row r="242" customFormat="false" ht="12.75" hidden="false" customHeight="false" outlineLevel="0" collapsed="false">
      <c r="A242" s="46"/>
    </row>
    <row r="243" customFormat="false" ht="12.75" hidden="false" customHeight="false" outlineLevel="0" collapsed="false">
      <c r="A243" s="46"/>
    </row>
    <row r="244" customFormat="false" ht="12.75" hidden="false" customHeight="false" outlineLevel="0" collapsed="false">
      <c r="A244" s="46"/>
    </row>
    <row r="245" customFormat="false" ht="12.75" hidden="false" customHeight="false" outlineLevel="0" collapsed="false">
      <c r="A245" s="46"/>
    </row>
    <row r="246" customFormat="false" ht="12.75" hidden="false" customHeight="false" outlineLevel="0" collapsed="false">
      <c r="A246" s="46"/>
    </row>
    <row r="247" customFormat="false" ht="12.75" hidden="false" customHeight="false" outlineLevel="0" collapsed="false">
      <c r="A247" s="46"/>
    </row>
    <row r="248" customFormat="false" ht="12.75" hidden="false" customHeight="false" outlineLevel="0" collapsed="false">
      <c r="A248" s="46"/>
    </row>
    <row r="249" customFormat="false" ht="12.75" hidden="false" customHeight="false" outlineLevel="0" collapsed="false">
      <c r="A249" s="46"/>
    </row>
    <row r="250" customFormat="false" ht="12.75" hidden="false" customHeight="false" outlineLevel="0" collapsed="false">
      <c r="A250" s="46"/>
    </row>
    <row r="251" customFormat="false" ht="12.75" hidden="false" customHeight="false" outlineLevel="0" collapsed="false">
      <c r="A251" s="46"/>
    </row>
    <row r="252" customFormat="false" ht="12.75" hidden="false" customHeight="false" outlineLevel="0" collapsed="false">
      <c r="A252" s="46"/>
    </row>
    <row r="253" customFormat="false" ht="12.75" hidden="false" customHeight="false" outlineLevel="0" collapsed="false">
      <c r="A253" s="46"/>
    </row>
    <row r="254" customFormat="false" ht="12.75" hidden="false" customHeight="false" outlineLevel="0" collapsed="false">
      <c r="A254" s="46"/>
    </row>
    <row r="255" customFormat="false" ht="12.75" hidden="false" customHeight="false" outlineLevel="0" collapsed="false">
      <c r="A255" s="46"/>
    </row>
    <row r="256" customFormat="false" ht="12.75" hidden="false" customHeight="false" outlineLevel="0" collapsed="false">
      <c r="A256" s="46"/>
    </row>
    <row r="257" customFormat="false" ht="12.75" hidden="false" customHeight="false" outlineLevel="0" collapsed="false">
      <c r="A257" s="46"/>
    </row>
    <row r="258" customFormat="false" ht="12.75" hidden="false" customHeight="false" outlineLevel="0" collapsed="false">
      <c r="A258" s="46"/>
    </row>
    <row r="259" customFormat="false" ht="12.75" hidden="false" customHeight="false" outlineLevel="0" collapsed="false">
      <c r="A259" s="46"/>
    </row>
    <row r="260" customFormat="false" ht="12.75" hidden="false" customHeight="false" outlineLevel="0" collapsed="false">
      <c r="A260" s="46"/>
    </row>
    <row r="261" customFormat="false" ht="12.75" hidden="false" customHeight="false" outlineLevel="0" collapsed="false">
      <c r="A261" s="46"/>
    </row>
    <row r="262" customFormat="false" ht="12.75" hidden="false" customHeight="false" outlineLevel="0" collapsed="false">
      <c r="A262" s="46"/>
    </row>
    <row r="263" customFormat="false" ht="12.75" hidden="false" customHeight="false" outlineLevel="0" collapsed="false">
      <c r="A263" s="46"/>
    </row>
    <row r="264" customFormat="false" ht="12.75" hidden="false" customHeight="false" outlineLevel="0" collapsed="false">
      <c r="A264" s="46"/>
    </row>
    <row r="265" customFormat="false" ht="12.75" hidden="false" customHeight="false" outlineLevel="0" collapsed="false">
      <c r="A265" s="46"/>
    </row>
    <row r="266" customFormat="false" ht="12.75" hidden="false" customHeight="false" outlineLevel="0" collapsed="false">
      <c r="A266" s="46"/>
    </row>
    <row r="267" customFormat="false" ht="12.75" hidden="false" customHeight="false" outlineLevel="0" collapsed="false">
      <c r="A267" s="46"/>
    </row>
    <row r="268" customFormat="false" ht="12.75" hidden="false" customHeight="false" outlineLevel="0" collapsed="false">
      <c r="A268" s="46"/>
    </row>
    <row r="269" customFormat="false" ht="12.75" hidden="false" customHeight="false" outlineLevel="0" collapsed="false">
      <c r="A269" s="46"/>
    </row>
    <row r="270" customFormat="false" ht="12.75" hidden="false" customHeight="false" outlineLevel="0" collapsed="false">
      <c r="A270" s="46"/>
    </row>
    <row r="271" customFormat="false" ht="12.75" hidden="false" customHeight="false" outlineLevel="0" collapsed="false">
      <c r="A271" s="46"/>
    </row>
    <row r="272" customFormat="false" ht="12.75" hidden="false" customHeight="false" outlineLevel="0" collapsed="false">
      <c r="A272" s="46"/>
    </row>
    <row r="273" customFormat="false" ht="12.75" hidden="false" customHeight="false" outlineLevel="0" collapsed="false">
      <c r="A273" s="46"/>
    </row>
    <row r="274" customFormat="false" ht="12.75" hidden="false" customHeight="false" outlineLevel="0" collapsed="false">
      <c r="A274" s="46"/>
    </row>
    <row r="275" customFormat="false" ht="12.75" hidden="false" customHeight="false" outlineLevel="0" collapsed="false">
      <c r="A275" s="46"/>
    </row>
    <row r="276" customFormat="false" ht="12.75" hidden="false" customHeight="false" outlineLevel="0" collapsed="false">
      <c r="A276" s="46"/>
    </row>
    <row r="277" customFormat="false" ht="12.75" hidden="false" customHeight="false" outlineLevel="0" collapsed="false">
      <c r="A277" s="46"/>
    </row>
    <row r="278" customFormat="false" ht="12.75" hidden="false" customHeight="false" outlineLevel="0" collapsed="false">
      <c r="A278" s="46"/>
    </row>
    <row r="279" customFormat="false" ht="12.75" hidden="false" customHeight="false" outlineLevel="0" collapsed="false">
      <c r="A279" s="46"/>
    </row>
    <row r="280" customFormat="false" ht="12.75" hidden="false" customHeight="false" outlineLevel="0" collapsed="false">
      <c r="A280" s="46"/>
    </row>
    <row r="281" customFormat="false" ht="12.75" hidden="false" customHeight="false" outlineLevel="0" collapsed="false">
      <c r="A281" s="46"/>
    </row>
    <row r="282" customFormat="false" ht="12.75" hidden="false" customHeight="false" outlineLevel="0" collapsed="false">
      <c r="A282" s="46"/>
    </row>
    <row r="283" customFormat="false" ht="12.75" hidden="false" customHeight="false" outlineLevel="0" collapsed="false">
      <c r="A283" s="46"/>
    </row>
    <row r="284" customFormat="false" ht="12.75" hidden="false" customHeight="false" outlineLevel="0" collapsed="false">
      <c r="A284" s="46"/>
    </row>
    <row r="285" customFormat="false" ht="12.75" hidden="false" customHeight="false" outlineLevel="0" collapsed="false">
      <c r="A285" s="46"/>
    </row>
    <row r="286" customFormat="false" ht="12.75" hidden="false" customHeight="false" outlineLevel="0" collapsed="false">
      <c r="A286" s="46"/>
    </row>
    <row r="287" customFormat="false" ht="12.75" hidden="false" customHeight="false" outlineLevel="0" collapsed="false">
      <c r="A287" s="46"/>
    </row>
    <row r="288" customFormat="false" ht="12.75" hidden="false" customHeight="false" outlineLevel="0" collapsed="false">
      <c r="A288" s="46"/>
    </row>
    <row r="289" customFormat="false" ht="12.75" hidden="false" customHeight="false" outlineLevel="0" collapsed="false">
      <c r="A289" s="46"/>
    </row>
    <row r="290" customFormat="false" ht="12.75" hidden="false" customHeight="false" outlineLevel="0" collapsed="false">
      <c r="A290" s="46"/>
    </row>
    <row r="291" customFormat="false" ht="12.75" hidden="false" customHeight="false" outlineLevel="0" collapsed="false">
      <c r="A291" s="46"/>
    </row>
    <row r="292" customFormat="false" ht="12.75" hidden="false" customHeight="false" outlineLevel="0" collapsed="false">
      <c r="A292" s="46"/>
    </row>
    <row r="293" customFormat="false" ht="12.75" hidden="false" customHeight="false" outlineLevel="0" collapsed="false">
      <c r="A293" s="46"/>
    </row>
    <row r="294" customFormat="false" ht="12.75" hidden="false" customHeight="false" outlineLevel="0" collapsed="false">
      <c r="A294" s="46"/>
    </row>
    <row r="295" customFormat="false" ht="12.75" hidden="false" customHeight="false" outlineLevel="0" collapsed="false">
      <c r="A295" s="46"/>
    </row>
    <row r="296" customFormat="false" ht="12.75" hidden="false" customHeight="false" outlineLevel="0" collapsed="false">
      <c r="A296" s="46"/>
    </row>
    <row r="297" customFormat="false" ht="12.75" hidden="false" customHeight="false" outlineLevel="0" collapsed="false">
      <c r="A297" s="46"/>
    </row>
    <row r="298" customFormat="false" ht="12.75" hidden="false" customHeight="false" outlineLevel="0" collapsed="false">
      <c r="A298" s="46"/>
    </row>
    <row r="299" customFormat="false" ht="12.75" hidden="false" customHeight="false" outlineLevel="0" collapsed="false">
      <c r="A299" s="46"/>
    </row>
    <row r="300" customFormat="false" ht="12.75" hidden="false" customHeight="false" outlineLevel="0" collapsed="false">
      <c r="A300" s="46"/>
    </row>
    <row r="301" customFormat="false" ht="12.75" hidden="false" customHeight="false" outlineLevel="0" collapsed="false">
      <c r="A301" s="46"/>
    </row>
    <row r="302" customFormat="false" ht="12.75" hidden="false" customHeight="false" outlineLevel="0" collapsed="false">
      <c r="A302" s="46"/>
    </row>
    <row r="303" customFormat="false" ht="12.75" hidden="false" customHeight="false" outlineLevel="0" collapsed="false">
      <c r="A303" s="46"/>
    </row>
    <row r="304" customFormat="false" ht="12.75" hidden="false" customHeight="false" outlineLevel="0" collapsed="false">
      <c r="A304" s="46"/>
    </row>
    <row r="305" customFormat="false" ht="12.75" hidden="false" customHeight="false" outlineLevel="0" collapsed="false">
      <c r="A305" s="46"/>
    </row>
    <row r="306" customFormat="false" ht="12.75" hidden="false" customHeight="false" outlineLevel="0" collapsed="false">
      <c r="A306" s="46"/>
    </row>
    <row r="307" customFormat="false" ht="12.75" hidden="false" customHeight="false" outlineLevel="0" collapsed="false">
      <c r="A307" s="46"/>
    </row>
    <row r="308" customFormat="false" ht="12.75" hidden="false" customHeight="false" outlineLevel="0" collapsed="false">
      <c r="A308" s="46"/>
    </row>
    <row r="309" customFormat="false" ht="12.75" hidden="false" customHeight="false" outlineLevel="0" collapsed="false">
      <c r="A309" s="46"/>
    </row>
    <row r="310" customFormat="false" ht="12.75" hidden="false" customHeight="false" outlineLevel="0" collapsed="false">
      <c r="A310" s="46"/>
    </row>
    <row r="311" customFormat="false" ht="12.75" hidden="false" customHeight="false" outlineLevel="0" collapsed="false">
      <c r="A311" s="46"/>
    </row>
    <row r="312" customFormat="false" ht="12.75" hidden="false" customHeight="false" outlineLevel="0" collapsed="false">
      <c r="A312" s="46"/>
    </row>
    <row r="313" customFormat="false" ht="12.75" hidden="false" customHeight="false" outlineLevel="0" collapsed="false">
      <c r="A313" s="46"/>
    </row>
    <row r="314" customFormat="false" ht="12.75" hidden="false" customHeight="false" outlineLevel="0" collapsed="false">
      <c r="A314" s="46"/>
    </row>
    <row r="315" customFormat="false" ht="12.75" hidden="false" customHeight="false" outlineLevel="0" collapsed="false">
      <c r="A315" s="46"/>
    </row>
    <row r="316" customFormat="false" ht="12.75" hidden="false" customHeight="false" outlineLevel="0" collapsed="false">
      <c r="A316" s="46"/>
    </row>
    <row r="317" customFormat="false" ht="12.75" hidden="false" customHeight="false" outlineLevel="0" collapsed="false">
      <c r="A317" s="46"/>
    </row>
    <row r="318" customFormat="false" ht="12.75" hidden="false" customHeight="false" outlineLevel="0" collapsed="false">
      <c r="A318" s="46"/>
    </row>
    <row r="319" customFormat="false" ht="12.75" hidden="false" customHeight="false" outlineLevel="0" collapsed="false">
      <c r="A319" s="46"/>
    </row>
    <row r="320" customFormat="false" ht="12.75" hidden="false" customHeight="false" outlineLevel="0" collapsed="false">
      <c r="A320" s="46"/>
    </row>
    <row r="321" customFormat="false" ht="12.75" hidden="false" customHeight="false" outlineLevel="0" collapsed="false">
      <c r="A321" s="46"/>
    </row>
    <row r="322" customFormat="false" ht="12.75" hidden="false" customHeight="false" outlineLevel="0" collapsed="false">
      <c r="A322" s="46"/>
    </row>
    <row r="323" customFormat="false" ht="12.75" hidden="false" customHeight="false" outlineLevel="0" collapsed="false">
      <c r="A323" s="46"/>
    </row>
    <row r="324" customFormat="false" ht="12.75" hidden="false" customHeight="false" outlineLevel="0" collapsed="false">
      <c r="A324" s="46"/>
    </row>
    <row r="325" customFormat="false" ht="12.75" hidden="false" customHeight="false" outlineLevel="0" collapsed="false">
      <c r="A325" s="46"/>
    </row>
    <row r="326" customFormat="false" ht="12.75" hidden="false" customHeight="false" outlineLevel="0" collapsed="false">
      <c r="A326" s="46"/>
    </row>
    <row r="327" customFormat="false" ht="12.75" hidden="false" customHeight="false" outlineLevel="0" collapsed="false">
      <c r="A327" s="46"/>
    </row>
    <row r="328" customFormat="false" ht="12.75" hidden="false" customHeight="false" outlineLevel="0" collapsed="false">
      <c r="A328" s="46"/>
    </row>
    <row r="329" customFormat="false" ht="12.75" hidden="false" customHeight="false" outlineLevel="0" collapsed="false">
      <c r="A329" s="46"/>
    </row>
    <row r="330" customFormat="false" ht="12.75" hidden="false" customHeight="false" outlineLevel="0" collapsed="false">
      <c r="A330" s="46"/>
    </row>
    <row r="331" customFormat="false" ht="12.75" hidden="false" customHeight="false" outlineLevel="0" collapsed="false">
      <c r="A331" s="46"/>
    </row>
    <row r="332" customFormat="false" ht="12.75" hidden="false" customHeight="false" outlineLevel="0" collapsed="false">
      <c r="A332" s="46"/>
    </row>
    <row r="333" customFormat="false" ht="12.75" hidden="false" customHeight="false" outlineLevel="0" collapsed="false">
      <c r="A333" s="46"/>
    </row>
    <row r="334" customFormat="false" ht="12.75" hidden="false" customHeight="false" outlineLevel="0" collapsed="false">
      <c r="A334" s="46"/>
    </row>
    <row r="335" customFormat="false" ht="12.75" hidden="false" customHeight="false" outlineLevel="0" collapsed="false">
      <c r="A335" s="46"/>
    </row>
    <row r="336" customFormat="false" ht="12.75" hidden="false" customHeight="false" outlineLevel="0" collapsed="false">
      <c r="A336" s="46"/>
    </row>
    <row r="337" customFormat="false" ht="12.75" hidden="false" customHeight="false" outlineLevel="0" collapsed="false">
      <c r="A337" s="46"/>
    </row>
    <row r="338" customFormat="false" ht="12.75" hidden="false" customHeight="false" outlineLevel="0" collapsed="false">
      <c r="A338" s="46"/>
    </row>
    <row r="339" customFormat="false" ht="12.75" hidden="false" customHeight="false" outlineLevel="0" collapsed="false">
      <c r="A339" s="46"/>
    </row>
    <row r="340" customFormat="false" ht="12.75" hidden="false" customHeight="false" outlineLevel="0" collapsed="false">
      <c r="A340" s="46"/>
    </row>
    <row r="341" customFormat="false" ht="12.75" hidden="false" customHeight="false" outlineLevel="0" collapsed="false">
      <c r="A341" s="46"/>
    </row>
    <row r="342" customFormat="false" ht="12.75" hidden="false" customHeight="false" outlineLevel="0" collapsed="false">
      <c r="A342" s="46"/>
    </row>
    <row r="343" customFormat="false" ht="12.75" hidden="false" customHeight="false" outlineLevel="0" collapsed="false">
      <c r="A343" s="46"/>
    </row>
    <row r="344" customFormat="false" ht="12.75" hidden="false" customHeight="false" outlineLevel="0" collapsed="false">
      <c r="A344" s="46"/>
    </row>
    <row r="345" customFormat="false" ht="12.75" hidden="false" customHeight="false" outlineLevel="0" collapsed="false">
      <c r="A345" s="46"/>
    </row>
    <row r="346" customFormat="false" ht="12.75" hidden="false" customHeight="false" outlineLevel="0" collapsed="false">
      <c r="A346" s="46"/>
    </row>
    <row r="347" customFormat="false" ht="12.75" hidden="false" customHeight="false" outlineLevel="0" collapsed="false">
      <c r="A347" s="46"/>
    </row>
    <row r="348" customFormat="false" ht="12.75" hidden="false" customHeight="false" outlineLevel="0" collapsed="false">
      <c r="A348" s="46"/>
    </row>
    <row r="349" customFormat="false" ht="12.75" hidden="false" customHeight="false" outlineLevel="0" collapsed="false">
      <c r="A349" s="46"/>
    </row>
    <row r="350" customFormat="false" ht="12.75" hidden="false" customHeight="false" outlineLevel="0" collapsed="false">
      <c r="A350" s="46"/>
    </row>
    <row r="351" customFormat="false" ht="12.75" hidden="false" customHeight="false" outlineLevel="0" collapsed="false">
      <c r="A351" s="46"/>
    </row>
    <row r="352" customFormat="false" ht="12.75" hidden="false" customHeight="false" outlineLevel="0" collapsed="false">
      <c r="A352" s="46"/>
    </row>
    <row r="353" customFormat="false" ht="12.75" hidden="false" customHeight="false" outlineLevel="0" collapsed="false">
      <c r="A353" s="46"/>
    </row>
    <row r="354" customFormat="false" ht="12.75" hidden="false" customHeight="false" outlineLevel="0" collapsed="false">
      <c r="A354" s="46"/>
    </row>
    <row r="355" customFormat="false" ht="12.75" hidden="false" customHeight="false" outlineLevel="0" collapsed="false">
      <c r="A355" s="46"/>
    </row>
    <row r="356" customFormat="false" ht="12.75" hidden="false" customHeight="false" outlineLevel="0" collapsed="false">
      <c r="A356" s="46"/>
    </row>
    <row r="357" customFormat="false" ht="12.75" hidden="false" customHeight="false" outlineLevel="0" collapsed="false">
      <c r="A357" s="46"/>
    </row>
    <row r="358" customFormat="false" ht="12.75" hidden="false" customHeight="false" outlineLevel="0" collapsed="false">
      <c r="A358" s="46"/>
    </row>
    <row r="359" customFormat="false" ht="12.75" hidden="false" customHeight="false" outlineLevel="0" collapsed="false">
      <c r="A359" s="46"/>
    </row>
    <row r="360" customFormat="false" ht="12.75" hidden="false" customHeight="false" outlineLevel="0" collapsed="false">
      <c r="A360" s="46"/>
    </row>
    <row r="361" customFormat="false" ht="12.75" hidden="false" customHeight="false" outlineLevel="0" collapsed="false">
      <c r="A361" s="46"/>
    </row>
    <row r="362" customFormat="false" ht="12.75" hidden="false" customHeight="false" outlineLevel="0" collapsed="false">
      <c r="A362" s="46"/>
    </row>
    <row r="363" customFormat="false" ht="12.75" hidden="false" customHeight="false" outlineLevel="0" collapsed="false">
      <c r="A363" s="46"/>
    </row>
    <row r="364" customFormat="false" ht="12.75" hidden="false" customHeight="false" outlineLevel="0" collapsed="false">
      <c r="A364" s="46"/>
    </row>
    <row r="365" customFormat="false" ht="12.75" hidden="false" customHeight="false" outlineLevel="0" collapsed="false">
      <c r="A365" s="46"/>
    </row>
    <row r="366" customFormat="false" ht="12.75" hidden="false" customHeight="false" outlineLevel="0" collapsed="false">
      <c r="A366" s="46"/>
    </row>
    <row r="367" customFormat="false" ht="12.75" hidden="false" customHeight="false" outlineLevel="0" collapsed="false">
      <c r="A367" s="46"/>
    </row>
    <row r="368" customFormat="false" ht="12.75" hidden="false" customHeight="false" outlineLevel="0" collapsed="false">
      <c r="A368" s="46"/>
    </row>
    <row r="369" customFormat="false" ht="12.75" hidden="false" customHeight="false" outlineLevel="0" collapsed="false">
      <c r="A369" s="46"/>
    </row>
    <row r="370" customFormat="false" ht="12.75" hidden="false" customHeight="false" outlineLevel="0" collapsed="false">
      <c r="A370" s="46"/>
    </row>
    <row r="371" customFormat="false" ht="12.75" hidden="false" customHeight="false" outlineLevel="0" collapsed="false">
      <c r="A371" s="46"/>
    </row>
    <row r="372" customFormat="false" ht="12.75" hidden="false" customHeight="false" outlineLevel="0" collapsed="false">
      <c r="A372" s="46"/>
    </row>
    <row r="373" customFormat="false" ht="12.75" hidden="false" customHeight="false" outlineLevel="0" collapsed="false">
      <c r="A373" s="46"/>
    </row>
    <row r="374" customFormat="false" ht="12.75" hidden="false" customHeight="false" outlineLevel="0" collapsed="false">
      <c r="A374" s="46"/>
    </row>
    <row r="375" customFormat="false" ht="12.75" hidden="false" customHeight="false" outlineLevel="0" collapsed="false">
      <c r="A375" s="46"/>
    </row>
    <row r="376" customFormat="false" ht="12.75" hidden="false" customHeight="false" outlineLevel="0" collapsed="false">
      <c r="A376" s="46"/>
    </row>
    <row r="377" customFormat="false" ht="12.75" hidden="false" customHeight="false" outlineLevel="0" collapsed="false">
      <c r="A377" s="46"/>
    </row>
    <row r="378" customFormat="false" ht="12.75" hidden="false" customHeight="false" outlineLevel="0" collapsed="false">
      <c r="A378" s="46"/>
    </row>
    <row r="379" customFormat="false" ht="12.75" hidden="false" customHeight="false" outlineLevel="0" collapsed="false">
      <c r="A379" s="46"/>
    </row>
    <row r="380" customFormat="false" ht="12.75" hidden="false" customHeight="false" outlineLevel="0" collapsed="false">
      <c r="A380" s="46"/>
    </row>
    <row r="381" customFormat="false" ht="12.75" hidden="false" customHeight="false" outlineLevel="0" collapsed="false">
      <c r="A381" s="46"/>
    </row>
    <row r="382" customFormat="false" ht="12.75" hidden="false" customHeight="false" outlineLevel="0" collapsed="false">
      <c r="A382" s="46"/>
    </row>
    <row r="383" customFormat="false" ht="12.75" hidden="false" customHeight="false" outlineLevel="0" collapsed="false">
      <c r="A383" s="46"/>
    </row>
    <row r="384" customFormat="false" ht="12.75" hidden="false" customHeight="false" outlineLevel="0" collapsed="false">
      <c r="A384" s="46"/>
    </row>
    <row r="385" customFormat="false" ht="12.75" hidden="false" customHeight="false" outlineLevel="0" collapsed="false">
      <c r="A385" s="46"/>
    </row>
    <row r="386" customFormat="false" ht="12.75" hidden="false" customHeight="false" outlineLevel="0" collapsed="false">
      <c r="A386" s="46"/>
    </row>
    <row r="387" customFormat="false" ht="12.75" hidden="false" customHeight="false" outlineLevel="0" collapsed="false">
      <c r="A387" s="46"/>
    </row>
    <row r="388" customFormat="false" ht="12.75" hidden="false" customHeight="false" outlineLevel="0" collapsed="false">
      <c r="A388" s="46"/>
    </row>
    <row r="389" customFormat="false" ht="12.75" hidden="false" customHeight="false" outlineLevel="0" collapsed="false">
      <c r="A389" s="46"/>
    </row>
    <row r="390" customFormat="false" ht="12.75" hidden="false" customHeight="false" outlineLevel="0" collapsed="false">
      <c r="A390" s="46"/>
    </row>
    <row r="391" customFormat="false" ht="12.75" hidden="false" customHeight="false" outlineLevel="0" collapsed="false">
      <c r="A391" s="46"/>
    </row>
    <row r="392" customFormat="false" ht="12.75" hidden="false" customHeight="false" outlineLevel="0" collapsed="false">
      <c r="A392" s="46"/>
    </row>
    <row r="393" customFormat="false" ht="12.75" hidden="false" customHeight="false" outlineLevel="0" collapsed="false">
      <c r="A393" s="46"/>
    </row>
    <row r="394" customFormat="false" ht="12.75" hidden="false" customHeight="false" outlineLevel="0" collapsed="false">
      <c r="A394" s="46"/>
    </row>
    <row r="395" customFormat="false" ht="12.75" hidden="false" customHeight="false" outlineLevel="0" collapsed="false">
      <c r="A395" s="46"/>
    </row>
    <row r="396" customFormat="false" ht="12.75" hidden="false" customHeight="false" outlineLevel="0" collapsed="false">
      <c r="A396" s="46"/>
    </row>
    <row r="397" customFormat="false" ht="12.75" hidden="false" customHeight="false" outlineLevel="0" collapsed="false">
      <c r="A397" s="46"/>
    </row>
    <row r="398" customFormat="false" ht="12.75" hidden="false" customHeight="false" outlineLevel="0" collapsed="false">
      <c r="A398" s="46"/>
    </row>
    <row r="399" customFormat="false" ht="12.75" hidden="false" customHeight="false" outlineLevel="0" collapsed="false">
      <c r="A399" s="46"/>
    </row>
    <row r="400" customFormat="false" ht="12.75" hidden="false" customHeight="false" outlineLevel="0" collapsed="false">
      <c r="A400" s="46"/>
    </row>
    <row r="401" customFormat="false" ht="12.75" hidden="false" customHeight="false" outlineLevel="0" collapsed="false">
      <c r="A401" s="46"/>
    </row>
    <row r="402" customFormat="false" ht="12.75" hidden="false" customHeight="false" outlineLevel="0" collapsed="false">
      <c r="A402" s="46"/>
    </row>
    <row r="403" customFormat="false" ht="12.75" hidden="false" customHeight="false" outlineLevel="0" collapsed="false">
      <c r="A403" s="46"/>
    </row>
    <row r="404" customFormat="false" ht="12.75" hidden="false" customHeight="false" outlineLevel="0" collapsed="false">
      <c r="A404" s="46"/>
    </row>
    <row r="405" customFormat="false" ht="12.75" hidden="false" customHeight="false" outlineLevel="0" collapsed="false">
      <c r="A405" s="46"/>
    </row>
    <row r="406" customFormat="false" ht="12.75" hidden="false" customHeight="false" outlineLevel="0" collapsed="false">
      <c r="A406" s="46"/>
    </row>
    <row r="407" customFormat="false" ht="12.75" hidden="false" customHeight="false" outlineLevel="0" collapsed="false">
      <c r="A407" s="46"/>
    </row>
    <row r="408" customFormat="false" ht="12.75" hidden="false" customHeight="false" outlineLevel="0" collapsed="false">
      <c r="A408" s="46"/>
    </row>
    <row r="409" customFormat="false" ht="12.75" hidden="false" customHeight="false" outlineLevel="0" collapsed="false">
      <c r="A409" s="46"/>
    </row>
    <row r="410" customFormat="false" ht="12.75" hidden="false" customHeight="false" outlineLevel="0" collapsed="false">
      <c r="A410" s="46"/>
    </row>
    <row r="411" customFormat="false" ht="12.75" hidden="false" customHeight="false" outlineLevel="0" collapsed="false">
      <c r="A411" s="46"/>
    </row>
    <row r="412" customFormat="false" ht="12.75" hidden="false" customHeight="false" outlineLevel="0" collapsed="false">
      <c r="A412" s="46"/>
    </row>
    <row r="413" customFormat="false" ht="12.75" hidden="false" customHeight="false" outlineLevel="0" collapsed="false">
      <c r="A413" s="46"/>
    </row>
    <row r="414" customFormat="false" ht="12.75" hidden="false" customHeight="false" outlineLevel="0" collapsed="false">
      <c r="A414" s="46"/>
    </row>
    <row r="415" customFormat="false" ht="12.75" hidden="false" customHeight="false" outlineLevel="0" collapsed="false">
      <c r="A415" s="46"/>
    </row>
    <row r="416" customFormat="false" ht="12.75" hidden="false" customHeight="false" outlineLevel="0" collapsed="false">
      <c r="A416" s="46"/>
    </row>
    <row r="417" customFormat="false" ht="12.75" hidden="false" customHeight="false" outlineLevel="0" collapsed="false">
      <c r="A417" s="46"/>
    </row>
    <row r="418" customFormat="false" ht="12.75" hidden="false" customHeight="false" outlineLevel="0" collapsed="false">
      <c r="A418" s="46"/>
    </row>
    <row r="419" customFormat="false" ht="12.75" hidden="false" customHeight="false" outlineLevel="0" collapsed="false">
      <c r="A419" s="46"/>
    </row>
    <row r="420" customFormat="false" ht="12.75" hidden="false" customHeight="false" outlineLevel="0" collapsed="false">
      <c r="A420" s="46"/>
    </row>
    <row r="421" customFormat="false" ht="12.75" hidden="false" customHeight="false" outlineLevel="0" collapsed="false">
      <c r="A421" s="46"/>
    </row>
    <row r="422" customFormat="false" ht="12.75" hidden="false" customHeight="false" outlineLevel="0" collapsed="false">
      <c r="A422" s="46"/>
    </row>
    <row r="423" customFormat="false" ht="12.75" hidden="false" customHeight="false" outlineLevel="0" collapsed="false">
      <c r="A423" s="46"/>
    </row>
    <row r="424" customFormat="false" ht="12.75" hidden="false" customHeight="false" outlineLevel="0" collapsed="false">
      <c r="A424" s="46"/>
    </row>
    <row r="425" customFormat="false" ht="12.75" hidden="false" customHeight="false" outlineLevel="0" collapsed="false">
      <c r="A425" s="46"/>
    </row>
    <row r="426" customFormat="false" ht="12.75" hidden="false" customHeight="false" outlineLevel="0" collapsed="false">
      <c r="A426" s="46"/>
    </row>
    <row r="427" customFormat="false" ht="12.75" hidden="false" customHeight="false" outlineLevel="0" collapsed="false">
      <c r="A427" s="46"/>
    </row>
    <row r="428" customFormat="false" ht="12.75" hidden="false" customHeight="false" outlineLevel="0" collapsed="false">
      <c r="A428" s="46"/>
    </row>
    <row r="429" customFormat="false" ht="12.75" hidden="false" customHeight="false" outlineLevel="0" collapsed="false">
      <c r="A429" s="46"/>
    </row>
    <row r="430" customFormat="false" ht="12.75" hidden="false" customHeight="false" outlineLevel="0" collapsed="false">
      <c r="A430" s="46"/>
    </row>
    <row r="431" customFormat="false" ht="12.75" hidden="false" customHeight="false" outlineLevel="0" collapsed="false">
      <c r="A431" s="46"/>
    </row>
    <row r="432" customFormat="false" ht="12.75" hidden="false" customHeight="false" outlineLevel="0" collapsed="false">
      <c r="A432" s="46"/>
    </row>
    <row r="433" customFormat="false" ht="12.75" hidden="false" customHeight="false" outlineLevel="0" collapsed="false">
      <c r="A433" s="46"/>
    </row>
    <row r="434" customFormat="false" ht="12.75" hidden="false" customHeight="false" outlineLevel="0" collapsed="false">
      <c r="A434" s="46"/>
    </row>
    <row r="435" customFormat="false" ht="12.75" hidden="false" customHeight="false" outlineLevel="0" collapsed="false">
      <c r="A435" s="46"/>
    </row>
    <row r="436" customFormat="false" ht="12.75" hidden="false" customHeight="false" outlineLevel="0" collapsed="false">
      <c r="A436" s="46"/>
    </row>
    <row r="437" customFormat="false" ht="12.75" hidden="false" customHeight="false" outlineLevel="0" collapsed="false">
      <c r="A437" s="46"/>
    </row>
    <row r="438" customFormat="false" ht="12.75" hidden="false" customHeight="false" outlineLevel="0" collapsed="false">
      <c r="A438" s="46"/>
    </row>
    <row r="439" customFormat="false" ht="12.75" hidden="false" customHeight="false" outlineLevel="0" collapsed="false">
      <c r="A439" s="46"/>
    </row>
    <row r="440" customFormat="false" ht="12.75" hidden="false" customHeight="false" outlineLevel="0" collapsed="false">
      <c r="A440" s="46"/>
    </row>
    <row r="441" customFormat="false" ht="12.75" hidden="false" customHeight="false" outlineLevel="0" collapsed="false">
      <c r="A441" s="46"/>
    </row>
    <row r="442" customFormat="false" ht="12.75" hidden="false" customHeight="false" outlineLevel="0" collapsed="false">
      <c r="A442" s="46"/>
    </row>
    <row r="443" customFormat="false" ht="12.75" hidden="false" customHeight="false" outlineLevel="0" collapsed="false">
      <c r="A443" s="46"/>
    </row>
    <row r="444" customFormat="false" ht="12.75" hidden="false" customHeight="false" outlineLevel="0" collapsed="false">
      <c r="A444" s="46"/>
    </row>
    <row r="445" customFormat="false" ht="12.75" hidden="false" customHeight="false" outlineLevel="0" collapsed="false">
      <c r="A445" s="46"/>
    </row>
    <row r="446" customFormat="false" ht="12.75" hidden="false" customHeight="false" outlineLevel="0" collapsed="false">
      <c r="A446" s="46"/>
    </row>
    <row r="447" customFormat="false" ht="12.75" hidden="false" customHeight="false" outlineLevel="0" collapsed="false">
      <c r="A447" s="46"/>
    </row>
    <row r="448" customFormat="false" ht="12.75" hidden="false" customHeight="false" outlineLevel="0" collapsed="false">
      <c r="A448" s="46"/>
    </row>
    <row r="449" customFormat="false" ht="12.75" hidden="false" customHeight="false" outlineLevel="0" collapsed="false">
      <c r="A449" s="46"/>
    </row>
    <row r="450" customFormat="false" ht="12.75" hidden="false" customHeight="false" outlineLevel="0" collapsed="false">
      <c r="A450" s="46"/>
    </row>
    <row r="451" customFormat="false" ht="12.75" hidden="false" customHeight="false" outlineLevel="0" collapsed="false">
      <c r="A451" s="46"/>
    </row>
    <row r="452" customFormat="false" ht="12.75" hidden="false" customHeight="false" outlineLevel="0" collapsed="false">
      <c r="A452" s="46"/>
    </row>
    <row r="453" customFormat="false" ht="12.75" hidden="false" customHeight="false" outlineLevel="0" collapsed="false">
      <c r="A453" s="46"/>
    </row>
    <row r="454" customFormat="false" ht="12.75" hidden="false" customHeight="false" outlineLevel="0" collapsed="false">
      <c r="A454" s="46"/>
    </row>
    <row r="455" customFormat="false" ht="12.75" hidden="false" customHeight="false" outlineLevel="0" collapsed="false">
      <c r="A455" s="46"/>
    </row>
    <row r="456" customFormat="false" ht="12.75" hidden="false" customHeight="false" outlineLevel="0" collapsed="false">
      <c r="A456" s="46"/>
    </row>
    <row r="457" customFormat="false" ht="12.75" hidden="false" customHeight="false" outlineLevel="0" collapsed="false">
      <c r="A457" s="46"/>
    </row>
    <row r="458" customFormat="false" ht="12.75" hidden="false" customHeight="false" outlineLevel="0" collapsed="false">
      <c r="A458" s="46"/>
    </row>
    <row r="459" customFormat="false" ht="12.75" hidden="false" customHeight="false" outlineLevel="0" collapsed="false">
      <c r="A459" s="46"/>
    </row>
    <row r="460" customFormat="false" ht="12.75" hidden="false" customHeight="false" outlineLevel="0" collapsed="false">
      <c r="A460" s="46"/>
    </row>
    <row r="461" customFormat="false" ht="12.75" hidden="false" customHeight="false" outlineLevel="0" collapsed="false">
      <c r="A461" s="46"/>
    </row>
    <row r="462" customFormat="false" ht="12.75" hidden="false" customHeight="false" outlineLevel="0" collapsed="false">
      <c r="A462" s="46"/>
    </row>
    <row r="463" customFormat="false" ht="12.75" hidden="false" customHeight="false" outlineLevel="0" collapsed="false">
      <c r="A463" s="46"/>
    </row>
    <row r="464" customFormat="false" ht="12.75" hidden="false" customHeight="false" outlineLevel="0" collapsed="false">
      <c r="A464" s="46"/>
    </row>
    <row r="465" customFormat="false" ht="12.75" hidden="false" customHeight="false" outlineLevel="0" collapsed="false">
      <c r="A465" s="46"/>
    </row>
    <row r="466" customFormat="false" ht="12.75" hidden="false" customHeight="false" outlineLevel="0" collapsed="false">
      <c r="A466" s="46"/>
    </row>
    <row r="467" customFormat="false" ht="12.75" hidden="false" customHeight="false" outlineLevel="0" collapsed="false">
      <c r="A467" s="46"/>
    </row>
    <row r="468" customFormat="false" ht="12.75" hidden="false" customHeight="false" outlineLevel="0" collapsed="false">
      <c r="A468" s="46"/>
    </row>
    <row r="469" customFormat="false" ht="12.75" hidden="false" customHeight="false" outlineLevel="0" collapsed="false">
      <c r="A469" s="46"/>
    </row>
    <row r="470" customFormat="false" ht="12.75" hidden="false" customHeight="false" outlineLevel="0" collapsed="false">
      <c r="A470" s="46"/>
    </row>
    <row r="471" customFormat="false" ht="12.75" hidden="false" customHeight="false" outlineLevel="0" collapsed="false">
      <c r="A471" s="46"/>
    </row>
    <row r="472" customFormat="false" ht="12.75" hidden="false" customHeight="false" outlineLevel="0" collapsed="false">
      <c r="A472" s="46"/>
    </row>
    <row r="473" customFormat="false" ht="12.75" hidden="false" customHeight="false" outlineLevel="0" collapsed="false">
      <c r="A473" s="46"/>
    </row>
    <row r="474" customFormat="false" ht="12.75" hidden="false" customHeight="false" outlineLevel="0" collapsed="false">
      <c r="A474" s="46"/>
    </row>
    <row r="475" customFormat="false" ht="12.75" hidden="false" customHeight="false" outlineLevel="0" collapsed="false">
      <c r="A475" s="46"/>
    </row>
    <row r="476" customFormat="false" ht="12.75" hidden="false" customHeight="false" outlineLevel="0" collapsed="false">
      <c r="A476" s="46"/>
    </row>
    <row r="477" customFormat="false" ht="12.75" hidden="false" customHeight="false" outlineLevel="0" collapsed="false">
      <c r="A477" s="46"/>
    </row>
    <row r="478" customFormat="false" ht="12.75" hidden="false" customHeight="false" outlineLevel="0" collapsed="false">
      <c r="A478" s="46"/>
    </row>
    <row r="479" customFormat="false" ht="12.75" hidden="false" customHeight="false" outlineLevel="0" collapsed="false">
      <c r="A479" s="46"/>
    </row>
    <row r="480" customFormat="false" ht="12.75" hidden="false" customHeight="false" outlineLevel="0" collapsed="false">
      <c r="A480" s="46"/>
    </row>
    <row r="481" customFormat="false" ht="12.75" hidden="false" customHeight="false" outlineLevel="0" collapsed="false">
      <c r="A481" s="46"/>
    </row>
    <row r="482" customFormat="false" ht="12.75" hidden="false" customHeight="false" outlineLevel="0" collapsed="false">
      <c r="A482" s="46"/>
    </row>
    <row r="483" customFormat="false" ht="12.75" hidden="false" customHeight="false" outlineLevel="0" collapsed="false">
      <c r="A483" s="46"/>
    </row>
    <row r="484" customFormat="false" ht="12.75" hidden="false" customHeight="false" outlineLevel="0" collapsed="false">
      <c r="A484" s="46"/>
    </row>
    <row r="485" customFormat="false" ht="12.75" hidden="false" customHeight="false" outlineLevel="0" collapsed="false">
      <c r="A485" s="46"/>
    </row>
    <row r="486" customFormat="false" ht="12.75" hidden="false" customHeight="false" outlineLevel="0" collapsed="false">
      <c r="A486" s="46"/>
    </row>
    <row r="487" customFormat="false" ht="12.75" hidden="false" customHeight="false" outlineLevel="0" collapsed="false">
      <c r="A487" s="46"/>
    </row>
    <row r="488" customFormat="false" ht="12.75" hidden="false" customHeight="false" outlineLevel="0" collapsed="false">
      <c r="A488" s="46"/>
    </row>
    <row r="489" customFormat="false" ht="12.75" hidden="false" customHeight="false" outlineLevel="0" collapsed="false">
      <c r="A489" s="46"/>
    </row>
    <row r="490" customFormat="false" ht="12.75" hidden="false" customHeight="false" outlineLevel="0" collapsed="false">
      <c r="A490" s="46"/>
    </row>
    <row r="491" customFormat="false" ht="12.75" hidden="false" customHeight="false" outlineLevel="0" collapsed="false">
      <c r="A491" s="46"/>
    </row>
    <row r="492" customFormat="false" ht="12.75" hidden="false" customHeight="false" outlineLevel="0" collapsed="false">
      <c r="A492" s="46"/>
    </row>
    <row r="493" customFormat="false" ht="12.75" hidden="false" customHeight="false" outlineLevel="0" collapsed="false">
      <c r="A493" s="46"/>
    </row>
    <row r="494" customFormat="false" ht="12.75" hidden="false" customHeight="false" outlineLevel="0" collapsed="false">
      <c r="A494" s="46"/>
    </row>
    <row r="495" customFormat="false" ht="12.75" hidden="false" customHeight="false" outlineLevel="0" collapsed="false">
      <c r="A495" s="46"/>
    </row>
    <row r="496" customFormat="false" ht="12.75" hidden="false" customHeight="false" outlineLevel="0" collapsed="false">
      <c r="A496" s="46"/>
    </row>
    <row r="497" customFormat="false" ht="12.75" hidden="false" customHeight="false" outlineLevel="0" collapsed="false">
      <c r="A497" s="46"/>
    </row>
    <row r="498" customFormat="false" ht="12.75" hidden="false" customHeight="false" outlineLevel="0" collapsed="false">
      <c r="A498" s="46"/>
    </row>
    <row r="499" customFormat="false" ht="12.75" hidden="false" customHeight="false" outlineLevel="0" collapsed="false">
      <c r="A499" s="46"/>
    </row>
    <row r="500" customFormat="false" ht="12.75" hidden="false" customHeight="false" outlineLevel="0" collapsed="false">
      <c r="A500" s="46"/>
    </row>
    <row r="501" customFormat="false" ht="12.75" hidden="false" customHeight="false" outlineLevel="0" collapsed="false">
      <c r="A501" s="46"/>
    </row>
    <row r="502" customFormat="false" ht="12.75" hidden="false" customHeight="false" outlineLevel="0" collapsed="false">
      <c r="A502" s="46"/>
    </row>
    <row r="503" customFormat="false" ht="12.75" hidden="false" customHeight="false" outlineLevel="0" collapsed="false">
      <c r="A503" s="46"/>
    </row>
    <row r="504" customFormat="false" ht="12.75" hidden="false" customHeight="false" outlineLevel="0" collapsed="false">
      <c r="A504" s="46"/>
    </row>
    <row r="505" customFormat="false" ht="12.75" hidden="false" customHeight="false" outlineLevel="0" collapsed="false">
      <c r="A505" s="46"/>
    </row>
    <row r="506" customFormat="false" ht="12.75" hidden="false" customHeight="false" outlineLevel="0" collapsed="false">
      <c r="A506" s="46"/>
    </row>
    <row r="507" customFormat="false" ht="12.75" hidden="false" customHeight="false" outlineLevel="0" collapsed="false">
      <c r="A507" s="46"/>
    </row>
    <row r="508" customFormat="false" ht="12.75" hidden="false" customHeight="false" outlineLevel="0" collapsed="false">
      <c r="A508" s="46"/>
    </row>
    <row r="509" customFormat="false" ht="12.75" hidden="false" customHeight="false" outlineLevel="0" collapsed="false">
      <c r="A509" s="46"/>
    </row>
    <row r="510" customFormat="false" ht="12.75" hidden="false" customHeight="false" outlineLevel="0" collapsed="false">
      <c r="A510" s="46"/>
    </row>
    <row r="511" customFormat="false" ht="12.75" hidden="false" customHeight="false" outlineLevel="0" collapsed="false">
      <c r="A511" s="46"/>
    </row>
    <row r="512" customFormat="false" ht="12.75" hidden="false" customHeight="false" outlineLevel="0" collapsed="false">
      <c r="A512" s="46"/>
    </row>
    <row r="513" customFormat="false" ht="12.75" hidden="false" customHeight="false" outlineLevel="0" collapsed="false">
      <c r="A513" s="46"/>
    </row>
    <row r="514" customFormat="false" ht="12.75" hidden="false" customHeight="false" outlineLevel="0" collapsed="false">
      <c r="A514" s="46"/>
    </row>
    <row r="515" customFormat="false" ht="12.75" hidden="false" customHeight="false" outlineLevel="0" collapsed="false">
      <c r="A515" s="46"/>
    </row>
  </sheetData>
  <printOptions headings="false" gridLines="true" gridLinesSet="true" horizontalCentered="true" verticalCentered="true"/>
  <pageMargins left="0" right="0" top="0" bottom="0" header="0" footer="0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1" manualBreakCount="11">
    <brk id="26" man="true" max="65535" min="0"/>
    <brk id="38" man="true" max="65535" min="0"/>
    <brk id="50" man="true" max="65535" min="0"/>
    <brk id="62" man="true" max="65535" min="0"/>
    <brk id="74" man="true" max="65535" min="0"/>
    <brk id="86" man="true" max="65535" min="0"/>
    <brk id="98" man="true" max="65535" min="0"/>
    <brk id="110" man="true" max="65535" min="0"/>
    <brk id="122" man="true" max="65535" min="0"/>
    <brk id="134" man="true" max="65535" min="0"/>
    <brk id="146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5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G35" activeCellId="0" sqref="G35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5" width="15.15"/>
    <col collapsed="false" customWidth="false" hidden="false" outlineLevel="0" max="2" min="2" style="46" width="15.15"/>
    <col collapsed="false" customWidth="true" hidden="false" outlineLevel="0" max="3" min="3" style="46" width="20.82"/>
    <col collapsed="false" customWidth="true" hidden="false" outlineLevel="0" max="4" min="4" style="46" width="18.82"/>
    <col collapsed="false" customWidth="false" hidden="false" outlineLevel="0" max="7" min="5" style="46" width="15.15"/>
    <col collapsed="false" customWidth="false" hidden="false" outlineLevel="0" max="8" min="8" style="124" width="15.15"/>
    <col collapsed="false" customWidth="false" hidden="false" outlineLevel="0" max="11" min="9" style="46" width="15.15"/>
    <col collapsed="false" customWidth="false" hidden="false" outlineLevel="0" max="12" min="12" style="125" width="15.15"/>
    <col collapsed="false" customWidth="true" hidden="false" outlineLevel="0" max="13" min="13" style="46" width="16.32"/>
    <col collapsed="false" customWidth="false" hidden="false" outlineLevel="0" max="14" min="14" style="46" width="15.15"/>
    <col collapsed="false" customWidth="false" hidden="false" outlineLevel="0" max="15" min="15" style="3" width="15.15"/>
    <col collapsed="false" customWidth="false" hidden="false" outlineLevel="0" max="18" min="16" style="46" width="15.15"/>
    <col collapsed="false" customWidth="false" hidden="false" outlineLevel="0" max="19" min="19" style="126" width="15.15"/>
    <col collapsed="false" customWidth="false" hidden="false" outlineLevel="0" max="22" min="20" style="3" width="15.15"/>
    <col collapsed="false" customWidth="false" hidden="false" outlineLevel="0" max="25" min="23" style="46" width="15.15"/>
    <col collapsed="false" customWidth="false" hidden="false" outlineLevel="0" max="26" min="26" style="126" width="15.15"/>
    <col collapsed="false" customWidth="false" hidden="false" outlineLevel="0" max="27" min="27" style="3" width="15.15"/>
    <col collapsed="false" customWidth="false" hidden="false" outlineLevel="0" max="28" min="28" style="33" width="15.15"/>
    <col collapsed="false" customWidth="false" hidden="false" outlineLevel="0" max="34" min="29" style="127" width="15.15"/>
    <col collapsed="false" customWidth="false" hidden="false" outlineLevel="0" max="35" min="35" style="128" width="15.15"/>
    <col collapsed="false" customWidth="false" hidden="false" outlineLevel="0" max="41" min="36" style="127" width="15.15"/>
    <col collapsed="false" customWidth="false" hidden="false" outlineLevel="0" max="42" min="42" style="128" width="15.15"/>
    <col collapsed="false" customWidth="false" hidden="false" outlineLevel="0" max="48" min="43" style="127" width="15.15"/>
    <col collapsed="false" customWidth="false" hidden="false" outlineLevel="0" max="49" min="49" style="128" width="15.15"/>
    <col collapsed="false" customWidth="false" hidden="false" outlineLevel="0" max="55" min="50" style="127" width="15.15"/>
    <col collapsed="false" customWidth="false" hidden="false" outlineLevel="0" max="56" min="56" style="128" width="15.15"/>
    <col collapsed="false" customWidth="false" hidden="false" outlineLevel="0" max="62" min="57" style="127" width="15.15"/>
    <col collapsed="false" customWidth="false" hidden="false" outlineLevel="0" max="63" min="63" style="128" width="15.15"/>
    <col collapsed="false" customWidth="false" hidden="false" outlineLevel="0" max="69" min="64" style="129" width="15.15"/>
    <col collapsed="false" customWidth="false" hidden="false" outlineLevel="0" max="70" min="70" style="128" width="15.15"/>
    <col collapsed="false" customWidth="false" hidden="false" outlineLevel="0" max="76" min="71" style="129" width="15.15"/>
    <col collapsed="false" customWidth="false" hidden="false" outlineLevel="0" max="77" min="77" style="128" width="15.15"/>
    <col collapsed="false" customWidth="false" hidden="false" outlineLevel="0" max="83" min="78" style="129" width="15.15"/>
    <col collapsed="false" customWidth="false" hidden="false" outlineLevel="0" max="84" min="84" style="128" width="15.15"/>
    <col collapsed="false" customWidth="false" hidden="false" outlineLevel="0" max="90" min="85" style="129" width="15.15"/>
    <col collapsed="false" customWidth="false" hidden="false" outlineLevel="0" max="91" min="91" style="128" width="15.15"/>
    <col collapsed="false" customWidth="false" hidden="false" outlineLevel="0" max="92" min="92" style="49" width="15.15"/>
    <col collapsed="false" customWidth="false" hidden="false" outlineLevel="0" max="95" min="93" style="44" width="15.15"/>
    <col collapsed="false" customWidth="false" hidden="false" outlineLevel="0" max="97" min="96" style="3" width="15.15"/>
    <col collapsed="false" customWidth="false" hidden="false" outlineLevel="0" max="98" min="98" style="49" width="15.15"/>
    <col collapsed="false" customWidth="false" hidden="false" outlineLevel="0" max="110" min="99" style="3" width="15.15"/>
    <col collapsed="false" customWidth="false" hidden="false" outlineLevel="0" max="118" min="111" style="50" width="15.15"/>
    <col collapsed="false" customWidth="false" hidden="false" outlineLevel="0" max="140" min="119" style="51" width="15.15"/>
    <col collapsed="false" customWidth="false" hidden="false" outlineLevel="0" max="147" min="141" style="52" width="15.15"/>
    <col collapsed="false" customWidth="false" hidden="false" outlineLevel="0" max="257" min="148" style="1" width="15.15"/>
  </cols>
  <sheetData>
    <row r="1" customFormat="false" ht="15.75" hidden="false" customHeight="false" outlineLevel="0" collapsed="false">
      <c r="A1" s="10" t="s">
        <v>64</v>
      </c>
      <c r="B1" s="54" t="n">
        <f aca="false">+BaseloadMarkets!B1</f>
        <v>36708</v>
      </c>
      <c r="D1" s="130"/>
      <c r="E1" s="10"/>
      <c r="F1" s="10"/>
      <c r="G1" s="10"/>
      <c r="I1" s="10"/>
      <c r="J1" s="10"/>
      <c r="K1" s="10"/>
      <c r="P1" s="10"/>
      <c r="Q1" s="10"/>
      <c r="R1" s="10"/>
      <c r="W1" s="10"/>
      <c r="X1" s="10"/>
      <c r="Y1" s="10"/>
      <c r="CN1" s="44"/>
      <c r="CQ1" s="128"/>
    </row>
    <row r="2" customFormat="false" ht="12.75" hidden="false" customHeight="true" outlineLevel="0" collapsed="false">
      <c r="A2" s="10" t="s">
        <v>40</v>
      </c>
      <c r="B2" s="10"/>
      <c r="C2" s="131"/>
      <c r="D2" s="10" t="n">
        <v>303938</v>
      </c>
      <c r="E2" s="10" t="s">
        <v>108</v>
      </c>
      <c r="F2" s="10" t="n">
        <v>215113</v>
      </c>
      <c r="G2" s="10"/>
      <c r="H2" s="132"/>
      <c r="I2" s="10"/>
      <c r="J2" s="10"/>
      <c r="K2" s="10"/>
      <c r="L2" s="133"/>
      <c r="M2" s="10"/>
      <c r="N2" s="10"/>
      <c r="O2" s="113" t="n">
        <v>125681</v>
      </c>
      <c r="P2" s="10"/>
      <c r="Q2" s="10"/>
      <c r="R2" s="10"/>
      <c r="S2" s="134"/>
      <c r="T2" s="11"/>
      <c r="U2" s="11"/>
      <c r="V2" s="19" t="n">
        <v>309103</v>
      </c>
      <c r="W2" s="10"/>
      <c r="X2" s="10"/>
      <c r="Y2" s="10"/>
      <c r="Z2" s="134"/>
      <c r="AA2" s="13"/>
      <c r="AB2" s="11"/>
      <c r="AC2" s="135"/>
      <c r="AD2" s="136"/>
      <c r="AE2" s="136"/>
      <c r="AF2" s="136"/>
      <c r="AG2" s="136"/>
      <c r="AH2" s="136"/>
      <c r="AI2" s="137"/>
      <c r="AJ2" s="135"/>
      <c r="AK2" s="136"/>
      <c r="AL2" s="136"/>
      <c r="AM2" s="136"/>
      <c r="AN2" s="136"/>
      <c r="AO2" s="136"/>
      <c r="AP2" s="137"/>
      <c r="AQ2" s="135"/>
      <c r="AR2" s="136"/>
      <c r="AS2" s="136"/>
      <c r="AT2" s="136"/>
      <c r="AU2" s="136"/>
      <c r="AV2" s="136"/>
      <c r="AW2" s="137"/>
      <c r="AX2" s="135"/>
      <c r="AY2" s="136"/>
      <c r="AZ2" s="136"/>
      <c r="BA2" s="136"/>
      <c r="BB2" s="136"/>
      <c r="BC2" s="136"/>
      <c r="BD2" s="137"/>
      <c r="BE2" s="135"/>
      <c r="BF2" s="136"/>
      <c r="BG2" s="136"/>
      <c r="BH2" s="136"/>
      <c r="BI2" s="136"/>
      <c r="BJ2" s="136"/>
      <c r="BK2" s="137"/>
      <c r="BL2" s="138"/>
      <c r="BM2" s="139"/>
      <c r="BN2" s="139"/>
      <c r="BO2" s="139"/>
      <c r="BP2" s="139"/>
      <c r="BQ2" s="139"/>
      <c r="BR2" s="137"/>
      <c r="BS2" s="138"/>
      <c r="BT2" s="139"/>
      <c r="BU2" s="139"/>
      <c r="BV2" s="139"/>
      <c r="BW2" s="139"/>
      <c r="BX2" s="139"/>
      <c r="BY2" s="137"/>
      <c r="BZ2" s="138"/>
      <c r="CA2" s="139"/>
      <c r="CB2" s="139"/>
      <c r="CC2" s="139"/>
      <c r="CD2" s="139"/>
      <c r="CE2" s="139"/>
      <c r="CF2" s="137"/>
      <c r="CG2" s="138"/>
      <c r="CH2" s="139"/>
      <c r="CI2" s="139"/>
      <c r="CJ2" s="139"/>
      <c r="CK2" s="139"/>
      <c r="CL2" s="139"/>
      <c r="CM2" s="137"/>
      <c r="CN2" s="63"/>
      <c r="CO2" s="4"/>
      <c r="CP2" s="4"/>
      <c r="CQ2" s="137"/>
      <c r="CR2" s="13"/>
      <c r="CS2" s="13"/>
      <c r="CT2" s="108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65"/>
      <c r="DH2" s="65"/>
      <c r="DI2" s="65"/>
      <c r="DJ2" s="65"/>
      <c r="DK2" s="65"/>
      <c r="DL2" s="65"/>
      <c r="DM2" s="65"/>
      <c r="DN2" s="65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7"/>
      <c r="EL2" s="67"/>
      <c r="EM2" s="67"/>
      <c r="EN2" s="67"/>
      <c r="EO2" s="67"/>
      <c r="EP2" s="67"/>
      <c r="EQ2" s="67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10" t="s">
        <v>83</v>
      </c>
      <c r="B3" s="10"/>
      <c r="C3" s="10" t="s">
        <v>109</v>
      </c>
      <c r="D3" s="10"/>
      <c r="E3" s="10"/>
      <c r="F3" s="10"/>
      <c r="G3" s="10" t="s">
        <v>110</v>
      </c>
      <c r="H3" s="132"/>
      <c r="I3" s="10"/>
      <c r="J3" s="10"/>
      <c r="K3" s="10"/>
      <c r="L3" s="133" t="s">
        <v>45</v>
      </c>
      <c r="M3" s="10"/>
      <c r="N3" s="10"/>
      <c r="O3" s="113" t="s">
        <v>111</v>
      </c>
      <c r="P3" s="10"/>
      <c r="Q3" s="10"/>
      <c r="R3" s="10" t="s">
        <v>112</v>
      </c>
      <c r="S3" s="134" t="s">
        <v>45</v>
      </c>
      <c r="T3" s="11"/>
      <c r="U3" s="11"/>
      <c r="V3" s="19" t="s">
        <v>113</v>
      </c>
      <c r="W3" s="10"/>
      <c r="X3" s="10"/>
      <c r="Y3" s="10"/>
      <c r="Z3" s="134"/>
      <c r="AA3" s="13"/>
      <c r="AB3" s="11"/>
      <c r="AC3" s="135" t="s">
        <v>114</v>
      </c>
      <c r="AD3" s="136"/>
      <c r="AE3" s="136"/>
      <c r="AF3" s="136"/>
      <c r="AG3" s="136" t="s">
        <v>45</v>
      </c>
      <c r="AH3" s="136"/>
      <c r="AI3" s="137"/>
      <c r="AJ3" s="135" t="s">
        <v>115</v>
      </c>
      <c r="AK3" s="136"/>
      <c r="AL3" s="136"/>
      <c r="AM3" s="136"/>
      <c r="AN3" s="136" t="s">
        <v>45</v>
      </c>
      <c r="AO3" s="136"/>
      <c r="AP3" s="137"/>
      <c r="AQ3" s="135" t="s">
        <v>116</v>
      </c>
      <c r="AR3" s="136"/>
      <c r="AS3" s="136"/>
      <c r="AT3" s="136"/>
      <c r="AU3" s="136" t="s">
        <v>45</v>
      </c>
      <c r="AV3" s="136"/>
      <c r="AW3" s="137"/>
      <c r="AX3" s="135" t="s">
        <v>117</v>
      </c>
      <c r="AY3" s="136"/>
      <c r="AZ3" s="136"/>
      <c r="BA3" s="136"/>
      <c r="BB3" s="136" t="s">
        <v>45</v>
      </c>
      <c r="BC3" s="136"/>
      <c r="BD3" s="137"/>
      <c r="BE3" s="135" t="s">
        <v>118</v>
      </c>
      <c r="BF3" s="136"/>
      <c r="BG3" s="136"/>
      <c r="BH3" s="136"/>
      <c r="BI3" s="136" t="s">
        <v>45</v>
      </c>
      <c r="BJ3" s="136"/>
      <c r="BK3" s="137"/>
      <c r="BL3" s="138" t="s">
        <v>119</v>
      </c>
      <c r="BM3" s="139"/>
      <c r="BN3" s="139"/>
      <c r="BO3" s="139"/>
      <c r="BP3" s="139"/>
      <c r="BQ3" s="139"/>
      <c r="BR3" s="137"/>
      <c r="BS3" s="138"/>
      <c r="BT3" s="139"/>
      <c r="BU3" s="139"/>
      <c r="BV3" s="139"/>
      <c r="BW3" s="139"/>
      <c r="BX3" s="139"/>
      <c r="BY3" s="137"/>
      <c r="BZ3" s="138"/>
      <c r="CA3" s="139"/>
      <c r="CB3" s="139"/>
      <c r="CC3" s="139"/>
      <c r="CD3" s="139"/>
      <c r="CE3" s="139"/>
      <c r="CF3" s="137"/>
      <c r="CG3" s="138"/>
      <c r="CH3" s="139"/>
      <c r="CI3" s="139"/>
      <c r="CJ3" s="139"/>
      <c r="CK3" s="139"/>
      <c r="CL3" s="139"/>
      <c r="CM3" s="137"/>
      <c r="CN3" s="63"/>
      <c r="CO3" s="4"/>
      <c r="CP3" s="4"/>
      <c r="CQ3" s="137" t="s">
        <v>120</v>
      </c>
      <c r="CR3" s="13"/>
      <c r="CS3" s="13"/>
      <c r="CT3" s="108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65"/>
      <c r="DH3" s="65"/>
      <c r="DI3" s="65"/>
      <c r="DJ3" s="65"/>
      <c r="DK3" s="65"/>
      <c r="DL3" s="65"/>
      <c r="DM3" s="65"/>
      <c r="DN3" s="65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7"/>
      <c r="EL3" s="67"/>
      <c r="EM3" s="67"/>
      <c r="EN3" s="67"/>
      <c r="EO3" s="67"/>
      <c r="EP3" s="67"/>
      <c r="EQ3" s="67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true" outlineLevel="0" collapsed="false">
      <c r="A4" s="10" t="s">
        <v>71</v>
      </c>
      <c r="B4" s="10" t="s">
        <v>72</v>
      </c>
      <c r="C4" s="10" t="s">
        <v>121</v>
      </c>
      <c r="D4" s="10" t="s">
        <v>122</v>
      </c>
      <c r="E4" s="10" t="s">
        <v>35</v>
      </c>
      <c r="F4" s="10" t="s">
        <v>122</v>
      </c>
      <c r="G4" s="10"/>
      <c r="H4" s="132"/>
      <c r="I4" s="10"/>
      <c r="J4" s="10"/>
      <c r="K4" s="10"/>
      <c r="L4" s="133" t="s">
        <v>121</v>
      </c>
      <c r="M4" s="10" t="s">
        <v>68</v>
      </c>
      <c r="N4" s="10" t="s">
        <v>69</v>
      </c>
      <c r="O4" s="113" t="s">
        <v>123</v>
      </c>
      <c r="P4" s="10" t="s">
        <v>122</v>
      </c>
      <c r="Q4" s="10" t="s">
        <v>35</v>
      </c>
      <c r="R4" s="10" t="s">
        <v>124</v>
      </c>
      <c r="S4" s="134" t="s">
        <v>125</v>
      </c>
      <c r="T4" s="11" t="s">
        <v>68</v>
      </c>
      <c r="U4" s="11" t="s">
        <v>69</v>
      </c>
      <c r="V4" s="19" t="s">
        <v>126</v>
      </c>
      <c r="W4" s="10" t="s">
        <v>122</v>
      </c>
      <c r="X4" s="10" t="s">
        <v>112</v>
      </c>
      <c r="Y4" s="10"/>
      <c r="Z4" s="134" t="s">
        <v>126</v>
      </c>
      <c r="AA4" s="13" t="s">
        <v>68</v>
      </c>
      <c r="AB4" s="11" t="s">
        <v>69</v>
      </c>
      <c r="AC4" s="136" t="s">
        <v>127</v>
      </c>
      <c r="AD4" s="136" t="s">
        <v>122</v>
      </c>
      <c r="AE4" s="132" t="s">
        <v>35</v>
      </c>
      <c r="AF4" s="136"/>
      <c r="AG4" s="136" t="s">
        <v>127</v>
      </c>
      <c r="AH4" s="136" t="s">
        <v>68</v>
      </c>
      <c r="AI4" s="137" t="s">
        <v>69</v>
      </c>
      <c r="AJ4" s="136" t="s">
        <v>127</v>
      </c>
      <c r="AK4" s="136" t="s">
        <v>122</v>
      </c>
      <c r="AL4" s="136"/>
      <c r="AM4" s="136" t="s">
        <v>110</v>
      </c>
      <c r="AN4" s="136" t="s">
        <v>127</v>
      </c>
      <c r="AO4" s="136" t="s">
        <v>68</v>
      </c>
      <c r="AP4" s="137" t="s">
        <v>69</v>
      </c>
      <c r="AQ4" s="136" t="s">
        <v>127</v>
      </c>
      <c r="AR4" s="136" t="s">
        <v>128</v>
      </c>
      <c r="AS4" s="136"/>
      <c r="AT4" s="136"/>
      <c r="AU4" s="136" t="s">
        <v>127</v>
      </c>
      <c r="AV4" s="136" t="s">
        <v>68</v>
      </c>
      <c r="AW4" s="137" t="s">
        <v>69</v>
      </c>
      <c r="AX4" s="136" t="s">
        <v>127</v>
      </c>
      <c r="AY4" s="136" t="s">
        <v>122</v>
      </c>
      <c r="AZ4" s="132" t="s">
        <v>35</v>
      </c>
      <c r="BA4" s="136"/>
      <c r="BB4" s="136" t="s">
        <v>127</v>
      </c>
      <c r="BC4" s="136" t="s">
        <v>68</v>
      </c>
      <c r="BD4" s="137" t="s">
        <v>69</v>
      </c>
      <c r="BE4" s="136" t="s">
        <v>127</v>
      </c>
      <c r="BF4" s="136" t="s">
        <v>122</v>
      </c>
      <c r="BG4" s="132" t="s">
        <v>35</v>
      </c>
      <c r="BH4" s="136"/>
      <c r="BI4" s="136" t="s">
        <v>127</v>
      </c>
      <c r="BJ4" s="136" t="s">
        <v>68</v>
      </c>
      <c r="BK4" s="137" t="s">
        <v>69</v>
      </c>
      <c r="BL4" s="139" t="s">
        <v>129</v>
      </c>
      <c r="BM4" s="139" t="s">
        <v>122</v>
      </c>
      <c r="BN4" s="139"/>
      <c r="BO4" s="139"/>
      <c r="BP4" s="139"/>
      <c r="BQ4" s="139" t="s">
        <v>68</v>
      </c>
      <c r="BR4" s="137" t="s">
        <v>69</v>
      </c>
      <c r="BS4" s="139"/>
      <c r="BT4" s="139"/>
      <c r="BU4" s="139"/>
      <c r="BV4" s="139"/>
      <c r="BW4" s="139"/>
      <c r="BX4" s="139" t="s">
        <v>68</v>
      </c>
      <c r="BY4" s="137" t="s">
        <v>69</v>
      </c>
      <c r="BZ4" s="139"/>
      <c r="CA4" s="139"/>
      <c r="CB4" s="139"/>
      <c r="CC4" s="139"/>
      <c r="CD4" s="139"/>
      <c r="CE4" s="139" t="s">
        <v>68</v>
      </c>
      <c r="CF4" s="137" t="s">
        <v>69</v>
      </c>
      <c r="CG4" s="139"/>
      <c r="CH4" s="139"/>
      <c r="CI4" s="139"/>
      <c r="CJ4" s="139"/>
      <c r="CK4" s="139"/>
      <c r="CL4" s="139" t="s">
        <v>68</v>
      </c>
      <c r="CM4" s="137" t="s">
        <v>69</v>
      </c>
      <c r="CN4" s="10" t="s">
        <v>45</v>
      </c>
      <c r="CO4" s="11" t="s">
        <v>45</v>
      </c>
      <c r="CP4" s="4"/>
      <c r="CQ4" s="137" t="s">
        <v>69</v>
      </c>
      <c r="CR4" s="13"/>
      <c r="CS4" s="13"/>
      <c r="CT4" s="108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65"/>
      <c r="DH4" s="65"/>
      <c r="DI4" s="65"/>
      <c r="DJ4" s="65"/>
      <c r="DK4" s="65"/>
      <c r="DL4" s="65"/>
      <c r="DM4" s="65"/>
      <c r="DN4" s="65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7"/>
      <c r="EL4" s="67"/>
      <c r="EM4" s="67"/>
      <c r="EN4" s="67"/>
      <c r="EO4" s="67"/>
      <c r="EP4" s="67"/>
      <c r="EQ4" s="67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46</v>
      </c>
      <c r="B5" s="10" t="s">
        <v>74</v>
      </c>
      <c r="C5" s="21" t="s">
        <v>130</v>
      </c>
      <c r="D5" s="21" t="s">
        <v>131</v>
      </c>
      <c r="E5" s="21" t="s">
        <v>47</v>
      </c>
      <c r="F5" s="21"/>
      <c r="G5" s="21"/>
      <c r="H5" s="140" t="s">
        <v>132</v>
      </c>
      <c r="I5" s="21"/>
      <c r="J5" s="21"/>
      <c r="K5" s="21"/>
      <c r="L5" s="141" t="s">
        <v>133</v>
      </c>
      <c r="M5" s="23" t="s">
        <v>75</v>
      </c>
      <c r="N5" s="23" t="s">
        <v>134</v>
      </c>
      <c r="O5" s="23" t="s">
        <v>130</v>
      </c>
      <c r="P5" s="21" t="s">
        <v>131</v>
      </c>
      <c r="Q5" s="21" t="s">
        <v>47</v>
      </c>
      <c r="R5" s="21" t="s">
        <v>57</v>
      </c>
      <c r="S5" s="142" t="s">
        <v>133</v>
      </c>
      <c r="T5" s="23" t="s">
        <v>75</v>
      </c>
      <c r="U5" s="23" t="s">
        <v>134</v>
      </c>
      <c r="V5" s="23" t="s">
        <v>130</v>
      </c>
      <c r="W5" s="21" t="s">
        <v>131</v>
      </c>
      <c r="X5" s="21"/>
      <c r="Y5" s="21"/>
      <c r="Z5" s="142" t="s">
        <v>133</v>
      </c>
      <c r="AA5" s="23" t="s">
        <v>75</v>
      </c>
      <c r="AB5" s="23" t="s">
        <v>134</v>
      </c>
      <c r="AC5" s="143" t="s">
        <v>130</v>
      </c>
      <c r="AD5" s="143" t="s">
        <v>131</v>
      </c>
      <c r="AE5" s="140" t="s">
        <v>47</v>
      </c>
      <c r="AF5" s="143"/>
      <c r="AG5" s="143" t="s">
        <v>133</v>
      </c>
      <c r="AH5" s="143" t="s">
        <v>75</v>
      </c>
      <c r="AI5" s="144" t="s">
        <v>134</v>
      </c>
      <c r="AJ5" s="143" t="s">
        <v>130</v>
      </c>
      <c r="AK5" s="143" t="s">
        <v>131</v>
      </c>
      <c r="AL5" s="143" t="s">
        <v>35</v>
      </c>
      <c r="AM5" s="143" t="s">
        <v>37</v>
      </c>
      <c r="AN5" s="143" t="s">
        <v>133</v>
      </c>
      <c r="AO5" s="143" t="s">
        <v>75</v>
      </c>
      <c r="AP5" s="144" t="s">
        <v>134</v>
      </c>
      <c r="AQ5" s="143" t="s">
        <v>130</v>
      </c>
      <c r="AR5" s="143" t="s">
        <v>135</v>
      </c>
      <c r="AS5" s="143"/>
      <c r="AT5" s="143"/>
      <c r="AU5" s="143" t="s">
        <v>133</v>
      </c>
      <c r="AV5" s="143" t="s">
        <v>75</v>
      </c>
      <c r="AW5" s="144" t="s">
        <v>134</v>
      </c>
      <c r="AX5" s="143" t="s">
        <v>130</v>
      </c>
      <c r="AY5" s="143" t="s">
        <v>131</v>
      </c>
      <c r="AZ5" s="140" t="s">
        <v>47</v>
      </c>
      <c r="BA5" s="143"/>
      <c r="BB5" s="143" t="s">
        <v>133</v>
      </c>
      <c r="BC5" s="143" t="s">
        <v>75</v>
      </c>
      <c r="BD5" s="144" t="s">
        <v>134</v>
      </c>
      <c r="BE5" s="143" t="s">
        <v>130</v>
      </c>
      <c r="BF5" s="143" t="s">
        <v>131</v>
      </c>
      <c r="BG5" s="140" t="s">
        <v>47</v>
      </c>
      <c r="BH5" s="143"/>
      <c r="BI5" s="143" t="s">
        <v>133</v>
      </c>
      <c r="BJ5" s="143" t="s">
        <v>75</v>
      </c>
      <c r="BK5" s="144" t="s">
        <v>134</v>
      </c>
      <c r="BL5" s="145" t="s">
        <v>130</v>
      </c>
      <c r="BM5" s="145" t="s">
        <v>131</v>
      </c>
      <c r="BN5" s="145" t="s">
        <v>35</v>
      </c>
      <c r="BO5" s="145" t="s">
        <v>136</v>
      </c>
      <c r="BP5" s="145" t="s">
        <v>133</v>
      </c>
      <c r="BQ5" s="145" t="s">
        <v>75</v>
      </c>
      <c r="BR5" s="144" t="s">
        <v>134</v>
      </c>
      <c r="BS5" s="145"/>
      <c r="BT5" s="145"/>
      <c r="BU5" s="145"/>
      <c r="BV5" s="145"/>
      <c r="BW5" s="145" t="s">
        <v>133</v>
      </c>
      <c r="BX5" s="145" t="s">
        <v>75</v>
      </c>
      <c r="BY5" s="144" t="s">
        <v>134</v>
      </c>
      <c r="BZ5" s="145"/>
      <c r="CA5" s="145"/>
      <c r="CB5" s="145"/>
      <c r="CC5" s="145"/>
      <c r="CD5" s="145" t="s">
        <v>133</v>
      </c>
      <c r="CE5" s="145" t="s">
        <v>75</v>
      </c>
      <c r="CF5" s="144" t="s">
        <v>134</v>
      </c>
      <c r="CG5" s="145"/>
      <c r="CH5" s="145"/>
      <c r="CI5" s="145"/>
      <c r="CJ5" s="145"/>
      <c r="CK5" s="145" t="s">
        <v>133</v>
      </c>
      <c r="CL5" s="145" t="s">
        <v>75</v>
      </c>
      <c r="CM5" s="144" t="s">
        <v>134</v>
      </c>
      <c r="CN5" s="64" t="s">
        <v>64</v>
      </c>
      <c r="CO5" s="64" t="s">
        <v>76</v>
      </c>
      <c r="CP5" s="64" t="s">
        <v>75</v>
      </c>
      <c r="CQ5" s="144" t="s">
        <v>134</v>
      </c>
      <c r="CR5" s="23"/>
      <c r="CS5" s="23"/>
      <c r="CT5" s="109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76"/>
      <c r="DH5" s="76"/>
      <c r="DI5" s="76"/>
      <c r="DJ5" s="76"/>
      <c r="DK5" s="76"/>
      <c r="DL5" s="76"/>
      <c r="DM5" s="76"/>
      <c r="DN5" s="76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8"/>
      <c r="EL5" s="78"/>
      <c r="EM5" s="78"/>
      <c r="EN5" s="78"/>
      <c r="EO5" s="78"/>
      <c r="EP5" s="78"/>
      <c r="EQ5" s="78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</row>
    <row r="6" customFormat="false" ht="12.75" hidden="false" customHeight="false" outlineLevel="0" collapsed="false">
      <c r="A6" s="80" t="n">
        <f aca="false">+BaseloadMarkets!A6</f>
        <v>36708</v>
      </c>
      <c r="B6" s="80" t="str">
        <f aca="false">+BaseloadMarkets!B6</f>
        <v>Sat</v>
      </c>
      <c r="C6" s="146" t="n">
        <v>12647</v>
      </c>
      <c r="D6" s="26" t="n">
        <f aca="false">3466+975</f>
        <v>4441</v>
      </c>
      <c r="E6" s="26" t="n">
        <f aca="false">3000+4907</f>
        <v>7907</v>
      </c>
      <c r="F6" s="26" t="n">
        <v>578</v>
      </c>
      <c r="G6" s="26"/>
      <c r="H6" s="147" t="n">
        <f aca="false">+Border!AD4</f>
        <v>0</v>
      </c>
      <c r="I6" s="26"/>
      <c r="J6" s="26"/>
      <c r="K6" s="26"/>
      <c r="L6" s="148" t="n">
        <f aca="false">SUM(D6:K6)</f>
        <v>12926</v>
      </c>
      <c r="M6" s="81" t="n">
        <f aca="false">+L6-C6</f>
        <v>279</v>
      </c>
      <c r="N6" s="81" t="n">
        <f aca="false">M6</f>
        <v>279</v>
      </c>
      <c r="O6" s="146" t="n">
        <v>1682</v>
      </c>
      <c r="P6" s="26" t="n">
        <v>866</v>
      </c>
      <c r="Q6" s="26"/>
      <c r="R6" s="26"/>
      <c r="S6" s="149" t="n">
        <f aca="false">SUM(P6:R6)</f>
        <v>866</v>
      </c>
      <c r="T6" s="81" t="n">
        <f aca="false">+S6-O6</f>
        <v>-816</v>
      </c>
      <c r="U6" s="81" t="n">
        <f aca="false">T6</f>
        <v>-816</v>
      </c>
      <c r="V6" s="146" t="n">
        <v>1497</v>
      </c>
      <c r="W6" s="26" t="n">
        <v>289</v>
      </c>
      <c r="X6" s="26"/>
      <c r="Y6" s="26"/>
      <c r="Z6" s="148" t="n">
        <f aca="false">SUM(W6:Y6)</f>
        <v>289</v>
      </c>
      <c r="AA6" s="81" t="n">
        <f aca="false">+Z6-V6</f>
        <v>-1208</v>
      </c>
      <c r="AB6" s="87" t="n">
        <f aca="false">+AA6</f>
        <v>-1208</v>
      </c>
      <c r="AC6" s="150" t="n">
        <v>181</v>
      </c>
      <c r="AD6" s="147"/>
      <c r="AE6" s="147"/>
      <c r="AF6" s="147"/>
      <c r="AG6" s="147" t="n">
        <f aca="false">SUM(AD6:AF6)</f>
        <v>0</v>
      </c>
      <c r="AH6" s="151" t="n">
        <f aca="false">+AG6-AC6</f>
        <v>-181</v>
      </c>
      <c r="AI6" s="152" t="n">
        <f aca="false">AH6</f>
        <v>-181</v>
      </c>
      <c r="AJ6" s="150" t="n">
        <v>2722</v>
      </c>
      <c r="AK6" s="147" t="n">
        <f aca="false">3188+549+700</f>
        <v>4437</v>
      </c>
      <c r="AL6" s="147" t="n">
        <v>7019</v>
      </c>
      <c r="AM6" s="147"/>
      <c r="AN6" s="147" t="n">
        <f aca="false">SUM(AK6:AM6)</f>
        <v>11456</v>
      </c>
      <c r="AO6" s="151" t="n">
        <f aca="false">+AN6-AJ6</f>
        <v>8734</v>
      </c>
      <c r="AP6" s="152" t="n">
        <f aca="false">AO6</f>
        <v>8734</v>
      </c>
      <c r="AQ6" s="147" t="n">
        <v>0</v>
      </c>
      <c r="AR6" s="147" t="n">
        <v>0</v>
      </c>
      <c r="AS6" s="147"/>
      <c r="AT6" s="147"/>
      <c r="AU6" s="147" t="n">
        <f aca="false">SUM(AR6:AT6)</f>
        <v>0</v>
      </c>
      <c r="AV6" s="151" t="n">
        <f aca="false">+AU6-AQ6</f>
        <v>0</v>
      </c>
      <c r="AW6" s="152" t="n">
        <f aca="false">AV6</f>
        <v>0</v>
      </c>
      <c r="AX6" s="150" t="n">
        <v>22</v>
      </c>
      <c r="AY6" s="147"/>
      <c r="AZ6" s="147"/>
      <c r="BA6" s="147"/>
      <c r="BB6" s="147" t="n">
        <f aca="false">SUM(AY6:BA6)</f>
        <v>0</v>
      </c>
      <c r="BC6" s="151" t="n">
        <f aca="false">+BB6-AX6</f>
        <v>-22</v>
      </c>
      <c r="BD6" s="152" t="n">
        <f aca="false">BC6</f>
        <v>-22</v>
      </c>
      <c r="BE6" s="150" t="n">
        <v>140</v>
      </c>
      <c r="BF6" s="147"/>
      <c r="BG6" s="147"/>
      <c r="BH6" s="147"/>
      <c r="BI6" s="147" t="n">
        <f aca="false">SUM(BF6:BH6)</f>
        <v>0</v>
      </c>
      <c r="BJ6" s="151" t="n">
        <f aca="false">+BI6-BE6</f>
        <v>-140</v>
      </c>
      <c r="BK6" s="152" t="n">
        <f aca="false">BJ6</f>
        <v>-140</v>
      </c>
      <c r="BL6" s="153" t="n">
        <v>0</v>
      </c>
      <c r="BM6" s="154"/>
      <c r="BN6" s="154"/>
      <c r="BO6" s="154"/>
      <c r="BP6" s="154" t="n">
        <f aca="false">SUM(BM6:BO6)</f>
        <v>0</v>
      </c>
      <c r="BQ6" s="155" t="n">
        <f aca="false">+BP6-BL6</f>
        <v>0</v>
      </c>
      <c r="BR6" s="152" t="n">
        <f aca="false">BQ6</f>
        <v>0</v>
      </c>
      <c r="BS6" s="154"/>
      <c r="BT6" s="154"/>
      <c r="BU6" s="154"/>
      <c r="BV6" s="154"/>
      <c r="BW6" s="154" t="n">
        <f aca="false">SUM(BT6:BV6)</f>
        <v>0</v>
      </c>
      <c r="BX6" s="155" t="n">
        <f aca="false">+BW6-BS6</f>
        <v>0</v>
      </c>
      <c r="BY6" s="152" t="n">
        <f aca="false">BX6</f>
        <v>0</v>
      </c>
      <c r="BZ6" s="154"/>
      <c r="CA6" s="154"/>
      <c r="CB6" s="154"/>
      <c r="CC6" s="154"/>
      <c r="CD6" s="154" t="n">
        <f aca="false">SUM(CA6:CC6)</f>
        <v>0</v>
      </c>
      <c r="CE6" s="155" t="n">
        <f aca="false">+CD6-BZ6</f>
        <v>0</v>
      </c>
      <c r="CF6" s="152" t="n">
        <f aca="false">CE6</f>
        <v>0</v>
      </c>
      <c r="CG6" s="154"/>
      <c r="CH6" s="154"/>
      <c r="CI6" s="154"/>
      <c r="CJ6" s="154"/>
      <c r="CK6" s="154" t="n">
        <f aca="false">SUM(CH6:CJ6)</f>
        <v>0</v>
      </c>
      <c r="CL6" s="155" t="n">
        <f aca="false">+CK6-CG6</f>
        <v>0</v>
      </c>
      <c r="CM6" s="152" t="n">
        <f aca="false">CL6</f>
        <v>0</v>
      </c>
      <c r="CN6" s="81" t="n">
        <f aca="false">+C6+O6+V6+AC6+AJ6+AQ6+AX6+BE6+BL6+BS6+BZ6+CG6</f>
        <v>18891</v>
      </c>
      <c r="CO6" s="81" t="n">
        <f aca="false">+L6+S6+Z6+AG6+AN6+AU6+BB6+BI6+BP6+BW6+CD6+CK6</f>
        <v>25537</v>
      </c>
      <c r="CP6" s="81" t="n">
        <f aca="false">CO6-CN6</f>
        <v>6646</v>
      </c>
      <c r="CQ6" s="152" t="n">
        <f aca="false">CP6</f>
        <v>6646</v>
      </c>
      <c r="CR6" s="26"/>
      <c r="CS6" s="81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42"/>
      <c r="DH6" s="42"/>
      <c r="DI6" s="42"/>
      <c r="DJ6" s="42"/>
      <c r="DK6" s="42"/>
      <c r="DL6" s="42"/>
      <c r="DM6" s="42"/>
      <c r="DN6" s="42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5"/>
      <c r="EL6" s="85"/>
      <c r="EM6" s="85"/>
      <c r="EN6" s="85"/>
      <c r="EO6" s="85"/>
      <c r="EP6" s="85"/>
      <c r="EQ6" s="85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customFormat="false" ht="12.75" hidden="false" customHeight="false" outlineLevel="0" collapsed="false">
      <c r="A7" s="80" t="n">
        <f aca="false">+BaseloadMarkets!A7</f>
        <v>36709</v>
      </c>
      <c r="B7" s="80" t="str">
        <f aca="false">+BaseloadMarkets!B7</f>
        <v>Sun</v>
      </c>
      <c r="C7" s="146" t="n">
        <v>7922</v>
      </c>
      <c r="D7" s="26" t="n">
        <v>3629</v>
      </c>
      <c r="E7" s="26" t="n">
        <f aca="false">3000+6514</f>
        <v>9514</v>
      </c>
      <c r="F7" s="26" t="n">
        <v>605</v>
      </c>
      <c r="G7" s="26"/>
      <c r="H7" s="147" t="n">
        <f aca="false">+Border!AD5</f>
        <v>0</v>
      </c>
      <c r="I7" s="26"/>
      <c r="J7" s="26"/>
      <c r="K7" s="26"/>
      <c r="L7" s="148" t="n">
        <f aca="false">SUM(D7:K7)</f>
        <v>13748</v>
      </c>
      <c r="M7" s="81" t="n">
        <f aca="false">+L7-C7</f>
        <v>5826</v>
      </c>
      <c r="N7" s="81" t="n">
        <f aca="false">N6+M7</f>
        <v>6105</v>
      </c>
      <c r="O7" s="146" t="n">
        <f aca="false">1872+1056</f>
        <v>2928</v>
      </c>
      <c r="P7" s="26" t="n">
        <v>871</v>
      </c>
      <c r="Q7" s="26"/>
      <c r="R7" s="26"/>
      <c r="S7" s="149" t="n">
        <f aca="false">SUM(P7:R7)</f>
        <v>871</v>
      </c>
      <c r="T7" s="81" t="n">
        <f aca="false">+S7-O7</f>
        <v>-2057</v>
      </c>
      <c r="U7" s="81" t="n">
        <f aca="false">U6+T7</f>
        <v>-2873</v>
      </c>
      <c r="V7" s="146" t="n">
        <v>1376</v>
      </c>
      <c r="W7" s="26" t="n">
        <v>290</v>
      </c>
      <c r="X7" s="26"/>
      <c r="Y7" s="26"/>
      <c r="Z7" s="148" t="n">
        <f aca="false">SUM(W7:Y7)</f>
        <v>290</v>
      </c>
      <c r="AA7" s="81" t="n">
        <f aca="false">+Z7-V7</f>
        <v>-1086</v>
      </c>
      <c r="AB7" s="87" t="n">
        <f aca="false">+AB6+AA7</f>
        <v>-2294</v>
      </c>
      <c r="AC7" s="150" t="n">
        <v>28</v>
      </c>
      <c r="AD7" s="147"/>
      <c r="AE7" s="147"/>
      <c r="AF7" s="147"/>
      <c r="AG7" s="147" t="n">
        <f aca="false">SUM(AD7:AF7)</f>
        <v>0</v>
      </c>
      <c r="AH7" s="151" t="n">
        <f aca="false">+AG7-AC7</f>
        <v>-28</v>
      </c>
      <c r="AI7" s="152" t="n">
        <f aca="false">AI6+AH7</f>
        <v>-209</v>
      </c>
      <c r="AJ7" s="150" t="n">
        <v>7067</v>
      </c>
      <c r="AK7" s="147" t="n">
        <f aca="false">3206+554</f>
        <v>3760</v>
      </c>
      <c r="AL7" s="147" t="n">
        <v>8450</v>
      </c>
      <c r="AM7" s="147"/>
      <c r="AN7" s="147" t="n">
        <f aca="false">SUM(AK7:AM7)</f>
        <v>12210</v>
      </c>
      <c r="AO7" s="151" t="n">
        <f aca="false">+AN7-AJ7</f>
        <v>5143</v>
      </c>
      <c r="AP7" s="152" t="n">
        <f aca="false">AP6+AO7</f>
        <v>13877</v>
      </c>
      <c r="AQ7" s="147" t="n">
        <v>0</v>
      </c>
      <c r="AR7" s="147" t="n">
        <v>0</v>
      </c>
      <c r="AS7" s="147"/>
      <c r="AT7" s="147"/>
      <c r="AU7" s="147" t="n">
        <f aca="false">SUM(AR7:AT7)</f>
        <v>0</v>
      </c>
      <c r="AV7" s="151" t="n">
        <f aca="false">+AU7-AQ7</f>
        <v>0</v>
      </c>
      <c r="AW7" s="152" t="n">
        <f aca="false">AW6+AV7</f>
        <v>0</v>
      </c>
      <c r="AX7" s="150" t="n">
        <v>0</v>
      </c>
      <c r="AY7" s="147"/>
      <c r="AZ7" s="147"/>
      <c r="BA7" s="147"/>
      <c r="BB7" s="147" t="n">
        <f aca="false">SUM(AY7:BA7)</f>
        <v>0</v>
      </c>
      <c r="BC7" s="151" t="n">
        <f aca="false">+BB7-AX7</f>
        <v>0</v>
      </c>
      <c r="BD7" s="152" t="n">
        <f aca="false">BD6+BC7</f>
        <v>-22</v>
      </c>
      <c r="BE7" s="150" t="n">
        <v>0</v>
      </c>
      <c r="BF7" s="147"/>
      <c r="BG7" s="147"/>
      <c r="BH7" s="147"/>
      <c r="BI7" s="147" t="n">
        <f aca="false">SUM(BF7:BH7)</f>
        <v>0</v>
      </c>
      <c r="BJ7" s="151" t="n">
        <f aca="false">+BI7-BE7</f>
        <v>0</v>
      </c>
      <c r="BK7" s="152" t="n">
        <f aca="false">BK6+BJ7</f>
        <v>-140</v>
      </c>
      <c r="BL7" s="153" t="n">
        <v>2488</v>
      </c>
      <c r="BM7" s="154"/>
      <c r="BN7" s="154"/>
      <c r="BO7" s="154"/>
      <c r="BP7" s="154" t="n">
        <f aca="false">SUM(BM7:BO7)</f>
        <v>0</v>
      </c>
      <c r="BQ7" s="155" t="n">
        <f aca="false">+BP7-BL7</f>
        <v>-2488</v>
      </c>
      <c r="BR7" s="152" t="n">
        <f aca="false">BR6+BQ7</f>
        <v>-2488</v>
      </c>
      <c r="BS7" s="154"/>
      <c r="BT7" s="154"/>
      <c r="BU7" s="154"/>
      <c r="BV7" s="154"/>
      <c r="BW7" s="154" t="n">
        <f aca="false">SUM(BT7:BV7)</f>
        <v>0</v>
      </c>
      <c r="BX7" s="155" t="n">
        <f aca="false">+BW7-BS7</f>
        <v>0</v>
      </c>
      <c r="BY7" s="152" t="n">
        <f aca="false">BY6+BX7</f>
        <v>0</v>
      </c>
      <c r="BZ7" s="154"/>
      <c r="CA7" s="154"/>
      <c r="CB7" s="154"/>
      <c r="CC7" s="154"/>
      <c r="CD7" s="154" t="n">
        <f aca="false">SUM(CA7:CC7)</f>
        <v>0</v>
      </c>
      <c r="CE7" s="155" t="n">
        <f aca="false">+CD7-BZ7</f>
        <v>0</v>
      </c>
      <c r="CF7" s="152" t="n">
        <f aca="false">CF6+CE7</f>
        <v>0</v>
      </c>
      <c r="CG7" s="154"/>
      <c r="CH7" s="154"/>
      <c r="CI7" s="154"/>
      <c r="CJ7" s="154"/>
      <c r="CK7" s="154" t="n">
        <f aca="false">SUM(CH7:CJ7)</f>
        <v>0</v>
      </c>
      <c r="CL7" s="155" t="n">
        <f aca="false">+CK7-CG7</f>
        <v>0</v>
      </c>
      <c r="CM7" s="152" t="n">
        <f aca="false">CM6+CL7</f>
        <v>0</v>
      </c>
      <c r="CN7" s="81" t="n">
        <f aca="false">+C7+O7+V7+AC7+AJ7+AQ7+AX7+BE7+BL7+BS7+BZ7+CG7</f>
        <v>21809</v>
      </c>
      <c r="CO7" s="81" t="n">
        <f aca="false">+L7+S7+Z7+AG7+AN7+AU7+BB7+BI7+BP7+BW7+CD7+CK7</f>
        <v>27119</v>
      </c>
      <c r="CP7" s="81" t="n">
        <f aca="false">CO7-CN7</f>
        <v>5310</v>
      </c>
      <c r="CQ7" s="152" t="n">
        <f aca="false">CQ6+CP7</f>
        <v>11956</v>
      </c>
      <c r="CR7" s="26"/>
      <c r="CS7" s="81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42"/>
      <c r="DH7" s="42"/>
      <c r="DI7" s="42"/>
      <c r="DJ7" s="42"/>
      <c r="DK7" s="42"/>
      <c r="DL7" s="42"/>
      <c r="DM7" s="42"/>
      <c r="DN7" s="42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5"/>
      <c r="EL7" s="85"/>
      <c r="EM7" s="85"/>
      <c r="EN7" s="85"/>
      <c r="EO7" s="85"/>
      <c r="EP7" s="85"/>
      <c r="EQ7" s="85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customFormat="false" ht="12.75" hidden="false" customHeight="false" outlineLevel="0" collapsed="false">
      <c r="A8" s="80" t="n">
        <f aca="false">+BaseloadMarkets!A8</f>
        <v>36710</v>
      </c>
      <c r="B8" s="80" t="str">
        <f aca="false">+BaseloadMarkets!B8</f>
        <v>Mon</v>
      </c>
      <c r="C8" s="146" t="n">
        <v>6686</v>
      </c>
      <c r="D8" s="26" t="n">
        <v>3620</v>
      </c>
      <c r="E8" s="26" t="n">
        <f aca="false">3000+5797</f>
        <v>8797</v>
      </c>
      <c r="F8" s="26" t="n">
        <v>603</v>
      </c>
      <c r="G8" s="26"/>
      <c r="H8" s="147" t="n">
        <f aca="false">+Border!AD6</f>
        <v>0</v>
      </c>
      <c r="I8" s="26"/>
      <c r="J8" s="26"/>
      <c r="K8" s="26"/>
      <c r="L8" s="148" t="n">
        <f aca="false">SUM(D8:K8)</f>
        <v>13020</v>
      </c>
      <c r="M8" s="81" t="n">
        <f aca="false">+L8-C8</f>
        <v>6334</v>
      </c>
      <c r="N8" s="81" t="n">
        <f aca="false">N7+M8</f>
        <v>12439</v>
      </c>
      <c r="O8" s="146" t="n">
        <f aca="false">1583+896</f>
        <v>2479</v>
      </c>
      <c r="P8" s="26" t="n">
        <v>869</v>
      </c>
      <c r="Q8" s="26"/>
      <c r="R8" s="26"/>
      <c r="S8" s="149" t="n">
        <f aca="false">SUM(P8:R8)</f>
        <v>869</v>
      </c>
      <c r="T8" s="81" t="n">
        <f aca="false">+S8-O8</f>
        <v>-1610</v>
      </c>
      <c r="U8" s="81" t="n">
        <f aca="false">U7+T8</f>
        <v>-4483</v>
      </c>
      <c r="V8" s="146" t="n">
        <v>1220</v>
      </c>
      <c r="W8" s="26" t="n">
        <v>290</v>
      </c>
      <c r="X8" s="26"/>
      <c r="Y8" s="26"/>
      <c r="Z8" s="148" t="n">
        <f aca="false">SUM(W8:Y8)</f>
        <v>290</v>
      </c>
      <c r="AA8" s="81" t="n">
        <f aca="false">+Z8-V8</f>
        <v>-930</v>
      </c>
      <c r="AB8" s="87" t="n">
        <f aca="false">+AB7+AA8</f>
        <v>-3224</v>
      </c>
      <c r="AC8" s="150" t="n">
        <v>98</v>
      </c>
      <c r="AD8" s="147"/>
      <c r="AE8" s="147"/>
      <c r="AF8" s="147"/>
      <c r="AG8" s="147" t="n">
        <f aca="false">SUM(AD8:AF8)</f>
        <v>0</v>
      </c>
      <c r="AH8" s="151" t="n">
        <f aca="false">+AG8-AC8</f>
        <v>-98</v>
      </c>
      <c r="AI8" s="152" t="n">
        <f aca="false">AI7+AH8</f>
        <v>-307</v>
      </c>
      <c r="AJ8" s="150" t="n">
        <v>9261</v>
      </c>
      <c r="AK8" s="147" t="n">
        <f aca="false">3199+540+1106</f>
        <v>4845</v>
      </c>
      <c r="AL8" s="147" t="n">
        <v>7810</v>
      </c>
      <c r="AM8" s="147"/>
      <c r="AN8" s="147" t="n">
        <f aca="false">SUM(AK8:AM8)</f>
        <v>12655</v>
      </c>
      <c r="AO8" s="151" t="n">
        <f aca="false">+AN8-AJ8</f>
        <v>3394</v>
      </c>
      <c r="AP8" s="152" t="n">
        <f aca="false">AP7+AO8</f>
        <v>17271</v>
      </c>
      <c r="AQ8" s="147" t="n">
        <v>0</v>
      </c>
      <c r="AR8" s="147" t="n">
        <v>0</v>
      </c>
      <c r="AS8" s="147"/>
      <c r="AT8" s="147"/>
      <c r="AU8" s="147" t="n">
        <f aca="false">SUM(AR8:AT8)</f>
        <v>0</v>
      </c>
      <c r="AV8" s="151" t="n">
        <f aca="false">+AU8-AQ8</f>
        <v>0</v>
      </c>
      <c r="AW8" s="152" t="n">
        <f aca="false">AW7+AV8</f>
        <v>0</v>
      </c>
      <c r="AX8" s="150" t="n">
        <v>0</v>
      </c>
      <c r="AY8" s="147"/>
      <c r="AZ8" s="147"/>
      <c r="BA8" s="147"/>
      <c r="BB8" s="147" t="n">
        <f aca="false">SUM(AY8:BA8)</f>
        <v>0</v>
      </c>
      <c r="BC8" s="151" t="n">
        <f aca="false">+BB8-AX8</f>
        <v>0</v>
      </c>
      <c r="BD8" s="152" t="n">
        <f aca="false">BD7+BC8</f>
        <v>-22</v>
      </c>
      <c r="BE8" s="150" t="n">
        <v>162</v>
      </c>
      <c r="BF8" s="147"/>
      <c r="BG8" s="147"/>
      <c r="BH8" s="147"/>
      <c r="BI8" s="147" t="n">
        <f aca="false">SUM(BF8:BH8)</f>
        <v>0</v>
      </c>
      <c r="BJ8" s="151" t="n">
        <f aca="false">+BI8-BE8</f>
        <v>-162</v>
      </c>
      <c r="BK8" s="152" t="n">
        <f aca="false">BK7+BJ8</f>
        <v>-302</v>
      </c>
      <c r="BL8" s="153" t="n">
        <v>6024</v>
      </c>
      <c r="BM8" s="154"/>
      <c r="BN8" s="154"/>
      <c r="BO8" s="154"/>
      <c r="BP8" s="154" t="n">
        <f aca="false">SUM(BM8:BO8)</f>
        <v>0</v>
      </c>
      <c r="BQ8" s="155" t="n">
        <f aca="false">+BP8-BL8</f>
        <v>-6024</v>
      </c>
      <c r="BR8" s="152" t="n">
        <f aca="false">BR7+BQ8</f>
        <v>-8512</v>
      </c>
      <c r="BS8" s="154"/>
      <c r="BT8" s="154"/>
      <c r="BU8" s="154"/>
      <c r="BV8" s="154"/>
      <c r="BW8" s="154" t="n">
        <f aca="false">SUM(BT8:BV8)</f>
        <v>0</v>
      </c>
      <c r="BX8" s="155" t="n">
        <f aca="false">+BW8-BS8</f>
        <v>0</v>
      </c>
      <c r="BY8" s="152" t="n">
        <f aca="false">BY7+BX8</f>
        <v>0</v>
      </c>
      <c r="BZ8" s="154"/>
      <c r="CA8" s="154"/>
      <c r="CB8" s="154"/>
      <c r="CC8" s="154"/>
      <c r="CD8" s="154" t="n">
        <f aca="false">SUM(CA8:CC8)</f>
        <v>0</v>
      </c>
      <c r="CE8" s="155" t="n">
        <f aca="false">+CD8-BZ8</f>
        <v>0</v>
      </c>
      <c r="CF8" s="152" t="n">
        <f aca="false">CF7+CE8</f>
        <v>0</v>
      </c>
      <c r="CG8" s="154"/>
      <c r="CH8" s="154"/>
      <c r="CI8" s="154"/>
      <c r="CJ8" s="154"/>
      <c r="CK8" s="154" t="n">
        <f aca="false">SUM(CH8:CJ8)</f>
        <v>0</v>
      </c>
      <c r="CL8" s="155" t="n">
        <f aca="false">+CK8-CG8</f>
        <v>0</v>
      </c>
      <c r="CM8" s="152" t="n">
        <f aca="false">CM7+CL8</f>
        <v>0</v>
      </c>
      <c r="CN8" s="81" t="n">
        <f aca="false">+C8+O8+V8+AC8+AJ8+AQ8+AX8+BE8+BL8+BS8+BZ8+CG8</f>
        <v>25930</v>
      </c>
      <c r="CO8" s="81" t="n">
        <f aca="false">+L8+S8+Z8+AG8+AN8+AU8+BB8+BI8+BP8+BW8+CD8+CK8</f>
        <v>26834</v>
      </c>
      <c r="CP8" s="81" t="n">
        <f aca="false">CO8-CN8</f>
        <v>904</v>
      </c>
      <c r="CQ8" s="152" t="n">
        <f aca="false">CQ7+CP8</f>
        <v>12860</v>
      </c>
      <c r="CR8" s="87"/>
      <c r="CS8" s="87"/>
      <c r="CT8" s="111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</row>
    <row r="9" customFormat="false" ht="12.75" hidden="false" customHeight="false" outlineLevel="0" collapsed="false">
      <c r="A9" s="80" t="n">
        <f aca="false">+BaseloadMarkets!A9</f>
        <v>36711</v>
      </c>
      <c r="B9" s="80" t="str">
        <f aca="false">+BaseloadMarkets!B9</f>
        <v>Tues</v>
      </c>
      <c r="C9" s="146" t="n">
        <v>8985</v>
      </c>
      <c r="D9" s="26" t="n">
        <f aca="false">3205+4709</f>
        <v>7914</v>
      </c>
      <c r="E9" s="26" t="n">
        <v>7245</v>
      </c>
      <c r="F9" s="26" t="n">
        <v>1000</v>
      </c>
      <c r="G9" s="26"/>
      <c r="H9" s="147" t="n">
        <f aca="false">+Border!AD7</f>
        <v>0</v>
      </c>
      <c r="I9" s="26"/>
      <c r="J9" s="26"/>
      <c r="K9" s="26"/>
      <c r="L9" s="148" t="n">
        <f aca="false">SUM(D9:K9)</f>
        <v>16159</v>
      </c>
      <c r="M9" s="81" t="n">
        <f aca="false">+L9-C9</f>
        <v>7174</v>
      </c>
      <c r="N9" s="81" t="n">
        <f aca="false">N8+M9</f>
        <v>19613</v>
      </c>
      <c r="O9" s="146" t="n">
        <f aca="false">1201+623</f>
        <v>1824</v>
      </c>
      <c r="P9" s="26" t="n">
        <v>866</v>
      </c>
      <c r="Q9" s="26"/>
      <c r="R9" s="26"/>
      <c r="S9" s="149" t="n">
        <f aca="false">SUM(P9:R9)</f>
        <v>866</v>
      </c>
      <c r="T9" s="81" t="n">
        <f aca="false">+S9-O9</f>
        <v>-958</v>
      </c>
      <c r="U9" s="81" t="n">
        <f aca="false">U8+T9</f>
        <v>-5441</v>
      </c>
      <c r="V9" s="146" t="n">
        <v>1233</v>
      </c>
      <c r="W9" s="26" t="n">
        <v>289</v>
      </c>
      <c r="X9" s="26"/>
      <c r="Y9" s="26"/>
      <c r="Z9" s="148" t="n">
        <f aca="false">SUM(W9:Y9)</f>
        <v>289</v>
      </c>
      <c r="AA9" s="81" t="n">
        <f aca="false">+Z9-V9</f>
        <v>-944</v>
      </c>
      <c r="AB9" s="87" t="n">
        <f aca="false">+AB8+AA9</f>
        <v>-4168</v>
      </c>
      <c r="AC9" s="150" t="n">
        <v>34</v>
      </c>
      <c r="AD9" s="147"/>
      <c r="AE9" s="147"/>
      <c r="AF9" s="147"/>
      <c r="AG9" s="147" t="n">
        <f aca="false">SUM(AD9:AF9)</f>
        <v>0</v>
      </c>
      <c r="AH9" s="151" t="n">
        <f aca="false">+AG9-AC9</f>
        <v>-34</v>
      </c>
      <c r="AI9" s="152" t="n">
        <f aca="false">AI8+AH9</f>
        <v>-341</v>
      </c>
      <c r="AJ9" s="150" t="n">
        <v>9234</v>
      </c>
      <c r="AK9" s="147" t="n">
        <f aca="false">3185+833</f>
        <v>4018</v>
      </c>
      <c r="AL9" s="147" t="n">
        <v>6432</v>
      </c>
      <c r="AM9" s="147"/>
      <c r="AN9" s="147" t="n">
        <f aca="false">SUM(AK9:AM9)</f>
        <v>10450</v>
      </c>
      <c r="AO9" s="151" t="n">
        <f aca="false">+AN9-AJ9</f>
        <v>1216</v>
      </c>
      <c r="AP9" s="152" t="n">
        <f aca="false">AP8+AO9</f>
        <v>18487</v>
      </c>
      <c r="AQ9" s="147" t="n">
        <v>0</v>
      </c>
      <c r="AR9" s="147" t="n">
        <v>0</v>
      </c>
      <c r="AS9" s="147"/>
      <c r="AT9" s="147"/>
      <c r="AU9" s="147" t="n">
        <f aca="false">SUM(AR9:AT9)</f>
        <v>0</v>
      </c>
      <c r="AV9" s="151" t="n">
        <f aca="false">+AU9-AQ9</f>
        <v>0</v>
      </c>
      <c r="AW9" s="152" t="n">
        <f aca="false">AW8+AV9</f>
        <v>0</v>
      </c>
      <c r="AX9" s="150" t="n">
        <v>0</v>
      </c>
      <c r="AY9" s="147"/>
      <c r="AZ9" s="147"/>
      <c r="BA9" s="147"/>
      <c r="BB9" s="147" t="n">
        <f aca="false">SUM(AY9:BA9)</f>
        <v>0</v>
      </c>
      <c r="BC9" s="151" t="n">
        <f aca="false">+BB9-AX9</f>
        <v>0</v>
      </c>
      <c r="BD9" s="152" t="n">
        <f aca="false">BD8+BC9</f>
        <v>-22</v>
      </c>
      <c r="BE9" s="150" t="n">
        <v>22</v>
      </c>
      <c r="BF9" s="147"/>
      <c r="BG9" s="147"/>
      <c r="BH9" s="147"/>
      <c r="BI9" s="147" t="n">
        <f aca="false">SUM(BF9:BH9)</f>
        <v>0</v>
      </c>
      <c r="BJ9" s="151" t="n">
        <f aca="false">+BI9-BE9</f>
        <v>-22</v>
      </c>
      <c r="BK9" s="152" t="n">
        <f aca="false">BK8+BJ9</f>
        <v>-324</v>
      </c>
      <c r="BL9" s="153" t="n">
        <v>0</v>
      </c>
      <c r="BM9" s="154"/>
      <c r="BN9" s="154"/>
      <c r="BO9" s="154"/>
      <c r="BP9" s="154" t="n">
        <f aca="false">SUM(BM9:BO9)</f>
        <v>0</v>
      </c>
      <c r="BQ9" s="155" t="n">
        <f aca="false">+BP9-BL9</f>
        <v>0</v>
      </c>
      <c r="BR9" s="152" t="n">
        <f aca="false">BR8+BQ9</f>
        <v>-8512</v>
      </c>
      <c r="BS9" s="154"/>
      <c r="BT9" s="154"/>
      <c r="BU9" s="154"/>
      <c r="BV9" s="154"/>
      <c r="BW9" s="154" t="n">
        <f aca="false">SUM(BT9:BV9)</f>
        <v>0</v>
      </c>
      <c r="BX9" s="155" t="n">
        <f aca="false">+BW9-BS9</f>
        <v>0</v>
      </c>
      <c r="BY9" s="152" t="n">
        <f aca="false">BY8+BX9</f>
        <v>0</v>
      </c>
      <c r="BZ9" s="154"/>
      <c r="CA9" s="154"/>
      <c r="CB9" s="154"/>
      <c r="CC9" s="154"/>
      <c r="CD9" s="154" t="n">
        <f aca="false">SUM(CA9:CC9)</f>
        <v>0</v>
      </c>
      <c r="CE9" s="155" t="n">
        <f aca="false">+CD9-BZ9</f>
        <v>0</v>
      </c>
      <c r="CF9" s="152" t="n">
        <f aca="false">CF8+CE9</f>
        <v>0</v>
      </c>
      <c r="CG9" s="154"/>
      <c r="CH9" s="154"/>
      <c r="CI9" s="154"/>
      <c r="CJ9" s="154"/>
      <c r="CK9" s="154" t="n">
        <f aca="false">SUM(CH9:CJ9)</f>
        <v>0</v>
      </c>
      <c r="CL9" s="155" t="n">
        <f aca="false">+CK9-CG9</f>
        <v>0</v>
      </c>
      <c r="CM9" s="152" t="n">
        <f aca="false">CM8+CL9</f>
        <v>0</v>
      </c>
      <c r="CN9" s="81" t="n">
        <f aca="false">+C9+O9+V9+AC9+AJ9+AQ9+AX9+BE9+BL9+BS9+BZ9+CG9</f>
        <v>21332</v>
      </c>
      <c r="CO9" s="81" t="n">
        <f aca="false">+L9+S9+Z9+AG9+AN9+AU9+BB9+BI9+BP9+BW9+CD9+CK9</f>
        <v>27764</v>
      </c>
      <c r="CP9" s="81" t="n">
        <f aca="false">CO9-CN9</f>
        <v>6432</v>
      </c>
      <c r="CQ9" s="152" t="n">
        <f aca="false">CQ8+CP9</f>
        <v>19292</v>
      </c>
      <c r="CR9" s="87"/>
      <c r="CS9" s="87"/>
      <c r="CT9" s="111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</row>
    <row r="10" customFormat="false" ht="12.75" hidden="false" customHeight="false" outlineLevel="0" collapsed="false">
      <c r="A10" s="80" t="n">
        <f aca="false">+BaseloadMarkets!A10</f>
        <v>36712</v>
      </c>
      <c r="B10" s="80" t="str">
        <f aca="false">+BaseloadMarkets!B10</f>
        <v>Wed</v>
      </c>
      <c r="C10" s="156" t="n">
        <v>7676</v>
      </c>
      <c r="D10" s="26" t="n">
        <f aca="false">2286</f>
        <v>2286</v>
      </c>
      <c r="E10" s="26" t="n">
        <v>14502</v>
      </c>
      <c r="F10" s="26" t="n">
        <v>1000</v>
      </c>
      <c r="G10" s="26" t="n">
        <v>8575</v>
      </c>
      <c r="H10" s="147" t="n">
        <f aca="false">+Border!AD8</f>
        <v>0</v>
      </c>
      <c r="I10" s="26"/>
      <c r="J10" s="26"/>
      <c r="K10" s="26"/>
      <c r="L10" s="148" t="n">
        <f aca="false">SUM(D10:K10)</f>
        <v>26363</v>
      </c>
      <c r="M10" s="81" t="n">
        <f aca="false">+L10-C10</f>
        <v>18687</v>
      </c>
      <c r="N10" s="81" t="n">
        <f aca="false">N9+M10</f>
        <v>38300</v>
      </c>
      <c r="O10" s="146" t="n">
        <f aca="false">927+838</f>
        <v>1765</v>
      </c>
      <c r="P10" s="26" t="n">
        <v>677</v>
      </c>
      <c r="Q10" s="26"/>
      <c r="R10" s="26"/>
      <c r="S10" s="149" t="n">
        <f aca="false">SUM(P10:R10)</f>
        <v>677</v>
      </c>
      <c r="T10" s="81" t="n">
        <f aca="false">+S10-O10</f>
        <v>-1088</v>
      </c>
      <c r="U10" s="81" t="n">
        <f aca="false">U9+T10</f>
        <v>-6529</v>
      </c>
      <c r="V10" s="146" t="n">
        <v>1471</v>
      </c>
      <c r="W10" s="26" t="n">
        <v>226</v>
      </c>
      <c r="X10" s="26"/>
      <c r="Y10" s="26"/>
      <c r="Z10" s="148" t="n">
        <f aca="false">SUM(W10:Y10)</f>
        <v>226</v>
      </c>
      <c r="AA10" s="81" t="n">
        <f aca="false">+Z10-V10</f>
        <v>-1245</v>
      </c>
      <c r="AB10" s="87" t="n">
        <f aca="false">+AB9+AA10</f>
        <v>-5413</v>
      </c>
      <c r="AC10" s="150" t="n">
        <v>159</v>
      </c>
      <c r="AD10" s="147"/>
      <c r="AE10" s="147"/>
      <c r="AF10" s="147"/>
      <c r="AG10" s="147" t="n">
        <f aca="false">SUM(AD10:AF10)</f>
        <v>0</v>
      </c>
      <c r="AH10" s="151" t="n">
        <f aca="false">+AG10-AC10</f>
        <v>-159</v>
      </c>
      <c r="AI10" s="152" t="n">
        <f aca="false">AI9+AH10</f>
        <v>-500</v>
      </c>
      <c r="AJ10" s="150" t="n">
        <v>9411</v>
      </c>
      <c r="AK10" s="147" t="n">
        <f aca="false">2490+544</f>
        <v>3034</v>
      </c>
      <c r="AL10" s="147" t="n">
        <v>12876</v>
      </c>
      <c r="AM10" s="147" t="n">
        <f aca="false">1092+7377</f>
        <v>8469</v>
      </c>
      <c r="AN10" s="147" t="n">
        <f aca="false">SUM(AK10:AM10)</f>
        <v>24379</v>
      </c>
      <c r="AO10" s="151" t="n">
        <f aca="false">+AN10-AJ10</f>
        <v>14968</v>
      </c>
      <c r="AP10" s="152" t="n">
        <f aca="false">AP9+AO10</f>
        <v>33455</v>
      </c>
      <c r="AQ10" s="147" t="n">
        <v>0</v>
      </c>
      <c r="AR10" s="147" t="n">
        <v>0</v>
      </c>
      <c r="AS10" s="147"/>
      <c r="AT10" s="147"/>
      <c r="AU10" s="147" t="n">
        <f aca="false">SUM(AR10:AT10)</f>
        <v>0</v>
      </c>
      <c r="AV10" s="151" t="n">
        <f aca="false">+AU10-AQ10</f>
        <v>0</v>
      </c>
      <c r="AW10" s="152" t="n">
        <f aca="false">AW9+AV10</f>
        <v>0</v>
      </c>
      <c r="AX10" s="150" t="n">
        <v>153</v>
      </c>
      <c r="AY10" s="147"/>
      <c r="AZ10" s="147"/>
      <c r="BA10" s="147"/>
      <c r="BB10" s="147" t="n">
        <f aca="false">SUM(AY10:BA10)</f>
        <v>0</v>
      </c>
      <c r="BC10" s="151" t="n">
        <f aca="false">+BB10-AX10</f>
        <v>-153</v>
      </c>
      <c r="BD10" s="152" t="n">
        <f aca="false">BD9+BC10</f>
        <v>-175</v>
      </c>
      <c r="BE10" s="150" t="n">
        <v>221</v>
      </c>
      <c r="BF10" s="147"/>
      <c r="BG10" s="147"/>
      <c r="BH10" s="147"/>
      <c r="BI10" s="147" t="n">
        <f aca="false">SUM(BF10:BH10)</f>
        <v>0</v>
      </c>
      <c r="BJ10" s="151" t="n">
        <f aca="false">+BI10-BE10</f>
        <v>-221</v>
      </c>
      <c r="BK10" s="152" t="n">
        <f aca="false">BK9+BJ10</f>
        <v>-545</v>
      </c>
      <c r="BL10" s="153" t="n">
        <v>1898</v>
      </c>
      <c r="BM10" s="154"/>
      <c r="BN10" s="154"/>
      <c r="BO10" s="154"/>
      <c r="BP10" s="154" t="n">
        <f aca="false">SUM(BM10:BO10)</f>
        <v>0</v>
      </c>
      <c r="BQ10" s="155" t="n">
        <f aca="false">+BP10-BL10</f>
        <v>-1898</v>
      </c>
      <c r="BR10" s="152" t="n">
        <f aca="false">BR9+BQ10</f>
        <v>-10410</v>
      </c>
      <c r="BS10" s="154"/>
      <c r="BT10" s="154"/>
      <c r="BU10" s="154"/>
      <c r="BV10" s="154"/>
      <c r="BW10" s="154" t="n">
        <f aca="false">SUM(BT10:BV10)</f>
        <v>0</v>
      </c>
      <c r="BX10" s="155" t="n">
        <f aca="false">+BW10-BS10</f>
        <v>0</v>
      </c>
      <c r="BY10" s="152" t="n">
        <f aca="false">BY9+BX10</f>
        <v>0</v>
      </c>
      <c r="BZ10" s="154"/>
      <c r="CA10" s="154"/>
      <c r="CB10" s="154"/>
      <c r="CC10" s="154"/>
      <c r="CD10" s="154" t="n">
        <f aca="false">SUM(CA10:CC10)</f>
        <v>0</v>
      </c>
      <c r="CE10" s="155" t="n">
        <f aca="false">+CD10-BZ10</f>
        <v>0</v>
      </c>
      <c r="CF10" s="152" t="n">
        <f aca="false">CF9+CE10</f>
        <v>0</v>
      </c>
      <c r="CG10" s="154"/>
      <c r="CH10" s="154"/>
      <c r="CI10" s="154"/>
      <c r="CJ10" s="154"/>
      <c r="CK10" s="154" t="n">
        <f aca="false">SUM(CH10:CJ10)</f>
        <v>0</v>
      </c>
      <c r="CL10" s="155" t="n">
        <f aca="false">+CK10-CG10</f>
        <v>0</v>
      </c>
      <c r="CM10" s="152" t="n">
        <f aca="false">CM9+CL10</f>
        <v>0</v>
      </c>
      <c r="CN10" s="81" t="n">
        <f aca="false">+C10+O10+V10+AC10+AJ10+AQ10+AX10+BE10+BL10+BS10+BZ10+CG10</f>
        <v>22754</v>
      </c>
      <c r="CO10" s="81" t="n">
        <f aca="false">+L10+S10+Z10+AG10+AN10+AU10+BB10+BI10+BP10+BW10+CD10+CK10</f>
        <v>51645</v>
      </c>
      <c r="CP10" s="81" t="n">
        <f aca="false">CO10-CN10</f>
        <v>28891</v>
      </c>
      <c r="CQ10" s="152" t="n">
        <f aca="false">CQ9+CP10</f>
        <v>48183</v>
      </c>
      <c r="CR10" s="87"/>
      <c r="CS10" s="87"/>
      <c r="CT10" s="111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</row>
    <row r="11" customFormat="false" ht="12.75" hidden="false" customHeight="false" outlineLevel="0" collapsed="false">
      <c r="A11" s="80" t="n">
        <f aca="false">+BaseloadMarkets!A11</f>
        <v>36713</v>
      </c>
      <c r="B11" s="80" t="str">
        <f aca="false">+BaseloadMarkets!B11</f>
        <v>Thu</v>
      </c>
      <c r="C11" s="156" t="n">
        <v>7625</v>
      </c>
      <c r="D11" s="26" t="n">
        <v>7928</v>
      </c>
      <c r="E11" s="26" t="n">
        <v>4907</v>
      </c>
      <c r="F11" s="26" t="n">
        <v>1000</v>
      </c>
      <c r="G11" s="26"/>
      <c r="H11" s="147" t="n">
        <f aca="false">+Border!AD9</f>
        <v>0</v>
      </c>
      <c r="I11" s="26"/>
      <c r="J11" s="26"/>
      <c r="K11" s="26"/>
      <c r="L11" s="148" t="n">
        <f aca="false">SUM(D11:K11)</f>
        <v>13835</v>
      </c>
      <c r="M11" s="81" t="n">
        <f aca="false">+L11-C11</f>
        <v>6210</v>
      </c>
      <c r="N11" s="81" t="n">
        <f aca="false">N10+M11</f>
        <v>44510</v>
      </c>
      <c r="O11" s="146" t="n">
        <v>1554</v>
      </c>
      <c r="P11" s="26" t="n">
        <v>4103</v>
      </c>
      <c r="Q11" s="26"/>
      <c r="R11" s="26" t="n">
        <v>20000</v>
      </c>
      <c r="S11" s="149" t="n">
        <f aca="false">SUM(P11:R11)</f>
        <v>24103</v>
      </c>
      <c r="T11" s="81" t="n">
        <f aca="false">+S11-O11</f>
        <v>22549</v>
      </c>
      <c r="U11" s="81" t="n">
        <f aca="false">U10+T11</f>
        <v>16020</v>
      </c>
      <c r="V11" s="146" t="n">
        <v>1381</v>
      </c>
      <c r="W11" s="26" t="n">
        <v>4400</v>
      </c>
      <c r="X11" s="26"/>
      <c r="Y11" s="26"/>
      <c r="Z11" s="148" t="n">
        <f aca="false">SUM(W11:Y11)</f>
        <v>4400</v>
      </c>
      <c r="AA11" s="81" t="n">
        <f aca="false">+Z11-V11</f>
        <v>3019</v>
      </c>
      <c r="AB11" s="87" t="n">
        <f aca="false">+AB10+AA11</f>
        <v>-2394</v>
      </c>
      <c r="AC11" s="150" t="n">
        <v>157</v>
      </c>
      <c r="AD11" s="147" t="n">
        <v>595</v>
      </c>
      <c r="AE11" s="147"/>
      <c r="AF11" s="147"/>
      <c r="AG11" s="147" t="n">
        <f aca="false">SUM(AD11:AF11)</f>
        <v>595</v>
      </c>
      <c r="AH11" s="151" t="n">
        <f aca="false">+AG11-AC11</f>
        <v>438</v>
      </c>
      <c r="AI11" s="152" t="n">
        <f aca="false">AI10+AH11</f>
        <v>-62</v>
      </c>
      <c r="AJ11" s="150" t="n">
        <v>9620</v>
      </c>
      <c r="AK11" s="147" t="n">
        <f aca="false">4987+5941+6884</f>
        <v>17812</v>
      </c>
      <c r="AL11" s="147" t="n">
        <v>3963</v>
      </c>
      <c r="AM11" s="147"/>
      <c r="AN11" s="147" t="n">
        <f aca="false">SUM(AK11:AM11)</f>
        <v>21775</v>
      </c>
      <c r="AO11" s="151" t="n">
        <f aca="false">+AN11-AJ11</f>
        <v>12155</v>
      </c>
      <c r="AP11" s="152" t="n">
        <f aca="false">AP10+AO11</f>
        <v>45610</v>
      </c>
      <c r="AQ11" s="147" t="n">
        <v>0</v>
      </c>
      <c r="AR11" s="147" t="n">
        <v>0</v>
      </c>
      <c r="AS11" s="147"/>
      <c r="AT11" s="147"/>
      <c r="AU11" s="147" t="n">
        <f aca="false">SUM(AR11:AT11)</f>
        <v>0</v>
      </c>
      <c r="AV11" s="151" t="n">
        <f aca="false">+AU11-AQ11</f>
        <v>0</v>
      </c>
      <c r="AW11" s="152" t="n">
        <f aca="false">AW10+AV11</f>
        <v>0</v>
      </c>
      <c r="AX11" s="150" t="n">
        <v>162</v>
      </c>
      <c r="AY11" s="147" t="n">
        <v>595</v>
      </c>
      <c r="AZ11" s="147"/>
      <c r="BA11" s="147"/>
      <c r="BB11" s="147" t="n">
        <f aca="false">SUM(AY11:BA11)</f>
        <v>595</v>
      </c>
      <c r="BC11" s="151" t="n">
        <f aca="false">+BB11-AX11</f>
        <v>433</v>
      </c>
      <c r="BD11" s="152" t="n">
        <f aca="false">BD10+BC11</f>
        <v>258</v>
      </c>
      <c r="BE11" s="150" t="n">
        <v>315</v>
      </c>
      <c r="BF11" s="147" t="n">
        <v>1786</v>
      </c>
      <c r="BG11" s="147"/>
      <c r="BH11" s="147"/>
      <c r="BI11" s="147" t="n">
        <f aca="false">SUM(BF11:BH11)</f>
        <v>1786</v>
      </c>
      <c r="BJ11" s="151" t="n">
        <f aca="false">+BI11-BE11</f>
        <v>1471</v>
      </c>
      <c r="BK11" s="152" t="n">
        <f aca="false">BK10+BJ11</f>
        <v>926</v>
      </c>
      <c r="BL11" s="153" t="n">
        <v>0</v>
      </c>
      <c r="BM11" s="154"/>
      <c r="BN11" s="154"/>
      <c r="BO11" s="154"/>
      <c r="BP11" s="154" t="n">
        <f aca="false">SUM(BM11:BO11)</f>
        <v>0</v>
      </c>
      <c r="BQ11" s="155" t="n">
        <f aca="false">+BP11-BL11</f>
        <v>0</v>
      </c>
      <c r="BR11" s="152" t="n">
        <f aca="false">BR10+BQ11</f>
        <v>-10410</v>
      </c>
      <c r="BS11" s="154"/>
      <c r="BT11" s="154"/>
      <c r="BU11" s="154"/>
      <c r="BV11" s="154"/>
      <c r="BW11" s="154" t="n">
        <f aca="false">SUM(BT11:BV11)</f>
        <v>0</v>
      </c>
      <c r="BX11" s="155" t="n">
        <f aca="false">+BW11-BS11</f>
        <v>0</v>
      </c>
      <c r="BY11" s="152" t="n">
        <f aca="false">BY10+BX11</f>
        <v>0</v>
      </c>
      <c r="BZ11" s="154"/>
      <c r="CA11" s="154"/>
      <c r="CB11" s="154"/>
      <c r="CC11" s="154"/>
      <c r="CD11" s="154" t="n">
        <f aca="false">SUM(CA11:CC11)</f>
        <v>0</v>
      </c>
      <c r="CE11" s="155" t="n">
        <f aca="false">+CD11-BZ11</f>
        <v>0</v>
      </c>
      <c r="CF11" s="152" t="n">
        <f aca="false">CF10+CE11</f>
        <v>0</v>
      </c>
      <c r="CG11" s="154"/>
      <c r="CH11" s="154"/>
      <c r="CI11" s="154"/>
      <c r="CJ11" s="154"/>
      <c r="CK11" s="154" t="n">
        <f aca="false">SUM(CH11:CJ11)</f>
        <v>0</v>
      </c>
      <c r="CL11" s="155" t="n">
        <f aca="false">+CK11-CG11</f>
        <v>0</v>
      </c>
      <c r="CM11" s="152" t="n">
        <f aca="false">CM10+CL11</f>
        <v>0</v>
      </c>
      <c r="CN11" s="81" t="n">
        <f aca="false">+C11+O11+V11+AC11+AJ11+AQ11+AX11+BE11+BL11+BS11+BZ11+CG11</f>
        <v>20814</v>
      </c>
      <c r="CO11" s="81" t="n">
        <f aca="false">+L11+S11+Z11+AG11+AN11+AU11+BB11+BI11+BP11+BW11+CD11+CK11</f>
        <v>67089</v>
      </c>
      <c r="CP11" s="81" t="n">
        <f aca="false">CO11-CN11</f>
        <v>46275</v>
      </c>
      <c r="CQ11" s="152" t="n">
        <f aca="false">CQ10+CP11</f>
        <v>94458</v>
      </c>
      <c r="CR11" s="87"/>
      <c r="CS11" s="87"/>
      <c r="CT11" s="111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</row>
    <row r="12" customFormat="false" ht="12.75" hidden="false" customHeight="false" outlineLevel="0" collapsed="false">
      <c r="A12" s="80" t="n">
        <f aca="false">+BaseloadMarkets!A12</f>
        <v>36714</v>
      </c>
      <c r="B12" s="80" t="str">
        <f aca="false">+BaseloadMarkets!B12</f>
        <v>Fri</v>
      </c>
      <c r="C12" s="156" t="n">
        <v>7621</v>
      </c>
      <c r="D12" s="26" t="n">
        <v>0</v>
      </c>
      <c r="E12" s="26" t="n">
        <v>11999</v>
      </c>
      <c r="F12" s="26" t="n">
        <v>0</v>
      </c>
      <c r="G12" s="26"/>
      <c r="H12" s="147" t="n">
        <f aca="false">+Border!AD10</f>
        <v>0</v>
      </c>
      <c r="I12" s="26"/>
      <c r="J12" s="26"/>
      <c r="K12" s="26"/>
      <c r="L12" s="148" t="n">
        <f aca="false">SUM(D12:K12)</f>
        <v>11999</v>
      </c>
      <c r="M12" s="81" t="n">
        <f aca="false">+L12-C12</f>
        <v>4378</v>
      </c>
      <c r="N12" s="81" t="n">
        <f aca="false">N11+M12</f>
        <v>48888</v>
      </c>
      <c r="O12" s="146" t="n">
        <v>1711</v>
      </c>
      <c r="P12" s="26" t="n">
        <v>0</v>
      </c>
      <c r="Q12" s="26"/>
      <c r="R12" s="26"/>
      <c r="S12" s="149" t="n">
        <f aca="false">SUM(P12:R12)</f>
        <v>0</v>
      </c>
      <c r="T12" s="81" t="n">
        <f aca="false">+S12-O12</f>
        <v>-1711</v>
      </c>
      <c r="U12" s="81" t="n">
        <f aca="false">U11+T12</f>
        <v>14309</v>
      </c>
      <c r="V12" s="146" t="n">
        <v>1003</v>
      </c>
      <c r="W12" s="26" t="n">
        <v>0</v>
      </c>
      <c r="X12" s="26"/>
      <c r="Y12" s="26"/>
      <c r="Z12" s="148" t="n">
        <f aca="false">SUM(W12:Y12)</f>
        <v>0</v>
      </c>
      <c r="AA12" s="81" t="n">
        <f aca="false">+Z12-V12</f>
        <v>-1003</v>
      </c>
      <c r="AB12" s="87" t="n">
        <f aca="false">+AB11+AA12</f>
        <v>-3397</v>
      </c>
      <c r="AC12" s="150" t="n">
        <v>167</v>
      </c>
      <c r="AD12" s="147" t="n">
        <v>0</v>
      </c>
      <c r="AE12" s="147"/>
      <c r="AF12" s="147"/>
      <c r="AG12" s="147" t="n">
        <f aca="false">SUM(AD12:AF12)</f>
        <v>0</v>
      </c>
      <c r="AH12" s="151" t="n">
        <f aca="false">+AG12-AC12</f>
        <v>-167</v>
      </c>
      <c r="AI12" s="152" t="n">
        <f aca="false">AI11+AH12</f>
        <v>-229</v>
      </c>
      <c r="AJ12" s="150" t="n">
        <v>9575</v>
      </c>
      <c r="AK12" s="147" t="n">
        <f aca="false">1839+314</f>
        <v>2153</v>
      </c>
      <c r="AL12" s="147" t="n">
        <v>9981</v>
      </c>
      <c r="AM12" s="147"/>
      <c r="AN12" s="147" t="n">
        <f aca="false">SUM(AK12:AM12)</f>
        <v>12134</v>
      </c>
      <c r="AO12" s="151" t="n">
        <f aca="false">+AN12-AJ12</f>
        <v>2559</v>
      </c>
      <c r="AP12" s="152" t="n">
        <f aca="false">AP11+AO12</f>
        <v>48169</v>
      </c>
      <c r="AQ12" s="147" t="n">
        <v>0</v>
      </c>
      <c r="AR12" s="147" t="n">
        <v>0</v>
      </c>
      <c r="AS12" s="147"/>
      <c r="AT12" s="147"/>
      <c r="AU12" s="147" t="n">
        <f aca="false">SUM(AR12:AT12)</f>
        <v>0</v>
      </c>
      <c r="AV12" s="151" t="n">
        <f aca="false">+AU12-AQ12</f>
        <v>0</v>
      </c>
      <c r="AW12" s="152" t="n">
        <f aca="false">AW11+AV12</f>
        <v>0</v>
      </c>
      <c r="AX12" s="150" t="n">
        <v>204</v>
      </c>
      <c r="AY12" s="147" t="n">
        <v>0</v>
      </c>
      <c r="AZ12" s="147"/>
      <c r="BA12" s="147"/>
      <c r="BB12" s="147" t="n">
        <f aca="false">SUM(AY12:BA12)</f>
        <v>0</v>
      </c>
      <c r="BC12" s="151" t="n">
        <f aca="false">+BB12-AX12</f>
        <v>-204</v>
      </c>
      <c r="BD12" s="152" t="n">
        <f aca="false">BD11+BC12</f>
        <v>54</v>
      </c>
      <c r="BE12" s="150" t="n">
        <v>303</v>
      </c>
      <c r="BF12" s="147" t="n">
        <v>0</v>
      </c>
      <c r="BG12" s="147"/>
      <c r="BH12" s="147"/>
      <c r="BI12" s="147" t="n">
        <f aca="false">SUM(BF12:BH12)</f>
        <v>0</v>
      </c>
      <c r="BJ12" s="151" t="n">
        <f aca="false">+BI12-BE12</f>
        <v>-303</v>
      </c>
      <c r="BK12" s="152" t="n">
        <f aca="false">BK11+BJ12</f>
        <v>623</v>
      </c>
      <c r="BL12" s="153" t="n">
        <v>2922</v>
      </c>
      <c r="BM12" s="154"/>
      <c r="BN12" s="154"/>
      <c r="BO12" s="154"/>
      <c r="BP12" s="154" t="n">
        <f aca="false">SUM(BM12:BO12)</f>
        <v>0</v>
      </c>
      <c r="BQ12" s="155" t="n">
        <f aca="false">+BP12-BL12</f>
        <v>-2922</v>
      </c>
      <c r="BR12" s="152" t="n">
        <f aca="false">BR11+BQ12</f>
        <v>-13332</v>
      </c>
      <c r="BS12" s="154"/>
      <c r="BT12" s="154"/>
      <c r="BU12" s="154"/>
      <c r="BV12" s="154"/>
      <c r="BW12" s="154" t="n">
        <f aca="false">SUM(BT12:BV12)</f>
        <v>0</v>
      </c>
      <c r="BX12" s="155" t="n">
        <f aca="false">+BW12-BS12</f>
        <v>0</v>
      </c>
      <c r="BY12" s="152" t="n">
        <f aca="false">BY11+BX12</f>
        <v>0</v>
      </c>
      <c r="BZ12" s="154"/>
      <c r="CA12" s="154"/>
      <c r="CB12" s="154"/>
      <c r="CC12" s="154"/>
      <c r="CD12" s="154" t="n">
        <f aca="false">SUM(CA12:CC12)</f>
        <v>0</v>
      </c>
      <c r="CE12" s="155" t="n">
        <f aca="false">+CD12-BZ12</f>
        <v>0</v>
      </c>
      <c r="CF12" s="152" t="n">
        <f aca="false">CF11+CE12</f>
        <v>0</v>
      </c>
      <c r="CG12" s="154"/>
      <c r="CH12" s="154"/>
      <c r="CI12" s="154"/>
      <c r="CJ12" s="154"/>
      <c r="CK12" s="154" t="n">
        <f aca="false">SUM(CH12:CJ12)</f>
        <v>0</v>
      </c>
      <c r="CL12" s="155" t="n">
        <f aca="false">+CK12-CG12</f>
        <v>0</v>
      </c>
      <c r="CM12" s="152" t="n">
        <f aca="false">CM11+CL12</f>
        <v>0</v>
      </c>
      <c r="CN12" s="81" t="n">
        <f aca="false">+C12+O12+V12+AC12+AJ12+AQ12+AX12+BE12+BL12+BS12+BZ12+CG12</f>
        <v>23506</v>
      </c>
      <c r="CO12" s="81" t="n">
        <f aca="false">+L12+S12+Z12+AG12+AN12+AU12+BB12+BI12+BP12+BW12+CD12+CK12</f>
        <v>24133</v>
      </c>
      <c r="CP12" s="81" t="n">
        <f aca="false">CO12-CN12</f>
        <v>627</v>
      </c>
      <c r="CQ12" s="152" t="n">
        <f aca="false">CQ11+CP12</f>
        <v>95085</v>
      </c>
      <c r="CR12" s="87"/>
      <c r="CS12" s="87"/>
      <c r="CT12" s="111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</row>
    <row r="13" customFormat="false" ht="12.75" hidden="false" customHeight="false" outlineLevel="0" collapsed="false">
      <c r="A13" s="80" t="n">
        <f aca="false">+BaseloadMarkets!A13</f>
        <v>36715</v>
      </c>
      <c r="B13" s="80" t="str">
        <f aca="false">+BaseloadMarkets!B13</f>
        <v>Sat</v>
      </c>
      <c r="C13" s="156" t="n">
        <v>2727</v>
      </c>
      <c r="D13" s="26" t="n">
        <f aca="false">1086+1184-1000</f>
        <v>1270</v>
      </c>
      <c r="E13" s="26" t="n">
        <v>3000</v>
      </c>
      <c r="F13" s="26" t="n">
        <v>1000</v>
      </c>
      <c r="G13" s="26"/>
      <c r="H13" s="147" t="n">
        <f aca="false">+Border!AD11</f>
        <v>0</v>
      </c>
      <c r="I13" s="26"/>
      <c r="J13" s="26"/>
      <c r="K13" s="26"/>
      <c r="L13" s="148" t="n">
        <f aca="false">SUM(D13:K13)</f>
        <v>5270</v>
      </c>
      <c r="M13" s="81" t="n">
        <f aca="false">+L13-C13</f>
        <v>2543</v>
      </c>
      <c r="N13" s="81" t="n">
        <f aca="false">N12+M13</f>
        <v>51431</v>
      </c>
      <c r="O13" s="146" t="n">
        <f aca="false">1717+574</f>
        <v>2291</v>
      </c>
      <c r="P13" s="26" t="n">
        <v>703</v>
      </c>
      <c r="Q13" s="26"/>
      <c r="R13" s="26"/>
      <c r="S13" s="149" t="n">
        <f aca="false">SUM(P13:R13)</f>
        <v>703</v>
      </c>
      <c r="T13" s="81" t="n">
        <f aca="false">+S13-O13</f>
        <v>-1588</v>
      </c>
      <c r="U13" s="81" t="n">
        <f aca="false">U12+T13</f>
        <v>12721</v>
      </c>
      <c r="V13" s="146" t="n">
        <v>1322</v>
      </c>
      <c r="W13" s="26" t="n">
        <v>469</v>
      </c>
      <c r="X13" s="26"/>
      <c r="Y13" s="26"/>
      <c r="Z13" s="148" t="n">
        <f aca="false">SUM(W13:Y13)</f>
        <v>469</v>
      </c>
      <c r="AA13" s="81" t="n">
        <f aca="false">+Z13-V13</f>
        <v>-853</v>
      </c>
      <c r="AB13" s="87" t="n">
        <f aca="false">+AB12+AA13</f>
        <v>-4250</v>
      </c>
      <c r="AC13" s="150" t="n">
        <v>195</v>
      </c>
      <c r="AD13" s="147" t="n">
        <v>0</v>
      </c>
      <c r="AE13" s="147"/>
      <c r="AF13" s="147"/>
      <c r="AG13" s="147" t="n">
        <f aca="false">SUM(AD13:AF13)</f>
        <v>0</v>
      </c>
      <c r="AH13" s="151" t="n">
        <f aca="false">+AG13-AC13</f>
        <v>-195</v>
      </c>
      <c r="AI13" s="152" t="n">
        <f aca="false">AI12+AH13</f>
        <v>-424</v>
      </c>
      <c r="AJ13" s="150" t="n">
        <v>9254</v>
      </c>
      <c r="AK13" s="147" t="n">
        <f aca="false">2700</f>
        <v>2700</v>
      </c>
      <c r="AL13" s="147" t="n">
        <v>980</v>
      </c>
      <c r="AM13" s="147"/>
      <c r="AN13" s="147" t="n">
        <f aca="false">SUM(AK13:AM13)</f>
        <v>3680</v>
      </c>
      <c r="AO13" s="151" t="n">
        <f aca="false">+AN13-AJ13</f>
        <v>-5574</v>
      </c>
      <c r="AP13" s="152" t="n">
        <f aca="false">AP12+AO13</f>
        <v>42595</v>
      </c>
      <c r="AQ13" s="147" t="n">
        <v>0</v>
      </c>
      <c r="AR13" s="147" t="n">
        <v>0</v>
      </c>
      <c r="AS13" s="147"/>
      <c r="AT13" s="147"/>
      <c r="AU13" s="147" t="n">
        <f aca="false">SUM(AR13:AT13)</f>
        <v>0</v>
      </c>
      <c r="AV13" s="151" t="n">
        <f aca="false">+AU13-AQ13</f>
        <v>0</v>
      </c>
      <c r="AW13" s="152" t="n">
        <f aca="false">AW12+AV13</f>
        <v>0</v>
      </c>
      <c r="AX13" s="150" t="n">
        <v>100</v>
      </c>
      <c r="AY13" s="147" t="n">
        <v>0</v>
      </c>
      <c r="AZ13" s="147"/>
      <c r="BA13" s="147"/>
      <c r="BB13" s="147" t="n">
        <f aca="false">SUM(AY13:BA13)</f>
        <v>0</v>
      </c>
      <c r="BC13" s="151" t="n">
        <f aca="false">+BB13-AX13</f>
        <v>-100</v>
      </c>
      <c r="BD13" s="152" t="n">
        <f aca="false">BD12+BC13</f>
        <v>-46</v>
      </c>
      <c r="BE13" s="150" t="n">
        <v>150</v>
      </c>
      <c r="BF13" s="147" t="n">
        <v>0</v>
      </c>
      <c r="BG13" s="147"/>
      <c r="BH13" s="147"/>
      <c r="BI13" s="147" t="n">
        <f aca="false">SUM(BF13:BH13)</f>
        <v>0</v>
      </c>
      <c r="BJ13" s="151" t="n">
        <f aca="false">+BI13-BE13</f>
        <v>-150</v>
      </c>
      <c r="BK13" s="152" t="n">
        <f aca="false">BK12+BJ13</f>
        <v>473</v>
      </c>
      <c r="BL13" s="153" t="n">
        <v>2316</v>
      </c>
      <c r="BM13" s="154"/>
      <c r="BN13" s="154"/>
      <c r="BO13" s="154"/>
      <c r="BP13" s="154" t="n">
        <f aca="false">SUM(BM13:BO13)</f>
        <v>0</v>
      </c>
      <c r="BQ13" s="155" t="n">
        <f aca="false">+BP13-BL13</f>
        <v>-2316</v>
      </c>
      <c r="BR13" s="152" t="n">
        <f aca="false">BR12+BQ13</f>
        <v>-15648</v>
      </c>
      <c r="BS13" s="154"/>
      <c r="BT13" s="154"/>
      <c r="BU13" s="154"/>
      <c r="BV13" s="154"/>
      <c r="BW13" s="154" t="n">
        <f aca="false">SUM(BT13:BV13)</f>
        <v>0</v>
      </c>
      <c r="BX13" s="155" t="n">
        <f aca="false">+BW13-BS13</f>
        <v>0</v>
      </c>
      <c r="BY13" s="152" t="n">
        <f aca="false">BY12+BX13</f>
        <v>0</v>
      </c>
      <c r="BZ13" s="154"/>
      <c r="CA13" s="154"/>
      <c r="CB13" s="154"/>
      <c r="CC13" s="154"/>
      <c r="CD13" s="154" t="n">
        <f aca="false">SUM(CA13:CC13)</f>
        <v>0</v>
      </c>
      <c r="CE13" s="155" t="n">
        <f aca="false">+CD13-BZ13</f>
        <v>0</v>
      </c>
      <c r="CF13" s="152" t="n">
        <f aca="false">CF12+CE13</f>
        <v>0</v>
      </c>
      <c r="CG13" s="154"/>
      <c r="CH13" s="154"/>
      <c r="CI13" s="154"/>
      <c r="CJ13" s="154"/>
      <c r="CK13" s="154" t="n">
        <f aca="false">SUM(CH13:CJ13)</f>
        <v>0</v>
      </c>
      <c r="CL13" s="155" t="n">
        <f aca="false">+CK13-CG13</f>
        <v>0</v>
      </c>
      <c r="CM13" s="152" t="n">
        <f aca="false">CM12+CL13</f>
        <v>0</v>
      </c>
      <c r="CN13" s="81" t="n">
        <f aca="false">+C13+O13+V13+AC13+AJ13+AQ13+AX13+BE13+BL13+BS13+BZ13+CG13</f>
        <v>18355</v>
      </c>
      <c r="CO13" s="81" t="n">
        <f aca="false">+L13+S13+Z13+AG13+AN13+AU13+BB13+BI13+BP13+BW13+CD13+CK13</f>
        <v>10122</v>
      </c>
      <c r="CP13" s="81" t="n">
        <f aca="false">CO13-CN13</f>
        <v>-8233</v>
      </c>
      <c r="CQ13" s="152" t="n">
        <f aca="false">CQ12+CP13</f>
        <v>86852</v>
      </c>
      <c r="CR13" s="87"/>
      <c r="CS13" s="87"/>
      <c r="CT13" s="111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</row>
    <row r="14" customFormat="false" ht="12.75" hidden="false" customHeight="false" outlineLevel="0" collapsed="false">
      <c r="A14" s="80" t="n">
        <f aca="false">+BaseloadMarkets!A14</f>
        <v>36716</v>
      </c>
      <c r="B14" s="80" t="str">
        <f aca="false">+BaseloadMarkets!B14</f>
        <v>Sun</v>
      </c>
      <c r="C14" s="146" t="n">
        <v>2460</v>
      </c>
      <c r="D14" s="26" t="n">
        <v>0</v>
      </c>
      <c r="E14" s="26" t="n">
        <v>2999</v>
      </c>
      <c r="F14" s="26" t="n">
        <v>0</v>
      </c>
      <c r="G14" s="26"/>
      <c r="H14" s="147" t="n">
        <f aca="false">+Border!AD12</f>
        <v>0</v>
      </c>
      <c r="I14" s="26"/>
      <c r="J14" s="26"/>
      <c r="K14" s="26"/>
      <c r="L14" s="148" t="n">
        <f aca="false">SUM(D14:K14)</f>
        <v>2999</v>
      </c>
      <c r="M14" s="81" t="n">
        <f aca="false">+L14-C14</f>
        <v>539</v>
      </c>
      <c r="N14" s="81" t="n">
        <f aca="false">N13+M14</f>
        <v>51970</v>
      </c>
      <c r="O14" s="146" t="n">
        <v>2143</v>
      </c>
      <c r="P14" s="26" t="n">
        <v>0</v>
      </c>
      <c r="Q14" s="26"/>
      <c r="R14" s="26"/>
      <c r="S14" s="149" t="n">
        <f aca="false">SUM(P14:R14)</f>
        <v>0</v>
      </c>
      <c r="T14" s="81" t="n">
        <f aca="false">+S14-O14</f>
        <v>-2143</v>
      </c>
      <c r="U14" s="81" t="n">
        <f aca="false">U13+T14</f>
        <v>10578</v>
      </c>
      <c r="V14" s="146" t="n">
        <v>1431</v>
      </c>
      <c r="W14" s="26" t="n">
        <v>7</v>
      </c>
      <c r="X14" s="26"/>
      <c r="Y14" s="26"/>
      <c r="Z14" s="148" t="n">
        <f aca="false">SUM(W14:Y14)</f>
        <v>7</v>
      </c>
      <c r="AA14" s="81" t="n">
        <f aca="false">+Z14-V14</f>
        <v>-1424</v>
      </c>
      <c r="AB14" s="87" t="n">
        <f aca="false">+AB13+AA14</f>
        <v>-5674</v>
      </c>
      <c r="AC14" s="150" t="n">
        <v>32</v>
      </c>
      <c r="AD14" s="147" t="n">
        <v>0</v>
      </c>
      <c r="AE14" s="147"/>
      <c r="AF14" s="147"/>
      <c r="AG14" s="147" t="n">
        <f aca="false">SUM(AD14:AF14)</f>
        <v>0</v>
      </c>
      <c r="AH14" s="151" t="n">
        <f aca="false">+AG14-AC14</f>
        <v>-32</v>
      </c>
      <c r="AI14" s="152" t="n">
        <f aca="false">AI13+AH14</f>
        <v>-456</v>
      </c>
      <c r="AJ14" s="150" t="n">
        <v>9190</v>
      </c>
      <c r="AK14" s="147" t="n">
        <v>0</v>
      </c>
      <c r="AL14" s="147" t="n">
        <v>981</v>
      </c>
      <c r="AM14" s="147"/>
      <c r="AN14" s="147" t="n">
        <f aca="false">SUM(AK14:AM14)</f>
        <v>981</v>
      </c>
      <c r="AO14" s="151" t="n">
        <f aca="false">+AN14-AJ14</f>
        <v>-8209</v>
      </c>
      <c r="AP14" s="152" t="n">
        <f aca="false">AP13+AO14</f>
        <v>34386</v>
      </c>
      <c r="AQ14" s="147" t="n">
        <v>0</v>
      </c>
      <c r="AR14" s="147" t="n">
        <v>0</v>
      </c>
      <c r="AS14" s="147"/>
      <c r="AT14" s="147"/>
      <c r="AU14" s="147" t="n">
        <f aca="false">SUM(AR14:AT14)</f>
        <v>0</v>
      </c>
      <c r="AV14" s="151" t="n">
        <f aca="false">+AU14-AQ14</f>
        <v>0</v>
      </c>
      <c r="AW14" s="152" t="n">
        <f aca="false">AW13+AV14</f>
        <v>0</v>
      </c>
      <c r="AX14" s="150" t="n">
        <v>37</v>
      </c>
      <c r="AY14" s="147" t="n">
        <v>0</v>
      </c>
      <c r="AZ14" s="147"/>
      <c r="BA14" s="147"/>
      <c r="BB14" s="147" t="n">
        <f aca="false">SUM(AY14:BA14)</f>
        <v>0</v>
      </c>
      <c r="BC14" s="151" t="n">
        <f aca="false">+BB14-AX14</f>
        <v>-37</v>
      </c>
      <c r="BD14" s="152" t="n">
        <f aca="false">BD13+BC14</f>
        <v>-83</v>
      </c>
      <c r="BE14" s="150" t="n">
        <v>26</v>
      </c>
      <c r="BF14" s="147" t="n">
        <v>0</v>
      </c>
      <c r="BG14" s="147"/>
      <c r="BH14" s="147"/>
      <c r="BI14" s="147" t="n">
        <f aca="false">SUM(BF14:BH14)</f>
        <v>0</v>
      </c>
      <c r="BJ14" s="151" t="n">
        <f aca="false">+BI14-BE14</f>
        <v>-26</v>
      </c>
      <c r="BK14" s="152" t="n">
        <f aca="false">BK13+BJ14</f>
        <v>447</v>
      </c>
      <c r="BL14" s="153" t="n">
        <v>8221</v>
      </c>
      <c r="BM14" s="154" t="n">
        <f aca="false">22+3884</f>
        <v>3906</v>
      </c>
      <c r="BN14" s="154"/>
      <c r="BO14" s="154"/>
      <c r="BP14" s="154" t="n">
        <f aca="false">SUM(BM14:BO14)</f>
        <v>3906</v>
      </c>
      <c r="BQ14" s="155" t="n">
        <f aca="false">+BP14-BL14</f>
        <v>-4315</v>
      </c>
      <c r="BR14" s="152" t="n">
        <f aca="false">BR13+BQ14</f>
        <v>-19963</v>
      </c>
      <c r="BS14" s="154"/>
      <c r="BT14" s="154"/>
      <c r="BU14" s="154"/>
      <c r="BV14" s="154"/>
      <c r="BW14" s="154" t="n">
        <f aca="false">SUM(BT14:BV14)</f>
        <v>0</v>
      </c>
      <c r="BX14" s="155" t="n">
        <f aca="false">+BW14-BS14</f>
        <v>0</v>
      </c>
      <c r="BY14" s="152" t="n">
        <f aca="false">BY13+BX14</f>
        <v>0</v>
      </c>
      <c r="BZ14" s="154"/>
      <c r="CA14" s="154"/>
      <c r="CB14" s="154"/>
      <c r="CC14" s="154"/>
      <c r="CD14" s="154" t="n">
        <f aca="false">SUM(CA14:CC14)</f>
        <v>0</v>
      </c>
      <c r="CE14" s="155" t="n">
        <f aca="false">+CD14-BZ14</f>
        <v>0</v>
      </c>
      <c r="CF14" s="152" t="n">
        <f aca="false">CF13+CE14</f>
        <v>0</v>
      </c>
      <c r="CG14" s="154"/>
      <c r="CH14" s="154"/>
      <c r="CI14" s="154"/>
      <c r="CJ14" s="154"/>
      <c r="CK14" s="154" t="n">
        <f aca="false">SUM(CH14:CJ14)</f>
        <v>0</v>
      </c>
      <c r="CL14" s="155" t="n">
        <f aca="false">+CK14-CG14</f>
        <v>0</v>
      </c>
      <c r="CM14" s="152" t="n">
        <f aca="false">CM13+CL14</f>
        <v>0</v>
      </c>
      <c r="CN14" s="81" t="n">
        <f aca="false">+C14+O14+V14+AC14+AJ14+AQ14+AX14+BE14+BL14+BS14+BZ14+CG14</f>
        <v>23540</v>
      </c>
      <c r="CO14" s="81" t="n">
        <f aca="false">+L14+S14+Z14+AG14+AN14+AU14+BB14+BI14+BP14+BW14+CD14+CK14</f>
        <v>7893</v>
      </c>
      <c r="CP14" s="81" t="n">
        <f aca="false">CO14-CN14</f>
        <v>-15647</v>
      </c>
      <c r="CQ14" s="152" t="n">
        <f aca="false">CQ13+CP14</f>
        <v>71205</v>
      </c>
      <c r="CR14" s="87"/>
      <c r="CS14" s="87"/>
      <c r="CT14" s="111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</row>
    <row r="15" customFormat="false" ht="13.5" hidden="false" customHeight="true" outlineLevel="0" collapsed="false">
      <c r="A15" s="80" t="n">
        <f aca="false">+BaseloadMarkets!A15</f>
        <v>36717</v>
      </c>
      <c r="B15" s="80" t="str">
        <f aca="false">+BaseloadMarkets!B15</f>
        <v>Mon</v>
      </c>
      <c r="C15" s="146" t="n">
        <v>3281</v>
      </c>
      <c r="D15" s="26" t="n">
        <v>0</v>
      </c>
      <c r="E15" s="26" t="n">
        <v>2999</v>
      </c>
      <c r="F15" s="26" t="n">
        <v>0</v>
      </c>
      <c r="G15" s="26"/>
      <c r="H15" s="147" t="n">
        <f aca="false">+Border!AD13</f>
        <v>0</v>
      </c>
      <c r="I15" s="26"/>
      <c r="J15" s="26"/>
      <c r="K15" s="26"/>
      <c r="L15" s="148" t="n">
        <f aca="false">SUM(D15:K15)</f>
        <v>2999</v>
      </c>
      <c r="M15" s="81" t="n">
        <f aca="false">+L15-C15</f>
        <v>-282</v>
      </c>
      <c r="N15" s="81" t="n">
        <f aca="false">N14+M15</f>
        <v>51688</v>
      </c>
      <c r="O15" s="146" t="n">
        <v>2122</v>
      </c>
      <c r="P15" s="26" t="n">
        <v>0</v>
      </c>
      <c r="Q15" s="26"/>
      <c r="R15" s="26"/>
      <c r="S15" s="149" t="n">
        <f aca="false">SUM(P15:R15)</f>
        <v>0</v>
      </c>
      <c r="T15" s="81" t="n">
        <f aca="false">+S15-O15</f>
        <v>-2122</v>
      </c>
      <c r="U15" s="81" t="n">
        <f aca="false">U14+T15</f>
        <v>8456</v>
      </c>
      <c r="V15" s="146" t="n">
        <v>1282</v>
      </c>
      <c r="W15" s="26" t="n">
        <v>0</v>
      </c>
      <c r="X15" s="26"/>
      <c r="Y15" s="26"/>
      <c r="Z15" s="148" t="n">
        <f aca="false">SUM(W15:Y15)</f>
        <v>0</v>
      </c>
      <c r="AA15" s="81" t="n">
        <f aca="false">+Z15-V15</f>
        <v>-1282</v>
      </c>
      <c r="AB15" s="87" t="n">
        <f aca="false">+AB14+AA15</f>
        <v>-6956</v>
      </c>
      <c r="AC15" s="150" t="n">
        <v>167</v>
      </c>
      <c r="AD15" s="147" t="n">
        <v>0</v>
      </c>
      <c r="AE15" s="147"/>
      <c r="AF15" s="147"/>
      <c r="AG15" s="147" t="n">
        <f aca="false">SUM(AD15:AF15)</f>
        <v>0</v>
      </c>
      <c r="AH15" s="151" t="n">
        <f aca="false">+AG15-AC15</f>
        <v>-167</v>
      </c>
      <c r="AI15" s="157" t="n">
        <f aca="false">AI14+AH15</f>
        <v>-623</v>
      </c>
      <c r="AJ15" s="150" t="n">
        <v>9413</v>
      </c>
      <c r="AK15" s="147" t="n">
        <v>0</v>
      </c>
      <c r="AL15" s="147" t="n">
        <v>981</v>
      </c>
      <c r="AM15" s="147"/>
      <c r="AN15" s="147" t="n">
        <f aca="false">SUM(AK15:AM15)</f>
        <v>981</v>
      </c>
      <c r="AO15" s="151" t="n">
        <f aca="false">+AN15-AJ15</f>
        <v>-8432</v>
      </c>
      <c r="AP15" s="157" t="n">
        <f aca="false">AP14+AO15</f>
        <v>25954</v>
      </c>
      <c r="AQ15" s="147" t="n">
        <v>0</v>
      </c>
      <c r="AR15" s="147" t="n">
        <v>0</v>
      </c>
      <c r="AS15" s="147"/>
      <c r="AT15" s="147"/>
      <c r="AU15" s="147" t="n">
        <f aca="false">SUM(AR15:AT15)</f>
        <v>0</v>
      </c>
      <c r="AV15" s="151" t="n">
        <f aca="false">+AU15-AQ15</f>
        <v>0</v>
      </c>
      <c r="AW15" s="157" t="n">
        <f aca="false">AW14+AV15</f>
        <v>0</v>
      </c>
      <c r="AX15" s="150" t="n">
        <v>207</v>
      </c>
      <c r="AY15" s="147" t="n">
        <v>0</v>
      </c>
      <c r="AZ15" s="147"/>
      <c r="BA15" s="147"/>
      <c r="BB15" s="147" t="n">
        <f aca="false">SUM(AY15:BA15)</f>
        <v>0</v>
      </c>
      <c r="BC15" s="151" t="n">
        <f aca="false">+BB15-AX15</f>
        <v>-207</v>
      </c>
      <c r="BD15" s="157" t="n">
        <f aca="false">BD14+BC15</f>
        <v>-290</v>
      </c>
      <c r="BE15" s="150" t="n">
        <v>227</v>
      </c>
      <c r="BF15" s="147" t="n">
        <v>0</v>
      </c>
      <c r="BG15" s="147"/>
      <c r="BH15" s="147"/>
      <c r="BI15" s="147" t="n">
        <f aca="false">SUM(BF15:BH15)</f>
        <v>0</v>
      </c>
      <c r="BJ15" s="151" t="n">
        <f aca="false">+BI15-BE15</f>
        <v>-227</v>
      </c>
      <c r="BK15" s="157" t="n">
        <f aca="false">BK14+BJ15</f>
        <v>220</v>
      </c>
      <c r="BL15" s="158" t="n">
        <v>9923</v>
      </c>
      <c r="BM15" s="154" t="n">
        <v>3884</v>
      </c>
      <c r="BN15" s="154"/>
      <c r="BO15" s="154"/>
      <c r="BP15" s="154" t="n">
        <f aca="false">SUM(BM15:BO15)</f>
        <v>3884</v>
      </c>
      <c r="BQ15" s="155" t="n">
        <f aca="false">+BP15-BL15</f>
        <v>-6039</v>
      </c>
      <c r="BR15" s="157" t="n">
        <f aca="false">BR14+BQ15</f>
        <v>-26002</v>
      </c>
      <c r="BS15" s="154"/>
      <c r="BT15" s="154"/>
      <c r="BU15" s="154"/>
      <c r="BV15" s="154"/>
      <c r="BW15" s="154" t="n">
        <f aca="false">SUM(BT15:BV15)</f>
        <v>0</v>
      </c>
      <c r="BX15" s="155" t="n">
        <f aca="false">+BW15-BS15</f>
        <v>0</v>
      </c>
      <c r="BY15" s="157" t="n">
        <f aca="false">BY14+BX15</f>
        <v>0</v>
      </c>
      <c r="BZ15" s="154"/>
      <c r="CA15" s="154"/>
      <c r="CB15" s="154"/>
      <c r="CC15" s="154"/>
      <c r="CD15" s="154" t="n">
        <f aca="false">SUM(CA15:CC15)</f>
        <v>0</v>
      </c>
      <c r="CE15" s="155" t="n">
        <f aca="false">+CD15-BZ15</f>
        <v>0</v>
      </c>
      <c r="CF15" s="157" t="n">
        <f aca="false">CF14+CE15</f>
        <v>0</v>
      </c>
      <c r="CG15" s="154"/>
      <c r="CH15" s="154"/>
      <c r="CI15" s="154"/>
      <c r="CJ15" s="154"/>
      <c r="CK15" s="154" t="n">
        <f aca="false">SUM(CH15:CJ15)</f>
        <v>0</v>
      </c>
      <c r="CL15" s="155" t="n">
        <f aca="false">+CK15-CG15</f>
        <v>0</v>
      </c>
      <c r="CM15" s="157" t="n">
        <f aca="false">CM14+CL15</f>
        <v>0</v>
      </c>
      <c r="CN15" s="81" t="n">
        <f aca="false">+C15+O15+V15+AC15+AJ15+AQ15+AX15+BE15+BL15+BS15+BZ15+CG15</f>
        <v>26622</v>
      </c>
      <c r="CO15" s="81" t="n">
        <f aca="false">+L15+S15+Z15+AG15+AN15+AU15+BB15+BI15+BP15+BW15+CD15+CK15</f>
        <v>7864</v>
      </c>
      <c r="CP15" s="81" t="n">
        <f aca="false">CO15-CN15</f>
        <v>-18758</v>
      </c>
      <c r="CQ15" s="152" t="n">
        <f aca="false">CQ14+CP15</f>
        <v>52447</v>
      </c>
      <c r="CR15" s="87"/>
      <c r="CS15" s="87"/>
      <c r="CT15" s="111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</row>
    <row r="16" customFormat="false" ht="12.75" hidden="false" customHeight="false" outlineLevel="0" collapsed="false">
      <c r="A16" s="80" t="n">
        <f aca="false">+BaseloadMarkets!A16</f>
        <v>36718</v>
      </c>
      <c r="B16" s="80" t="str">
        <f aca="false">+BaseloadMarkets!B16</f>
        <v>Tues</v>
      </c>
      <c r="C16" s="146" t="n">
        <v>3001</v>
      </c>
      <c r="D16" s="26" t="n">
        <v>0</v>
      </c>
      <c r="E16" s="26" t="n">
        <v>2515</v>
      </c>
      <c r="F16" s="26" t="n">
        <v>0</v>
      </c>
      <c r="G16" s="26" t="n">
        <f aca="false">4976+4000</f>
        <v>8976</v>
      </c>
      <c r="H16" s="147" t="n">
        <f aca="false">+Border!AD14</f>
        <v>0</v>
      </c>
      <c r="I16" s="26"/>
      <c r="J16" s="26"/>
      <c r="K16" s="26"/>
      <c r="L16" s="148" t="n">
        <f aca="false">SUM(D16:K16)</f>
        <v>11491</v>
      </c>
      <c r="M16" s="81" t="n">
        <f aca="false">+L16-C16</f>
        <v>8490</v>
      </c>
      <c r="N16" s="81" t="n">
        <f aca="false">N15+M16</f>
        <v>60178</v>
      </c>
      <c r="O16" s="146" t="n">
        <v>2017</v>
      </c>
      <c r="P16" s="26" t="n">
        <v>0</v>
      </c>
      <c r="Q16" s="26"/>
      <c r="R16" s="26"/>
      <c r="S16" s="149" t="n">
        <f aca="false">SUM(P16:R16)</f>
        <v>0</v>
      </c>
      <c r="T16" s="81" t="n">
        <f aca="false">+S16-O16</f>
        <v>-2017</v>
      </c>
      <c r="U16" s="81" t="n">
        <f aca="false">U15+T16</f>
        <v>6439</v>
      </c>
      <c r="V16" s="146" t="n">
        <v>898</v>
      </c>
      <c r="W16" s="26" t="n">
        <v>0</v>
      </c>
      <c r="X16" s="26"/>
      <c r="Y16" s="26"/>
      <c r="Z16" s="148" t="n">
        <f aca="false">SUM(W16:Y16)</f>
        <v>0</v>
      </c>
      <c r="AA16" s="81" t="n">
        <f aca="false">+Z16-V16</f>
        <v>-898</v>
      </c>
      <c r="AB16" s="87" t="n">
        <f aca="false">+AB15+AA16</f>
        <v>-7854</v>
      </c>
      <c r="AC16" s="150" t="n">
        <v>178</v>
      </c>
      <c r="AD16" s="147" t="n">
        <v>0</v>
      </c>
      <c r="AE16" s="147"/>
      <c r="AF16" s="147"/>
      <c r="AG16" s="147" t="n">
        <f aca="false">SUM(AD16:AF16)</f>
        <v>0</v>
      </c>
      <c r="AH16" s="151" t="n">
        <f aca="false">+AG16-AC16</f>
        <v>-178</v>
      </c>
      <c r="AI16" s="157" t="n">
        <f aca="false">AI15+AH16</f>
        <v>-801</v>
      </c>
      <c r="AJ16" s="150" t="n">
        <v>9551</v>
      </c>
      <c r="AK16" s="147" t="n">
        <f aca="false">1558+2259</f>
        <v>3817</v>
      </c>
      <c r="AL16" s="147" t="n">
        <v>1823</v>
      </c>
      <c r="AM16" s="147" t="n">
        <f aca="false">4000+4975</f>
        <v>8975</v>
      </c>
      <c r="AN16" s="147" t="n">
        <f aca="false">SUM(AK16:AM16)</f>
        <v>14615</v>
      </c>
      <c r="AO16" s="151" t="n">
        <f aca="false">+AN16-AJ16</f>
        <v>5064</v>
      </c>
      <c r="AP16" s="157" t="n">
        <f aca="false">AP15+AO16</f>
        <v>31018</v>
      </c>
      <c r="AQ16" s="147" t="n">
        <v>0</v>
      </c>
      <c r="AR16" s="147" t="n">
        <v>0</v>
      </c>
      <c r="AS16" s="147"/>
      <c r="AT16" s="147"/>
      <c r="AU16" s="147" t="n">
        <f aca="false">SUM(AR16:AT16)</f>
        <v>0</v>
      </c>
      <c r="AV16" s="151" t="n">
        <f aca="false">+AU16-AQ16</f>
        <v>0</v>
      </c>
      <c r="AW16" s="157" t="n">
        <f aca="false">AW15+AV16</f>
        <v>0</v>
      </c>
      <c r="AX16" s="150" t="n">
        <v>202</v>
      </c>
      <c r="AY16" s="147" t="n">
        <v>0</v>
      </c>
      <c r="AZ16" s="147"/>
      <c r="BA16" s="147"/>
      <c r="BB16" s="147" t="n">
        <f aca="false">SUM(AY16:BA16)</f>
        <v>0</v>
      </c>
      <c r="BC16" s="151" t="n">
        <f aca="false">+BB16-AX16</f>
        <v>-202</v>
      </c>
      <c r="BD16" s="157" t="n">
        <f aca="false">BD15+BC16</f>
        <v>-492</v>
      </c>
      <c r="BE16" s="150" t="n">
        <v>325</v>
      </c>
      <c r="BF16" s="147" t="n">
        <v>0</v>
      </c>
      <c r="BG16" s="147"/>
      <c r="BH16" s="147"/>
      <c r="BI16" s="147" t="n">
        <f aca="false">SUM(BF16:BH16)</f>
        <v>0</v>
      </c>
      <c r="BJ16" s="151" t="n">
        <f aca="false">+BI16-BE16</f>
        <v>-325</v>
      </c>
      <c r="BK16" s="157" t="n">
        <f aca="false">BK15+BJ16</f>
        <v>-105</v>
      </c>
      <c r="BL16" s="158" t="n">
        <v>3524</v>
      </c>
      <c r="BM16" s="154" t="n">
        <v>0</v>
      </c>
      <c r="BN16" s="154"/>
      <c r="BO16" s="154" t="n">
        <v>20000</v>
      </c>
      <c r="BP16" s="154" t="n">
        <f aca="false">SUM(BM16:BO16)</f>
        <v>20000</v>
      </c>
      <c r="BQ16" s="155" t="n">
        <f aca="false">+BP16-BL16</f>
        <v>16476</v>
      </c>
      <c r="BR16" s="157" t="n">
        <f aca="false">BR15+BQ16</f>
        <v>-9526</v>
      </c>
      <c r="BS16" s="154"/>
      <c r="BT16" s="154"/>
      <c r="BU16" s="154"/>
      <c r="BV16" s="154"/>
      <c r="BW16" s="154" t="n">
        <f aca="false">SUM(BT16:BV16)</f>
        <v>0</v>
      </c>
      <c r="BX16" s="155" t="n">
        <f aca="false">+BW16-BS16</f>
        <v>0</v>
      </c>
      <c r="BY16" s="157" t="n">
        <f aca="false">BY15+BX16</f>
        <v>0</v>
      </c>
      <c r="BZ16" s="154"/>
      <c r="CA16" s="154"/>
      <c r="CB16" s="154"/>
      <c r="CC16" s="154"/>
      <c r="CD16" s="154" t="n">
        <f aca="false">SUM(CA16:CC16)</f>
        <v>0</v>
      </c>
      <c r="CE16" s="155" t="n">
        <f aca="false">+CD16-BZ16</f>
        <v>0</v>
      </c>
      <c r="CF16" s="157" t="n">
        <f aca="false">CF15+CE16</f>
        <v>0</v>
      </c>
      <c r="CG16" s="154"/>
      <c r="CH16" s="154"/>
      <c r="CI16" s="154"/>
      <c r="CJ16" s="154"/>
      <c r="CK16" s="154" t="n">
        <f aca="false">SUM(CH16:CJ16)</f>
        <v>0</v>
      </c>
      <c r="CL16" s="155" t="n">
        <f aca="false">+CK16-CG16</f>
        <v>0</v>
      </c>
      <c r="CM16" s="157" t="n">
        <f aca="false">CM15+CL16</f>
        <v>0</v>
      </c>
      <c r="CN16" s="81" t="n">
        <f aca="false">+C16+O16+V16+AC16+AJ16+AQ16+AX16+BE16+BL16+BS16+BZ16+CG16</f>
        <v>19696</v>
      </c>
      <c r="CO16" s="81" t="n">
        <f aca="false">+L16+S16+Z16+AG16+AN16+AU16+BB16+BI16+BP16+BW16+CD16+CK16</f>
        <v>46106</v>
      </c>
      <c r="CP16" s="81" t="n">
        <f aca="false">CO16-CN16</f>
        <v>26410</v>
      </c>
      <c r="CQ16" s="152" t="n">
        <f aca="false">CQ15+CP16</f>
        <v>78857</v>
      </c>
      <c r="CR16" s="87"/>
      <c r="CS16" s="87"/>
      <c r="CT16" s="111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</row>
    <row r="17" customFormat="false" ht="12.75" hidden="false" customHeight="false" outlineLevel="0" collapsed="false">
      <c r="A17" s="80" t="n">
        <f aca="false">+BaseloadMarkets!A17</f>
        <v>36719</v>
      </c>
      <c r="B17" s="80" t="str">
        <f aca="false">+BaseloadMarkets!B17</f>
        <v>Wed</v>
      </c>
      <c r="C17" s="146" t="n">
        <v>4304</v>
      </c>
      <c r="D17" s="26" t="n">
        <v>380</v>
      </c>
      <c r="E17" s="26" t="n">
        <v>2000</v>
      </c>
      <c r="F17" s="26" t="n">
        <v>1000</v>
      </c>
      <c r="G17" s="26"/>
      <c r="H17" s="147" t="n">
        <f aca="false">+Border!AD15</f>
        <v>0</v>
      </c>
      <c r="I17" s="26"/>
      <c r="J17" s="26"/>
      <c r="K17" s="26"/>
      <c r="L17" s="148" t="n">
        <f aca="false">SUM(D17:K17)</f>
        <v>3380</v>
      </c>
      <c r="M17" s="81" t="n">
        <f aca="false">+L17-C17</f>
        <v>-924</v>
      </c>
      <c r="N17" s="81" t="n">
        <f aca="false">N16+M17</f>
        <v>59254</v>
      </c>
      <c r="O17" s="146" t="n">
        <v>1723</v>
      </c>
      <c r="P17" s="26" t="n">
        <v>0</v>
      </c>
      <c r="Q17" s="26"/>
      <c r="R17" s="26"/>
      <c r="S17" s="149" t="n">
        <f aca="false">SUM(P17:R17)</f>
        <v>0</v>
      </c>
      <c r="T17" s="81" t="n">
        <f aca="false">+S17-O17</f>
        <v>-1723</v>
      </c>
      <c r="U17" s="81" t="n">
        <f aca="false">U16+T17</f>
        <v>4716</v>
      </c>
      <c r="V17" s="146" t="n">
        <v>1382</v>
      </c>
      <c r="W17" s="26" t="n">
        <v>0</v>
      </c>
      <c r="X17" s="26"/>
      <c r="Y17" s="26"/>
      <c r="Z17" s="148" t="n">
        <f aca="false">SUM(W17:Y17)</f>
        <v>0</v>
      </c>
      <c r="AA17" s="81" t="n">
        <f aca="false">+Z17-V17</f>
        <v>-1382</v>
      </c>
      <c r="AB17" s="87" t="n">
        <f aca="false">+AB16+AA17</f>
        <v>-9236</v>
      </c>
      <c r="AC17" s="150" t="n">
        <v>181</v>
      </c>
      <c r="AD17" s="147" t="n">
        <v>0</v>
      </c>
      <c r="AE17" s="147"/>
      <c r="AF17" s="147"/>
      <c r="AG17" s="147" t="n">
        <f aca="false">SUM(AD17:AF17)</f>
        <v>0</v>
      </c>
      <c r="AH17" s="151" t="n">
        <f aca="false">+AG17-AC17</f>
        <v>-181</v>
      </c>
      <c r="AI17" s="152" t="n">
        <f aca="false">AI16+AH17</f>
        <v>-982</v>
      </c>
      <c r="AJ17" s="150" t="n">
        <v>9646</v>
      </c>
      <c r="AK17" s="147" t="n">
        <v>5705</v>
      </c>
      <c r="AL17" s="147" t="n">
        <v>980</v>
      </c>
      <c r="AM17" s="147"/>
      <c r="AN17" s="147" t="n">
        <f aca="false">SUM(AK17:AM17)</f>
        <v>6685</v>
      </c>
      <c r="AO17" s="151" t="n">
        <f aca="false">+AN17-AJ17</f>
        <v>-2961</v>
      </c>
      <c r="AP17" s="152" t="n">
        <f aca="false">AP16+AO17</f>
        <v>28057</v>
      </c>
      <c r="AQ17" s="147" t="n">
        <v>0</v>
      </c>
      <c r="AR17" s="147" t="n">
        <v>0</v>
      </c>
      <c r="AS17" s="147"/>
      <c r="AT17" s="147"/>
      <c r="AU17" s="147" t="n">
        <f aca="false">SUM(AR17:AT17)</f>
        <v>0</v>
      </c>
      <c r="AV17" s="151" t="n">
        <f aca="false">+AU17-AQ17</f>
        <v>0</v>
      </c>
      <c r="AW17" s="152" t="n">
        <f aca="false">AW16+AV17</f>
        <v>0</v>
      </c>
      <c r="AX17" s="150" t="n">
        <v>200</v>
      </c>
      <c r="AY17" s="147" t="n">
        <v>0</v>
      </c>
      <c r="AZ17" s="147"/>
      <c r="BA17" s="147"/>
      <c r="BB17" s="147" t="n">
        <f aca="false">SUM(AY17:BA17)</f>
        <v>0</v>
      </c>
      <c r="BC17" s="151" t="n">
        <f aca="false">+BB17-AX17</f>
        <v>-200</v>
      </c>
      <c r="BD17" s="152" t="n">
        <f aca="false">BD16+BC17</f>
        <v>-692</v>
      </c>
      <c r="BE17" s="150" t="n">
        <v>288</v>
      </c>
      <c r="BF17" s="147" t="n">
        <v>0</v>
      </c>
      <c r="BG17" s="147"/>
      <c r="BH17" s="147"/>
      <c r="BI17" s="147" t="n">
        <f aca="false">SUM(BF17:BH17)</f>
        <v>0</v>
      </c>
      <c r="BJ17" s="151" t="n">
        <f aca="false">+BI17-BE17</f>
        <v>-288</v>
      </c>
      <c r="BK17" s="152" t="n">
        <f aca="false">BK16+BJ17</f>
        <v>-393</v>
      </c>
      <c r="BL17" s="158" t="n">
        <v>2043</v>
      </c>
      <c r="BM17" s="154" t="n">
        <v>794</v>
      </c>
      <c r="BN17" s="154"/>
      <c r="BO17" s="154"/>
      <c r="BP17" s="154" t="n">
        <f aca="false">SUM(BM17:BO17)</f>
        <v>794</v>
      </c>
      <c r="BQ17" s="155" t="n">
        <f aca="false">+BP17-BL17</f>
        <v>-1249</v>
      </c>
      <c r="BR17" s="152" t="n">
        <f aca="false">BR16+BQ17</f>
        <v>-10775</v>
      </c>
      <c r="BS17" s="154"/>
      <c r="BT17" s="154"/>
      <c r="BU17" s="154"/>
      <c r="BV17" s="154"/>
      <c r="BW17" s="154" t="n">
        <f aca="false">SUM(BT17:BV17)</f>
        <v>0</v>
      </c>
      <c r="BX17" s="155" t="n">
        <f aca="false">+BW17-BS17</f>
        <v>0</v>
      </c>
      <c r="BY17" s="152" t="n">
        <f aca="false">BY16+BX17</f>
        <v>0</v>
      </c>
      <c r="BZ17" s="154"/>
      <c r="CA17" s="154"/>
      <c r="CB17" s="154"/>
      <c r="CC17" s="154"/>
      <c r="CD17" s="154" t="n">
        <f aca="false">SUM(CA17:CC17)</f>
        <v>0</v>
      </c>
      <c r="CE17" s="155" t="n">
        <f aca="false">+CD17-BZ17</f>
        <v>0</v>
      </c>
      <c r="CF17" s="152" t="n">
        <f aca="false">CF16+CE17</f>
        <v>0</v>
      </c>
      <c r="CG17" s="154"/>
      <c r="CH17" s="154"/>
      <c r="CI17" s="154"/>
      <c r="CJ17" s="154"/>
      <c r="CK17" s="154" t="n">
        <f aca="false">SUM(CH17:CJ17)</f>
        <v>0</v>
      </c>
      <c r="CL17" s="155" t="n">
        <f aca="false">+CK17-CG17</f>
        <v>0</v>
      </c>
      <c r="CM17" s="152" t="n">
        <f aca="false">CM16+CL17</f>
        <v>0</v>
      </c>
      <c r="CN17" s="81" t="n">
        <f aca="false">+C17+O17+V17+AC17+AJ17+AQ17+AX17+BE17+BL17+BS17+BZ17+CG17</f>
        <v>19767</v>
      </c>
      <c r="CO17" s="81" t="n">
        <f aca="false">+L17+S17+Z17+AG17+AN17+AU17+BB17+BI17+BP17+BW17+CD17+CK17</f>
        <v>10859</v>
      </c>
      <c r="CP17" s="81" t="n">
        <f aca="false">CO17-CN17</f>
        <v>-8908</v>
      </c>
      <c r="CQ17" s="152" t="n">
        <f aca="false">CQ16+CP17</f>
        <v>69949</v>
      </c>
      <c r="CR17" s="87"/>
      <c r="CS17" s="87"/>
      <c r="CT17" s="111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</row>
    <row r="18" customFormat="false" ht="12.75" hidden="false" customHeight="false" outlineLevel="0" collapsed="false">
      <c r="A18" s="80" t="n">
        <f aca="false">+BaseloadMarkets!A18</f>
        <v>36720</v>
      </c>
      <c r="B18" s="80" t="str">
        <f aca="false">+BaseloadMarkets!B18</f>
        <v>Thu</v>
      </c>
      <c r="C18" s="146" t="n">
        <v>3540</v>
      </c>
      <c r="D18" s="26" t="n">
        <v>343</v>
      </c>
      <c r="E18" s="26" t="n">
        <v>6123</v>
      </c>
      <c r="F18" s="26" t="n">
        <v>1000</v>
      </c>
      <c r="G18" s="26" t="n">
        <v>10000</v>
      </c>
      <c r="H18" s="147" t="n">
        <f aca="false">+Border!AD16</f>
        <v>0</v>
      </c>
      <c r="I18" s="26"/>
      <c r="J18" s="26"/>
      <c r="K18" s="26"/>
      <c r="L18" s="148" t="n">
        <f aca="false">SUM(D18:K18)</f>
        <v>17466</v>
      </c>
      <c r="M18" s="81" t="n">
        <f aca="false">+L18-C18</f>
        <v>13926</v>
      </c>
      <c r="N18" s="81" t="n">
        <f aca="false">N17+M18</f>
        <v>73180</v>
      </c>
      <c r="O18" s="146" t="n">
        <v>1994</v>
      </c>
      <c r="P18" s="26" t="n">
        <v>1085</v>
      </c>
      <c r="Q18" s="26"/>
      <c r="R18" s="26"/>
      <c r="S18" s="149" t="n">
        <f aca="false">SUM(P18:R18)</f>
        <v>1085</v>
      </c>
      <c r="T18" s="81" t="n">
        <f aca="false">+S18-O18</f>
        <v>-909</v>
      </c>
      <c r="U18" s="81" t="n">
        <f aca="false">U17+T18</f>
        <v>3807</v>
      </c>
      <c r="V18" s="146" t="n">
        <v>1308</v>
      </c>
      <c r="W18" s="26" t="n">
        <v>542</v>
      </c>
      <c r="X18" s="26"/>
      <c r="Y18" s="26"/>
      <c r="Z18" s="148" t="n">
        <f aca="false">SUM(W18:Y18)</f>
        <v>542</v>
      </c>
      <c r="AA18" s="81" t="n">
        <f aca="false">+Z18-V18</f>
        <v>-766</v>
      </c>
      <c r="AB18" s="87" t="n">
        <f aca="false">+AB17+AA18</f>
        <v>-10002</v>
      </c>
      <c r="AC18" s="150" t="n">
        <v>177</v>
      </c>
      <c r="AD18" s="147" t="n">
        <v>361</v>
      </c>
      <c r="AE18" s="147"/>
      <c r="AF18" s="147"/>
      <c r="AG18" s="147" t="n">
        <f aca="false">SUM(AD18:AF18)</f>
        <v>361</v>
      </c>
      <c r="AH18" s="151" t="n">
        <f aca="false">+AG18-AC18</f>
        <v>184</v>
      </c>
      <c r="AI18" s="152" t="n">
        <f aca="false">AI17+AH18</f>
        <v>-798</v>
      </c>
      <c r="AJ18" s="150" t="n">
        <v>9422</v>
      </c>
      <c r="AK18" s="147" t="n">
        <f aca="false">17255+3070+3285+3587</f>
        <v>27197</v>
      </c>
      <c r="AL18" s="147" t="n">
        <v>1503</v>
      </c>
      <c r="AM18" s="147" t="n">
        <v>10000</v>
      </c>
      <c r="AN18" s="147" t="n">
        <f aca="false">SUM(AK18:AM18)</f>
        <v>38700</v>
      </c>
      <c r="AO18" s="151" t="n">
        <f aca="false">+AN18-AJ18</f>
        <v>29278</v>
      </c>
      <c r="AP18" s="152" t="n">
        <f aca="false">AP17+AO18</f>
        <v>57335</v>
      </c>
      <c r="AQ18" s="147" t="n">
        <v>0</v>
      </c>
      <c r="AR18" s="147" t="n">
        <v>0</v>
      </c>
      <c r="AS18" s="147"/>
      <c r="AT18" s="147"/>
      <c r="AU18" s="147" t="n">
        <f aca="false">SUM(AR18:AT18)</f>
        <v>0</v>
      </c>
      <c r="AV18" s="151" t="n">
        <f aca="false">+AU18-AQ18</f>
        <v>0</v>
      </c>
      <c r="AW18" s="152" t="n">
        <f aca="false">AW17+AV18</f>
        <v>0</v>
      </c>
      <c r="AX18" s="150" t="n">
        <v>204</v>
      </c>
      <c r="AY18" s="147" t="n">
        <v>886</v>
      </c>
      <c r="AZ18" s="147"/>
      <c r="BA18" s="147"/>
      <c r="BB18" s="147" t="n">
        <f aca="false">SUM(AY18:BA18)</f>
        <v>886</v>
      </c>
      <c r="BC18" s="151" t="n">
        <f aca="false">+BB18-AX18</f>
        <v>682</v>
      </c>
      <c r="BD18" s="152" t="n">
        <f aca="false">BD17+BC18</f>
        <v>-10</v>
      </c>
      <c r="BE18" s="150" t="n">
        <v>308</v>
      </c>
      <c r="BF18" s="147" t="n">
        <v>904</v>
      </c>
      <c r="BG18" s="147"/>
      <c r="BH18" s="147"/>
      <c r="BI18" s="147" t="n">
        <f aca="false">SUM(BF18:BH18)</f>
        <v>904</v>
      </c>
      <c r="BJ18" s="151" t="n">
        <f aca="false">+BI18-BE18</f>
        <v>596</v>
      </c>
      <c r="BK18" s="152" t="n">
        <f aca="false">BK17+BJ18</f>
        <v>203</v>
      </c>
      <c r="BL18" s="158" t="n">
        <v>10235</v>
      </c>
      <c r="BM18" s="154" t="n">
        <v>0</v>
      </c>
      <c r="BN18" s="154"/>
      <c r="BO18" s="154" t="n">
        <v>10000</v>
      </c>
      <c r="BP18" s="154" t="n">
        <f aca="false">SUM(BM18:BO18)</f>
        <v>10000</v>
      </c>
      <c r="BQ18" s="155" t="n">
        <f aca="false">+BP18-BL18</f>
        <v>-235</v>
      </c>
      <c r="BR18" s="152" t="n">
        <f aca="false">BR17+BQ18</f>
        <v>-11010</v>
      </c>
      <c r="BS18" s="154"/>
      <c r="BT18" s="154"/>
      <c r="BU18" s="154"/>
      <c r="BV18" s="154"/>
      <c r="BW18" s="154" t="n">
        <f aca="false">SUM(BT18:BV18)</f>
        <v>0</v>
      </c>
      <c r="BX18" s="155" t="n">
        <f aca="false">+BW18-BS18</f>
        <v>0</v>
      </c>
      <c r="BY18" s="152" t="n">
        <f aca="false">BY17+BX18</f>
        <v>0</v>
      </c>
      <c r="BZ18" s="154"/>
      <c r="CA18" s="154"/>
      <c r="CB18" s="154"/>
      <c r="CC18" s="154"/>
      <c r="CD18" s="154" t="n">
        <f aca="false">SUM(CA18:CC18)</f>
        <v>0</v>
      </c>
      <c r="CE18" s="155" t="n">
        <f aca="false">+CD18-BZ18</f>
        <v>0</v>
      </c>
      <c r="CF18" s="152" t="n">
        <f aca="false">CF17+CE18</f>
        <v>0</v>
      </c>
      <c r="CG18" s="154"/>
      <c r="CH18" s="154"/>
      <c r="CI18" s="154"/>
      <c r="CJ18" s="154"/>
      <c r="CK18" s="154" t="n">
        <f aca="false">SUM(CH18:CJ18)</f>
        <v>0</v>
      </c>
      <c r="CL18" s="155" t="n">
        <f aca="false">+CK18-CG18</f>
        <v>0</v>
      </c>
      <c r="CM18" s="152" t="n">
        <f aca="false">CM17+CL18</f>
        <v>0</v>
      </c>
      <c r="CN18" s="81" t="n">
        <f aca="false">+C18+O18+V18+AC18+AJ18+AQ18+AX18+BE18+BL18+BS18+BZ18+CG18</f>
        <v>27188</v>
      </c>
      <c r="CO18" s="81" t="n">
        <f aca="false">+L18+S18+Z18+AG18+AN18+AU18+BB18+BI18+BP18+BW18+CD18+CK18</f>
        <v>69944</v>
      </c>
      <c r="CP18" s="81" t="n">
        <f aca="false">CO18-CN18</f>
        <v>42756</v>
      </c>
      <c r="CQ18" s="152" t="n">
        <f aca="false">CQ17+CP18</f>
        <v>112705</v>
      </c>
      <c r="CR18" s="87"/>
      <c r="CS18" s="87"/>
      <c r="CT18" s="111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</row>
    <row r="19" customFormat="false" ht="12.75" hidden="false" customHeight="false" outlineLevel="0" collapsed="false">
      <c r="A19" s="80" t="n">
        <f aca="false">+BaseloadMarkets!A19</f>
        <v>36721</v>
      </c>
      <c r="B19" s="80" t="str">
        <f aca="false">+BaseloadMarkets!B19</f>
        <v>Fri</v>
      </c>
      <c r="C19" s="146" t="n">
        <v>5803</v>
      </c>
      <c r="D19" s="26" t="n">
        <v>0</v>
      </c>
      <c r="E19" s="26" t="n">
        <v>10508</v>
      </c>
      <c r="F19" s="26" t="n">
        <v>1000</v>
      </c>
      <c r="G19" s="26"/>
      <c r="H19" s="147" t="n">
        <f aca="false">+Border!AD17</f>
        <v>0</v>
      </c>
      <c r="I19" s="26"/>
      <c r="J19" s="26"/>
      <c r="K19" s="26"/>
      <c r="L19" s="148" t="n">
        <f aca="false">SUM(D19:K19)</f>
        <v>11508</v>
      </c>
      <c r="M19" s="81" t="n">
        <f aca="false">+L19-C19</f>
        <v>5705</v>
      </c>
      <c r="N19" s="81" t="n">
        <f aca="false">N18+M19</f>
        <v>78885</v>
      </c>
      <c r="O19" s="146" t="n">
        <v>1632</v>
      </c>
      <c r="P19" s="26" t="n">
        <v>2327</v>
      </c>
      <c r="Q19" s="26"/>
      <c r="R19" s="26"/>
      <c r="S19" s="149" t="n">
        <f aca="false">SUM(P19:R19)</f>
        <v>2327</v>
      </c>
      <c r="T19" s="81" t="n">
        <f aca="false">+S19-O19</f>
        <v>695</v>
      </c>
      <c r="U19" s="81" t="n">
        <f aca="false">U18+T19</f>
        <v>4502</v>
      </c>
      <c r="V19" s="146" t="n">
        <v>1406</v>
      </c>
      <c r="W19" s="26" t="n">
        <v>6656</v>
      </c>
      <c r="X19" s="26"/>
      <c r="Y19" s="26"/>
      <c r="Z19" s="148" t="n">
        <f aca="false">SUM(W19:Y19)</f>
        <v>6656</v>
      </c>
      <c r="AA19" s="81" t="n">
        <f aca="false">+Z19-V19</f>
        <v>5250</v>
      </c>
      <c r="AB19" s="87" t="n">
        <f aca="false">+AB18+AA19</f>
        <v>-4752</v>
      </c>
      <c r="AC19" s="150" t="n">
        <v>157</v>
      </c>
      <c r="AD19" s="147" t="n">
        <v>1397</v>
      </c>
      <c r="AE19" s="147"/>
      <c r="AF19" s="147"/>
      <c r="AG19" s="147" t="n">
        <f aca="false">SUM(AD19:AF19)</f>
        <v>1397</v>
      </c>
      <c r="AH19" s="151" t="n">
        <f aca="false">+AG19-AC19</f>
        <v>1240</v>
      </c>
      <c r="AI19" s="152" t="n">
        <f aca="false">AI18+AH19</f>
        <v>442</v>
      </c>
      <c r="AJ19" s="150" t="n">
        <v>8534</v>
      </c>
      <c r="AK19" s="147" t="n">
        <v>2259</v>
      </c>
      <c r="AL19" s="147" t="n">
        <v>10980</v>
      </c>
      <c r="AM19" s="147"/>
      <c r="AN19" s="147" t="n">
        <f aca="false">SUM(AK19:AM19)</f>
        <v>13239</v>
      </c>
      <c r="AO19" s="151" t="n">
        <f aca="false">+AN19-AJ19</f>
        <v>4705</v>
      </c>
      <c r="AP19" s="152" t="n">
        <f aca="false">AP18+AO19</f>
        <v>62040</v>
      </c>
      <c r="AQ19" s="147" t="n">
        <v>0</v>
      </c>
      <c r="AR19" s="147" t="n">
        <v>0</v>
      </c>
      <c r="AS19" s="147"/>
      <c r="AT19" s="147"/>
      <c r="AU19" s="147" t="n">
        <f aca="false">SUM(AR19:AT19)</f>
        <v>0</v>
      </c>
      <c r="AV19" s="151" t="n">
        <f aca="false">+AU19-AQ19</f>
        <v>0</v>
      </c>
      <c r="AW19" s="152" t="n">
        <f aca="false">AW18+AV19</f>
        <v>0</v>
      </c>
      <c r="AX19" s="150" t="n">
        <v>213</v>
      </c>
      <c r="AY19" s="147" t="n">
        <v>1397</v>
      </c>
      <c r="AZ19" s="147"/>
      <c r="BA19" s="147"/>
      <c r="BB19" s="147" t="n">
        <f aca="false">SUM(AY19:BA19)</f>
        <v>1397</v>
      </c>
      <c r="BC19" s="151" t="n">
        <f aca="false">+BB19-AX19</f>
        <v>1184</v>
      </c>
      <c r="BD19" s="152" t="n">
        <f aca="false">BD18+BC19</f>
        <v>1174</v>
      </c>
      <c r="BE19" s="150" t="n">
        <v>286</v>
      </c>
      <c r="BF19" s="147" t="n">
        <v>1862</v>
      </c>
      <c r="BG19" s="147"/>
      <c r="BH19" s="147"/>
      <c r="BI19" s="147" t="n">
        <f aca="false">SUM(BF19:BH19)</f>
        <v>1862</v>
      </c>
      <c r="BJ19" s="151" t="n">
        <f aca="false">+BI19-BE19</f>
        <v>1576</v>
      </c>
      <c r="BK19" s="152" t="n">
        <f aca="false">BK18+BJ19</f>
        <v>1779</v>
      </c>
      <c r="BL19" s="158" t="n">
        <v>11983</v>
      </c>
      <c r="BM19" s="154" t="n">
        <v>27087</v>
      </c>
      <c r="BN19" s="154"/>
      <c r="BO19" s="154"/>
      <c r="BP19" s="154" t="n">
        <f aca="false">SUM(BM19:BO19)</f>
        <v>27087</v>
      </c>
      <c r="BQ19" s="155" t="n">
        <f aca="false">+BP19-BL19</f>
        <v>15104</v>
      </c>
      <c r="BR19" s="152" t="n">
        <f aca="false">BR18+BQ19</f>
        <v>4094</v>
      </c>
      <c r="BS19" s="154"/>
      <c r="BT19" s="154"/>
      <c r="BU19" s="154"/>
      <c r="BV19" s="154"/>
      <c r="BW19" s="154" t="n">
        <f aca="false">SUM(BT19:BV19)</f>
        <v>0</v>
      </c>
      <c r="BX19" s="155" t="n">
        <f aca="false">+BW19-BS19</f>
        <v>0</v>
      </c>
      <c r="BY19" s="152" t="n">
        <f aca="false">BY18+BX19</f>
        <v>0</v>
      </c>
      <c r="BZ19" s="154"/>
      <c r="CA19" s="154"/>
      <c r="CB19" s="154"/>
      <c r="CC19" s="154"/>
      <c r="CD19" s="154" t="n">
        <f aca="false">SUM(CA19:CC19)</f>
        <v>0</v>
      </c>
      <c r="CE19" s="155" t="n">
        <f aca="false">+CD19-BZ19</f>
        <v>0</v>
      </c>
      <c r="CF19" s="152" t="n">
        <f aca="false">CF18+CE19</f>
        <v>0</v>
      </c>
      <c r="CG19" s="154"/>
      <c r="CH19" s="154"/>
      <c r="CI19" s="154"/>
      <c r="CJ19" s="154"/>
      <c r="CK19" s="154" t="n">
        <f aca="false">SUM(CH19:CJ19)</f>
        <v>0</v>
      </c>
      <c r="CL19" s="155" t="n">
        <f aca="false">+CK19-CG19</f>
        <v>0</v>
      </c>
      <c r="CM19" s="152" t="n">
        <f aca="false">CM18+CL19</f>
        <v>0</v>
      </c>
      <c r="CN19" s="81" t="n">
        <f aca="false">+C19+O19+V19+AC19+AJ19+AQ19+AX19+BE19+BL19+BS19+BZ19+CG19</f>
        <v>30014</v>
      </c>
      <c r="CO19" s="81" t="n">
        <f aca="false">+L19+S19+Z19+AG19+AN19+AU19+BB19+BI19+BP19+BW19+CD19+CK19</f>
        <v>65473</v>
      </c>
      <c r="CP19" s="81" t="n">
        <f aca="false">CO19-CN19</f>
        <v>35459</v>
      </c>
      <c r="CQ19" s="152" t="n">
        <f aca="false">CQ18+CP19</f>
        <v>148164</v>
      </c>
      <c r="CR19" s="87"/>
      <c r="CS19" s="87"/>
      <c r="CT19" s="111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</row>
    <row r="20" customFormat="false" ht="12.75" hidden="false" customHeight="false" outlineLevel="0" collapsed="false">
      <c r="A20" s="80" t="n">
        <f aca="false">+BaseloadMarkets!A20</f>
        <v>36722</v>
      </c>
      <c r="B20" s="80" t="str">
        <f aca="false">+BaseloadMarkets!B20</f>
        <v>Sat</v>
      </c>
      <c r="C20" s="146" t="n">
        <v>5350</v>
      </c>
      <c r="D20" s="26" t="n">
        <v>0</v>
      </c>
      <c r="E20" s="26" t="n">
        <v>2000</v>
      </c>
      <c r="F20" s="26" t="n">
        <v>1000</v>
      </c>
      <c r="G20" s="26"/>
      <c r="H20" s="147" t="n">
        <f aca="false">+Border!AD18</f>
        <v>0</v>
      </c>
      <c r="I20" s="26"/>
      <c r="J20" s="26"/>
      <c r="K20" s="26"/>
      <c r="L20" s="148" t="n">
        <f aca="false">SUM(D20:K20)</f>
        <v>3000</v>
      </c>
      <c r="M20" s="81" t="n">
        <f aca="false">+L20-C20</f>
        <v>-2350</v>
      </c>
      <c r="N20" s="81" t="n">
        <f aca="false">N19+M20</f>
        <v>76535</v>
      </c>
      <c r="O20" s="146" t="n">
        <v>752</v>
      </c>
      <c r="P20" s="26" t="n">
        <v>1298</v>
      </c>
      <c r="Q20" s="26"/>
      <c r="R20" s="26"/>
      <c r="S20" s="149" t="n">
        <f aca="false">SUM(P20:R20)</f>
        <v>1298</v>
      </c>
      <c r="T20" s="81" t="n">
        <f aca="false">+S20-O20</f>
        <v>546</v>
      </c>
      <c r="U20" s="81" t="n">
        <f aca="false">U19+T20</f>
        <v>5048</v>
      </c>
      <c r="V20" s="146" t="n">
        <v>1257</v>
      </c>
      <c r="W20" s="26" t="n">
        <v>843</v>
      </c>
      <c r="X20" s="26"/>
      <c r="Y20" s="26"/>
      <c r="Z20" s="148" t="n">
        <f aca="false">SUM(W20:Y20)</f>
        <v>843</v>
      </c>
      <c r="AA20" s="81" t="n">
        <f aca="false">+Z20-V20</f>
        <v>-414</v>
      </c>
      <c r="AB20" s="87" t="n">
        <f aca="false">+AB19+AA20</f>
        <v>-5166</v>
      </c>
      <c r="AC20" s="150" t="n">
        <v>170</v>
      </c>
      <c r="AD20" s="147" t="n">
        <v>0</v>
      </c>
      <c r="AE20" s="147"/>
      <c r="AF20" s="147"/>
      <c r="AG20" s="147" t="n">
        <f aca="false">SUM(AD20:AF20)</f>
        <v>0</v>
      </c>
      <c r="AH20" s="151" t="n">
        <f aca="false">+AG20-AC20</f>
        <v>-170</v>
      </c>
      <c r="AI20" s="152" t="n">
        <f aca="false">AI19+AH20</f>
        <v>272</v>
      </c>
      <c r="AJ20" s="150" t="n">
        <v>6025</v>
      </c>
      <c r="AK20" s="147" t="n">
        <f aca="false">6210+2259</f>
        <v>8469</v>
      </c>
      <c r="AL20" s="147" t="n">
        <v>980</v>
      </c>
      <c r="AM20" s="147"/>
      <c r="AN20" s="147" t="n">
        <f aca="false">SUM(AK20:AM20)</f>
        <v>9449</v>
      </c>
      <c r="AO20" s="151" t="n">
        <f aca="false">+AN20-AJ20</f>
        <v>3424</v>
      </c>
      <c r="AP20" s="152" t="n">
        <f aca="false">AP19+AO20</f>
        <v>65464</v>
      </c>
      <c r="AQ20" s="147" t="n">
        <v>0</v>
      </c>
      <c r="AR20" s="147" t="n">
        <v>0</v>
      </c>
      <c r="AS20" s="147"/>
      <c r="AT20" s="147"/>
      <c r="AU20" s="147" t="n">
        <f aca="false">SUM(AR20:AT20)</f>
        <v>0</v>
      </c>
      <c r="AV20" s="151" t="n">
        <f aca="false">+AU20-AQ20</f>
        <v>0</v>
      </c>
      <c r="AW20" s="152" t="n">
        <f aca="false">AW19+AV20</f>
        <v>0</v>
      </c>
      <c r="AX20" s="150" t="n">
        <v>31</v>
      </c>
      <c r="AY20" s="147" t="n">
        <v>0</v>
      </c>
      <c r="AZ20" s="147"/>
      <c r="BA20" s="147"/>
      <c r="BB20" s="147" t="n">
        <f aca="false">SUM(AY20:BA20)</f>
        <v>0</v>
      </c>
      <c r="BC20" s="151" t="n">
        <f aca="false">+BB20-AX20</f>
        <v>-31</v>
      </c>
      <c r="BD20" s="152" t="n">
        <f aca="false">BD19+BC20</f>
        <v>1143</v>
      </c>
      <c r="BE20" s="150" t="n">
        <v>132</v>
      </c>
      <c r="BF20" s="147" t="n">
        <v>0</v>
      </c>
      <c r="BG20" s="147"/>
      <c r="BH20" s="147"/>
      <c r="BI20" s="147" t="n">
        <f aca="false">SUM(BF20:BH20)</f>
        <v>0</v>
      </c>
      <c r="BJ20" s="151" t="n">
        <f aca="false">+BI20-BE20</f>
        <v>-132</v>
      </c>
      <c r="BK20" s="152" t="n">
        <f aca="false">BK19+BJ20</f>
        <v>1647</v>
      </c>
      <c r="BL20" s="158" t="n">
        <v>13034</v>
      </c>
      <c r="BM20" s="154" t="n">
        <v>0</v>
      </c>
      <c r="BN20" s="154"/>
      <c r="BO20" s="154"/>
      <c r="BP20" s="154" t="n">
        <f aca="false">SUM(BM20:BO20)</f>
        <v>0</v>
      </c>
      <c r="BQ20" s="155" t="n">
        <f aca="false">+BP20-BL20</f>
        <v>-13034</v>
      </c>
      <c r="BR20" s="152" t="n">
        <f aca="false">BR19+BQ20</f>
        <v>-8940</v>
      </c>
      <c r="BS20" s="154"/>
      <c r="BT20" s="154"/>
      <c r="BU20" s="154"/>
      <c r="BV20" s="154"/>
      <c r="BW20" s="154" t="n">
        <f aca="false">SUM(BT20:BV20)</f>
        <v>0</v>
      </c>
      <c r="BX20" s="155" t="n">
        <f aca="false">+BW20-BS20</f>
        <v>0</v>
      </c>
      <c r="BY20" s="152" t="n">
        <f aca="false">BY19+BX20</f>
        <v>0</v>
      </c>
      <c r="BZ20" s="154"/>
      <c r="CA20" s="154"/>
      <c r="CB20" s="154"/>
      <c r="CC20" s="154"/>
      <c r="CD20" s="154" t="n">
        <f aca="false">SUM(CA20:CC20)</f>
        <v>0</v>
      </c>
      <c r="CE20" s="155" t="n">
        <f aca="false">+CD20-BZ20</f>
        <v>0</v>
      </c>
      <c r="CF20" s="152" t="n">
        <f aca="false">CF19+CE20</f>
        <v>0</v>
      </c>
      <c r="CG20" s="154"/>
      <c r="CH20" s="154"/>
      <c r="CI20" s="154"/>
      <c r="CJ20" s="154"/>
      <c r="CK20" s="154" t="n">
        <f aca="false">SUM(CH20:CJ20)</f>
        <v>0</v>
      </c>
      <c r="CL20" s="155" t="n">
        <f aca="false">+CK20-CG20</f>
        <v>0</v>
      </c>
      <c r="CM20" s="152" t="n">
        <f aca="false">CM19+CL20</f>
        <v>0</v>
      </c>
      <c r="CN20" s="81" t="n">
        <f aca="false">+C20+O20+V20+AC20+AJ20+AQ20+AX20+BE20+BL20+BS20+BZ20+CG20</f>
        <v>26751</v>
      </c>
      <c r="CO20" s="81" t="n">
        <f aca="false">+L20+S20+Z20+AG20+AN20+AU20+BB20+BI20+BP20+BW20+CD20+CK20</f>
        <v>14590</v>
      </c>
      <c r="CP20" s="81" t="n">
        <f aca="false">CO20-CN20</f>
        <v>-12161</v>
      </c>
      <c r="CQ20" s="152" t="n">
        <f aca="false">CQ19+CP20</f>
        <v>136003</v>
      </c>
      <c r="CR20" s="87"/>
      <c r="CS20" s="87"/>
      <c r="CT20" s="111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</row>
    <row r="21" customFormat="false" ht="12.75" hidden="false" customHeight="false" outlineLevel="0" collapsed="false">
      <c r="A21" s="80" t="n">
        <f aca="false">+BaseloadMarkets!A21</f>
        <v>36723</v>
      </c>
      <c r="B21" s="80" t="str">
        <f aca="false">+BaseloadMarkets!B21</f>
        <v>Sun</v>
      </c>
      <c r="C21" s="146" t="n">
        <v>3980</v>
      </c>
      <c r="D21" s="26" t="n">
        <v>0</v>
      </c>
      <c r="E21" s="26" t="n">
        <v>2000</v>
      </c>
      <c r="F21" s="26" t="n">
        <v>1000</v>
      </c>
      <c r="G21" s="26"/>
      <c r="H21" s="147" t="n">
        <f aca="false">+Border!AD19</f>
        <v>0</v>
      </c>
      <c r="I21" s="26"/>
      <c r="J21" s="26"/>
      <c r="K21" s="26"/>
      <c r="L21" s="148" t="n">
        <f aca="false">SUM(D21:K21)</f>
        <v>3000</v>
      </c>
      <c r="M21" s="81" t="n">
        <f aca="false">+L21-C21</f>
        <v>-980</v>
      </c>
      <c r="N21" s="81" t="n">
        <f aca="false">N20+M21</f>
        <v>75555</v>
      </c>
      <c r="O21" s="146" t="n">
        <v>1212</v>
      </c>
      <c r="P21" s="26" t="n">
        <v>1228</v>
      </c>
      <c r="Q21" s="26"/>
      <c r="R21" s="26"/>
      <c r="S21" s="149" t="n">
        <f aca="false">SUM(P21:R21)</f>
        <v>1228</v>
      </c>
      <c r="T21" s="81" t="n">
        <f aca="false">+S21-O21</f>
        <v>16</v>
      </c>
      <c r="U21" s="81" t="n">
        <f aca="false">U20+T21</f>
        <v>5064</v>
      </c>
      <c r="V21" s="146" t="n">
        <v>1259</v>
      </c>
      <c r="W21" s="26" t="n">
        <v>798</v>
      </c>
      <c r="X21" s="26"/>
      <c r="Y21" s="26"/>
      <c r="Z21" s="148" t="n">
        <f aca="false">SUM(W21:Y21)</f>
        <v>798</v>
      </c>
      <c r="AA21" s="81" t="n">
        <f aca="false">+Z21-V21</f>
        <v>-461</v>
      </c>
      <c r="AB21" s="87" t="n">
        <f aca="false">+AB20+AA21</f>
        <v>-5627</v>
      </c>
      <c r="AC21" s="150" t="n">
        <v>28</v>
      </c>
      <c r="AD21" s="147" t="n">
        <v>0</v>
      </c>
      <c r="AE21" s="147"/>
      <c r="AF21" s="147"/>
      <c r="AG21" s="147" t="n">
        <f aca="false">SUM(AD21:AF21)</f>
        <v>0</v>
      </c>
      <c r="AH21" s="151" t="n">
        <f aca="false">+AG21-AC21</f>
        <v>-28</v>
      </c>
      <c r="AI21" s="152" t="n">
        <f aca="false">AI20+AH21</f>
        <v>244</v>
      </c>
      <c r="AJ21" s="150" t="n">
        <v>9078</v>
      </c>
      <c r="AK21" s="147" t="n">
        <f aca="false">2259+5880</f>
        <v>8139</v>
      </c>
      <c r="AL21" s="147" t="n">
        <v>980</v>
      </c>
      <c r="AM21" s="147"/>
      <c r="AN21" s="147" t="n">
        <f aca="false">SUM(AK21:AM21)</f>
        <v>9119</v>
      </c>
      <c r="AO21" s="151" t="n">
        <f aca="false">+AN21-AJ21</f>
        <v>41</v>
      </c>
      <c r="AP21" s="152" t="n">
        <f aca="false">AP20+AO21</f>
        <v>65505</v>
      </c>
      <c r="AQ21" s="147" t="n">
        <v>0</v>
      </c>
      <c r="AR21" s="147" t="n">
        <v>0</v>
      </c>
      <c r="AS21" s="147"/>
      <c r="AT21" s="147"/>
      <c r="AU21" s="147" t="n">
        <f aca="false">SUM(AR21:AT21)</f>
        <v>0</v>
      </c>
      <c r="AV21" s="151" t="n">
        <f aca="false">+AU21-AQ21</f>
        <v>0</v>
      </c>
      <c r="AW21" s="152" t="n">
        <f aca="false">AW20+AV21</f>
        <v>0</v>
      </c>
      <c r="AX21" s="150" t="n">
        <v>0</v>
      </c>
      <c r="AY21" s="147" t="n">
        <v>0</v>
      </c>
      <c r="AZ21" s="147"/>
      <c r="BA21" s="147"/>
      <c r="BB21" s="147" t="n">
        <f aca="false">SUM(AY21:BA21)</f>
        <v>0</v>
      </c>
      <c r="BC21" s="151" t="n">
        <f aca="false">+BB21-AX21</f>
        <v>0</v>
      </c>
      <c r="BD21" s="152" t="n">
        <f aca="false">BD20+BC21</f>
        <v>1143</v>
      </c>
      <c r="BE21" s="150" t="n">
        <v>25</v>
      </c>
      <c r="BF21" s="147" t="n">
        <v>0</v>
      </c>
      <c r="BG21" s="147"/>
      <c r="BH21" s="147"/>
      <c r="BI21" s="147" t="n">
        <f aca="false">SUM(BF21:BH21)</f>
        <v>0</v>
      </c>
      <c r="BJ21" s="151" t="n">
        <f aca="false">+BI21-BE21</f>
        <v>-25</v>
      </c>
      <c r="BK21" s="152" t="n">
        <f aca="false">BK20+BJ21</f>
        <v>1622</v>
      </c>
      <c r="BL21" s="158" t="n">
        <v>4507</v>
      </c>
      <c r="BM21" s="154" t="n">
        <v>0</v>
      </c>
      <c r="BN21" s="154"/>
      <c r="BO21" s="154"/>
      <c r="BP21" s="154" t="n">
        <f aca="false">SUM(BM21:BO21)</f>
        <v>0</v>
      </c>
      <c r="BQ21" s="155" t="n">
        <f aca="false">+BP21-BL21</f>
        <v>-4507</v>
      </c>
      <c r="BR21" s="152" t="n">
        <f aca="false">BR20+BQ21</f>
        <v>-13447</v>
      </c>
      <c r="BS21" s="154"/>
      <c r="BT21" s="154"/>
      <c r="BU21" s="154"/>
      <c r="BV21" s="154"/>
      <c r="BW21" s="154" t="n">
        <f aca="false">SUM(BT21:BV21)</f>
        <v>0</v>
      </c>
      <c r="BX21" s="155" t="n">
        <f aca="false">+BW21-BS21</f>
        <v>0</v>
      </c>
      <c r="BY21" s="152" t="n">
        <f aca="false">BY20+BX21</f>
        <v>0</v>
      </c>
      <c r="BZ21" s="154"/>
      <c r="CA21" s="154"/>
      <c r="CB21" s="154"/>
      <c r="CC21" s="154"/>
      <c r="CD21" s="154" t="n">
        <f aca="false">SUM(CA21:CC21)</f>
        <v>0</v>
      </c>
      <c r="CE21" s="155" t="n">
        <f aca="false">+CD21-BZ21</f>
        <v>0</v>
      </c>
      <c r="CF21" s="152" t="n">
        <f aca="false">CF20+CE21</f>
        <v>0</v>
      </c>
      <c r="CG21" s="154"/>
      <c r="CH21" s="154"/>
      <c r="CI21" s="154"/>
      <c r="CJ21" s="154"/>
      <c r="CK21" s="154" t="n">
        <f aca="false">SUM(CH21:CJ21)</f>
        <v>0</v>
      </c>
      <c r="CL21" s="155" t="n">
        <f aca="false">+CK21-CG21</f>
        <v>0</v>
      </c>
      <c r="CM21" s="152" t="n">
        <f aca="false">CM20+CL21</f>
        <v>0</v>
      </c>
      <c r="CN21" s="81" t="n">
        <f aca="false">+C21+O21+V21+AC21+AJ21+AQ21+AX21+BE21+BL21+BS21+BZ21+CG21</f>
        <v>20089</v>
      </c>
      <c r="CO21" s="81" t="n">
        <f aca="false">+L21+S21+Z21+AG21+AN21+AU21+BB21+BI21+BP21+BW21+CD21+CK21</f>
        <v>14145</v>
      </c>
      <c r="CP21" s="81" t="n">
        <f aca="false">CO21-CN21</f>
        <v>-5944</v>
      </c>
      <c r="CQ21" s="152" t="n">
        <f aca="false">CQ20+CP21</f>
        <v>130059</v>
      </c>
      <c r="CR21" s="87"/>
      <c r="CS21" s="87"/>
      <c r="CT21" s="111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</row>
    <row r="22" customFormat="false" ht="12.75" hidden="false" customHeight="false" outlineLevel="0" collapsed="false">
      <c r="A22" s="80" t="n">
        <f aca="false">+BaseloadMarkets!A22</f>
        <v>36724</v>
      </c>
      <c r="B22" s="80" t="str">
        <f aca="false">+BaseloadMarkets!B22</f>
        <v>Mon</v>
      </c>
      <c r="C22" s="146" t="n">
        <v>3590</v>
      </c>
      <c r="D22" s="26" t="n">
        <v>0</v>
      </c>
      <c r="E22" s="26" t="n">
        <v>2000</v>
      </c>
      <c r="F22" s="26" t="n">
        <v>1000</v>
      </c>
      <c r="G22" s="26"/>
      <c r="H22" s="147" t="n">
        <f aca="false">+Border!AD20</f>
        <v>0</v>
      </c>
      <c r="I22" s="26"/>
      <c r="J22" s="26"/>
      <c r="K22" s="26"/>
      <c r="L22" s="148" t="n">
        <f aca="false">SUM(D22:K22)</f>
        <v>3000</v>
      </c>
      <c r="M22" s="81" t="n">
        <f aca="false">+L22-C22</f>
        <v>-590</v>
      </c>
      <c r="N22" s="81" t="n">
        <f aca="false">N21+M22</f>
        <v>74965</v>
      </c>
      <c r="O22" s="146" t="n">
        <v>2044</v>
      </c>
      <c r="P22" s="26" t="n">
        <f aca="false">1197-48</f>
        <v>1149</v>
      </c>
      <c r="Q22" s="26"/>
      <c r="R22" s="26"/>
      <c r="S22" s="149" t="n">
        <f aca="false">SUM(P22:R22)</f>
        <v>1149</v>
      </c>
      <c r="T22" s="81" t="n">
        <f aca="false">+S22-O22</f>
        <v>-895</v>
      </c>
      <c r="U22" s="81" t="n">
        <f aca="false">U21+T22</f>
        <v>4169</v>
      </c>
      <c r="V22" s="146" t="n">
        <v>989</v>
      </c>
      <c r="W22" s="26" t="n">
        <v>778</v>
      </c>
      <c r="X22" s="26"/>
      <c r="Y22" s="26"/>
      <c r="Z22" s="148" t="n">
        <f aca="false">SUM(W22:Y22)</f>
        <v>778</v>
      </c>
      <c r="AA22" s="81" t="n">
        <f aca="false">+Z22-V22</f>
        <v>-211</v>
      </c>
      <c r="AB22" s="87" t="n">
        <f aca="false">+AB21+AA22</f>
        <v>-5838</v>
      </c>
      <c r="AC22" s="150" t="n">
        <v>96</v>
      </c>
      <c r="AD22" s="147" t="n">
        <v>0</v>
      </c>
      <c r="AE22" s="147"/>
      <c r="AF22" s="147"/>
      <c r="AG22" s="147" t="n">
        <f aca="false">SUM(AD22:AF22)</f>
        <v>0</v>
      </c>
      <c r="AH22" s="151" t="n">
        <f aca="false">+AG22-AC22</f>
        <v>-96</v>
      </c>
      <c r="AI22" s="152" t="n">
        <f aca="false">AI21+AH22</f>
        <v>148</v>
      </c>
      <c r="AJ22" s="150" t="n">
        <v>9378</v>
      </c>
      <c r="AK22" s="147" t="n">
        <f aca="false">5730+2259</f>
        <v>7989</v>
      </c>
      <c r="AL22" s="147" t="n">
        <v>980</v>
      </c>
      <c r="AM22" s="147"/>
      <c r="AN22" s="147" t="n">
        <f aca="false">SUM(AK22:AM22)</f>
        <v>8969</v>
      </c>
      <c r="AO22" s="151" t="n">
        <f aca="false">+AN22-AJ22</f>
        <v>-409</v>
      </c>
      <c r="AP22" s="152" t="n">
        <f aca="false">AP21+AO22</f>
        <v>65096</v>
      </c>
      <c r="AQ22" s="147" t="n">
        <v>0</v>
      </c>
      <c r="AR22" s="147" t="n">
        <v>0</v>
      </c>
      <c r="AS22" s="147"/>
      <c r="AT22" s="147"/>
      <c r="AU22" s="147" t="n">
        <f aca="false">SUM(AR22:AT22)</f>
        <v>0</v>
      </c>
      <c r="AV22" s="151" t="n">
        <f aca="false">+AU22-AQ22</f>
        <v>0</v>
      </c>
      <c r="AW22" s="152" t="n">
        <f aca="false">AW21+AV22</f>
        <v>0</v>
      </c>
      <c r="AX22" s="150" t="n">
        <v>135</v>
      </c>
      <c r="AY22" s="147" t="n">
        <v>0</v>
      </c>
      <c r="AZ22" s="147"/>
      <c r="BA22" s="147"/>
      <c r="BB22" s="147" t="n">
        <f aca="false">SUM(AY22:BA22)</f>
        <v>0</v>
      </c>
      <c r="BC22" s="151" t="n">
        <f aca="false">+BB22-AX22</f>
        <v>-135</v>
      </c>
      <c r="BD22" s="152" t="n">
        <f aca="false">BD21+BC22</f>
        <v>1008</v>
      </c>
      <c r="BE22" s="150" t="n">
        <v>246</v>
      </c>
      <c r="BF22" s="147" t="n">
        <v>0</v>
      </c>
      <c r="BG22" s="147"/>
      <c r="BH22" s="147"/>
      <c r="BI22" s="147" t="n">
        <f aca="false">SUM(BF22:BH22)</f>
        <v>0</v>
      </c>
      <c r="BJ22" s="151" t="n">
        <f aca="false">+BI22-BE22</f>
        <v>-246</v>
      </c>
      <c r="BK22" s="152" t="n">
        <f aca="false">BK21+BJ22</f>
        <v>1376</v>
      </c>
      <c r="BL22" s="158" t="n">
        <v>11383</v>
      </c>
      <c r="BM22" s="154" t="n">
        <v>0</v>
      </c>
      <c r="BN22" s="154"/>
      <c r="BO22" s="154"/>
      <c r="BP22" s="154" t="n">
        <f aca="false">SUM(BM22:BO22)</f>
        <v>0</v>
      </c>
      <c r="BQ22" s="155" t="n">
        <f aca="false">+BP22-BL22</f>
        <v>-11383</v>
      </c>
      <c r="BR22" s="152" t="n">
        <f aca="false">BR21+BQ22</f>
        <v>-24830</v>
      </c>
      <c r="BS22" s="154"/>
      <c r="BT22" s="154"/>
      <c r="BU22" s="154"/>
      <c r="BV22" s="154"/>
      <c r="BW22" s="154" t="n">
        <f aca="false">SUM(BT22:BV22)</f>
        <v>0</v>
      </c>
      <c r="BX22" s="155" t="n">
        <f aca="false">+BW22-BS22</f>
        <v>0</v>
      </c>
      <c r="BY22" s="152" t="n">
        <f aca="false">BY21+BX22</f>
        <v>0</v>
      </c>
      <c r="BZ22" s="154"/>
      <c r="CA22" s="154"/>
      <c r="CB22" s="154"/>
      <c r="CC22" s="154"/>
      <c r="CD22" s="154" t="n">
        <f aca="false">SUM(CA22:CC22)</f>
        <v>0</v>
      </c>
      <c r="CE22" s="155" t="n">
        <f aca="false">+CD22-BZ22</f>
        <v>0</v>
      </c>
      <c r="CF22" s="152" t="n">
        <f aca="false">CF21+CE22</f>
        <v>0</v>
      </c>
      <c r="CG22" s="154"/>
      <c r="CH22" s="154"/>
      <c r="CI22" s="154"/>
      <c r="CJ22" s="154"/>
      <c r="CK22" s="154" t="n">
        <f aca="false">SUM(CH22:CJ22)</f>
        <v>0</v>
      </c>
      <c r="CL22" s="155" t="n">
        <f aca="false">+CK22-CG22</f>
        <v>0</v>
      </c>
      <c r="CM22" s="152" t="n">
        <f aca="false">CM21+CL22</f>
        <v>0</v>
      </c>
      <c r="CN22" s="81" t="n">
        <f aca="false">+C22+O22+V22+AC22+AJ22+AQ22+AX22+BE22+BL22+BS22+BZ22+CG22</f>
        <v>27861</v>
      </c>
      <c r="CO22" s="81" t="n">
        <f aca="false">+L22+S22+Z22+AG22+AN22+AU22+BB22+BI22+BP22+BW22+CD22+CK22</f>
        <v>13896</v>
      </c>
      <c r="CP22" s="81" t="n">
        <f aca="false">CO22-CN22</f>
        <v>-13965</v>
      </c>
      <c r="CQ22" s="152" t="n">
        <f aca="false">CQ21+CP22</f>
        <v>116094</v>
      </c>
      <c r="CR22" s="87"/>
      <c r="CS22" s="87"/>
      <c r="CT22" s="111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</row>
    <row r="23" customFormat="false" ht="12.75" hidden="false" customHeight="false" outlineLevel="0" collapsed="false">
      <c r="A23" s="80" t="n">
        <f aca="false">+BaseloadMarkets!A23</f>
        <v>36725</v>
      </c>
      <c r="B23" s="80" t="str">
        <f aca="false">+BaseloadMarkets!B23</f>
        <v>Tues</v>
      </c>
      <c r="C23" s="146" t="n">
        <v>15826</v>
      </c>
      <c r="D23" s="26" t="n">
        <v>1507</v>
      </c>
      <c r="E23" s="26" t="n">
        <v>10096</v>
      </c>
      <c r="F23" s="26" t="n">
        <v>1000</v>
      </c>
      <c r="G23" s="26"/>
      <c r="H23" s="147" t="n">
        <f aca="false">+Border!AD21</f>
        <v>0</v>
      </c>
      <c r="I23" s="26"/>
      <c r="J23" s="26"/>
      <c r="K23" s="26"/>
      <c r="L23" s="148" t="n">
        <f aca="false">SUM(D23:K23)</f>
        <v>12603</v>
      </c>
      <c r="M23" s="81" t="n">
        <f aca="false">+L23-C23</f>
        <v>-3223</v>
      </c>
      <c r="N23" s="81" t="n">
        <f aca="false">N22+M23</f>
        <v>71742</v>
      </c>
      <c r="O23" s="146" t="n">
        <v>2258</v>
      </c>
      <c r="P23" s="26" t="n">
        <v>0</v>
      </c>
      <c r="Q23" s="26"/>
      <c r="R23" s="26"/>
      <c r="S23" s="149" t="n">
        <f aca="false">SUM(P23:R23)</f>
        <v>0</v>
      </c>
      <c r="T23" s="81" t="n">
        <f aca="false">+S23-O23</f>
        <v>-2258</v>
      </c>
      <c r="U23" s="81" t="n">
        <f aca="false">U22+T23</f>
        <v>1911</v>
      </c>
      <c r="V23" s="146" t="n">
        <v>1458</v>
      </c>
      <c r="W23" s="26" t="n">
        <v>0</v>
      </c>
      <c r="X23" s="26"/>
      <c r="Y23" s="26"/>
      <c r="Z23" s="148" t="n">
        <f aca="false">SUM(W23:Y23)</f>
        <v>0</v>
      </c>
      <c r="AA23" s="81" t="n">
        <f aca="false">+Z23-V23</f>
        <v>-1458</v>
      </c>
      <c r="AB23" s="87" t="n">
        <f aca="false">+AB22+AA23</f>
        <v>-7296</v>
      </c>
      <c r="AC23" s="150" t="n">
        <v>173</v>
      </c>
      <c r="AD23" s="147" t="n">
        <v>0</v>
      </c>
      <c r="AE23" s="147"/>
      <c r="AF23" s="147"/>
      <c r="AG23" s="147" t="n">
        <f aca="false">SUM(AD23:AF23)</f>
        <v>0</v>
      </c>
      <c r="AH23" s="151" t="n">
        <f aca="false">+AG23-AC23</f>
        <v>-173</v>
      </c>
      <c r="AI23" s="152" t="n">
        <f aca="false">AI22+AH23</f>
        <v>-25</v>
      </c>
      <c r="AJ23" s="150" t="n">
        <v>9444</v>
      </c>
      <c r="AK23" s="147" t="n">
        <v>2259</v>
      </c>
      <c r="AL23" s="147" t="n">
        <v>8528</v>
      </c>
      <c r="AM23" s="147"/>
      <c r="AN23" s="147" t="n">
        <f aca="false">SUM(AK23:AM23)</f>
        <v>10787</v>
      </c>
      <c r="AO23" s="151" t="n">
        <f aca="false">+AN23-AJ23</f>
        <v>1343</v>
      </c>
      <c r="AP23" s="152" t="n">
        <f aca="false">AP22+AO23</f>
        <v>66439</v>
      </c>
      <c r="AQ23" s="147" t="n">
        <v>0</v>
      </c>
      <c r="AR23" s="147" t="n">
        <v>0</v>
      </c>
      <c r="AS23" s="147"/>
      <c r="AT23" s="147"/>
      <c r="AU23" s="147" t="n">
        <f aca="false">SUM(AR23:AT23)</f>
        <v>0</v>
      </c>
      <c r="AV23" s="151" t="n">
        <f aca="false">+AU23-AQ23</f>
        <v>0</v>
      </c>
      <c r="AW23" s="152" t="n">
        <f aca="false">AW22+AV23</f>
        <v>0</v>
      </c>
      <c r="AX23" s="150" t="n">
        <v>197</v>
      </c>
      <c r="AY23" s="147" t="n">
        <v>0</v>
      </c>
      <c r="AZ23" s="147"/>
      <c r="BA23" s="147"/>
      <c r="BB23" s="147" t="n">
        <f aca="false">SUM(AY23:BA23)</f>
        <v>0</v>
      </c>
      <c r="BC23" s="151" t="n">
        <f aca="false">+BB23-AX23</f>
        <v>-197</v>
      </c>
      <c r="BD23" s="152" t="n">
        <f aca="false">BD22+BC23</f>
        <v>811</v>
      </c>
      <c r="BE23" s="150" t="n">
        <v>306</v>
      </c>
      <c r="BF23" s="147" t="n">
        <v>0</v>
      </c>
      <c r="BG23" s="147"/>
      <c r="BH23" s="147"/>
      <c r="BI23" s="147" t="n">
        <f aca="false">SUM(BF23:BH23)</f>
        <v>0</v>
      </c>
      <c r="BJ23" s="151" t="n">
        <f aca="false">+BI23-BE23</f>
        <v>-306</v>
      </c>
      <c r="BK23" s="152" t="n">
        <f aca="false">BK22+BJ23</f>
        <v>1070</v>
      </c>
      <c r="BL23" s="158" t="n">
        <v>17215</v>
      </c>
      <c r="BM23" s="154" t="n">
        <v>16015</v>
      </c>
      <c r="BN23" s="154"/>
      <c r="BO23" s="154"/>
      <c r="BP23" s="154" t="n">
        <f aca="false">SUM(BM23:BO23)</f>
        <v>16015</v>
      </c>
      <c r="BQ23" s="155" t="n">
        <f aca="false">+BP23-BL23</f>
        <v>-1200</v>
      </c>
      <c r="BR23" s="152" t="n">
        <f aca="false">BR22+BQ23</f>
        <v>-26030</v>
      </c>
      <c r="BS23" s="154"/>
      <c r="BT23" s="154"/>
      <c r="BU23" s="154"/>
      <c r="BV23" s="154"/>
      <c r="BW23" s="154" t="n">
        <f aca="false">SUM(BT23:BV23)</f>
        <v>0</v>
      </c>
      <c r="BX23" s="155" t="n">
        <f aca="false">+BW23-BS23</f>
        <v>0</v>
      </c>
      <c r="BY23" s="152" t="n">
        <f aca="false">BY22+BX23</f>
        <v>0</v>
      </c>
      <c r="BZ23" s="154"/>
      <c r="CA23" s="154"/>
      <c r="CB23" s="154"/>
      <c r="CC23" s="154"/>
      <c r="CD23" s="154" t="n">
        <f aca="false">SUM(CA23:CC23)</f>
        <v>0</v>
      </c>
      <c r="CE23" s="155" t="n">
        <f aca="false">+CD23-BZ23</f>
        <v>0</v>
      </c>
      <c r="CF23" s="152" t="n">
        <f aca="false">CF22+CE23</f>
        <v>0</v>
      </c>
      <c r="CG23" s="154"/>
      <c r="CH23" s="154"/>
      <c r="CI23" s="154"/>
      <c r="CJ23" s="154"/>
      <c r="CK23" s="154" t="n">
        <f aca="false">SUM(CH23:CJ23)</f>
        <v>0</v>
      </c>
      <c r="CL23" s="155" t="n">
        <f aca="false">+CK23-CG23</f>
        <v>0</v>
      </c>
      <c r="CM23" s="152" t="n">
        <f aca="false">CM22+CL23</f>
        <v>0</v>
      </c>
      <c r="CN23" s="81" t="n">
        <f aca="false">+C23+O23+V23+AC23+AJ23+AQ23+AX23+BE23+BL23+BS23+BZ23+CG23</f>
        <v>46877</v>
      </c>
      <c r="CO23" s="81" t="n">
        <f aca="false">+L23+S23+Z23+AG23+AN23+AU23+BB23+BI23+BP23+BW23+CD23+CK23</f>
        <v>39405</v>
      </c>
      <c r="CP23" s="81" t="n">
        <f aca="false">CO23-CN23</f>
        <v>-7472</v>
      </c>
      <c r="CQ23" s="152" t="n">
        <f aca="false">CQ22+CP23</f>
        <v>108622</v>
      </c>
      <c r="CR23" s="87"/>
      <c r="CS23" s="87"/>
      <c r="CT23" s="111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</row>
    <row r="24" customFormat="false" ht="12.75" hidden="false" customHeight="false" outlineLevel="0" collapsed="false">
      <c r="A24" s="80" t="n">
        <f aca="false">+BaseloadMarkets!A24</f>
        <v>36726</v>
      </c>
      <c r="B24" s="80" t="str">
        <f aca="false">+BaseloadMarkets!B24</f>
        <v>Wed</v>
      </c>
      <c r="C24" s="146" t="n">
        <v>16372</v>
      </c>
      <c r="D24" s="26" t="n">
        <v>0</v>
      </c>
      <c r="E24" s="26" t="n">
        <v>2000</v>
      </c>
      <c r="F24" s="26" t="n">
        <v>1000</v>
      </c>
      <c r="G24" s="26"/>
      <c r="H24" s="147" t="n">
        <f aca="false">+Border!AD22</f>
        <v>0</v>
      </c>
      <c r="I24" s="26"/>
      <c r="J24" s="26"/>
      <c r="K24" s="26"/>
      <c r="L24" s="148" t="n">
        <f aca="false">SUM(D24:K24)</f>
        <v>3000</v>
      </c>
      <c r="M24" s="81" t="n">
        <f aca="false">+L24-C24</f>
        <v>-13372</v>
      </c>
      <c r="N24" s="81" t="n">
        <f aca="false">N23+M24</f>
        <v>58370</v>
      </c>
      <c r="O24" s="146" t="n">
        <v>1773</v>
      </c>
      <c r="P24" s="26" t="n">
        <v>0</v>
      </c>
      <c r="Q24" s="26"/>
      <c r="R24" s="26"/>
      <c r="S24" s="149" t="n">
        <f aca="false">SUM(P24:R24)</f>
        <v>0</v>
      </c>
      <c r="T24" s="81" t="n">
        <f aca="false">+S24-O24</f>
        <v>-1773</v>
      </c>
      <c r="U24" s="81" t="n">
        <f aca="false">U23+T24</f>
        <v>138</v>
      </c>
      <c r="V24" s="146" t="n">
        <v>1285</v>
      </c>
      <c r="W24" s="26" t="n">
        <v>0</v>
      </c>
      <c r="X24" s="26"/>
      <c r="Y24" s="26"/>
      <c r="Z24" s="148" t="n">
        <f aca="false">SUM(W24:Y24)</f>
        <v>0</v>
      </c>
      <c r="AA24" s="81" t="n">
        <f aca="false">+Z24-V24</f>
        <v>-1285</v>
      </c>
      <c r="AB24" s="87" t="n">
        <f aca="false">+AB23+AA24</f>
        <v>-8581</v>
      </c>
      <c r="AC24" s="150" t="n">
        <v>132</v>
      </c>
      <c r="AD24" s="147" t="n">
        <v>0</v>
      </c>
      <c r="AE24" s="147"/>
      <c r="AF24" s="147"/>
      <c r="AG24" s="147" t="n">
        <f aca="false">SUM(AD24:AF24)</f>
        <v>0</v>
      </c>
      <c r="AH24" s="151" t="n">
        <f aca="false">+AG24-AC24</f>
        <v>-132</v>
      </c>
      <c r="AI24" s="152" t="n">
        <f aca="false">AI23+AH24</f>
        <v>-157</v>
      </c>
      <c r="AJ24" s="150" t="n">
        <v>9446</v>
      </c>
      <c r="AK24" s="147" t="n">
        <v>0</v>
      </c>
      <c r="AL24" s="147" t="n">
        <v>980</v>
      </c>
      <c r="AM24" s="147"/>
      <c r="AN24" s="147" t="n">
        <f aca="false">SUM(AK24:AM24)</f>
        <v>980</v>
      </c>
      <c r="AO24" s="151" t="n">
        <f aca="false">+AN24-AJ24</f>
        <v>-8466</v>
      </c>
      <c r="AP24" s="152" t="n">
        <f aca="false">AP23+AO24</f>
        <v>57973</v>
      </c>
      <c r="AQ24" s="147" t="n">
        <v>0</v>
      </c>
      <c r="AR24" s="147" t="n">
        <v>0</v>
      </c>
      <c r="AS24" s="147"/>
      <c r="AT24" s="147"/>
      <c r="AU24" s="147" t="n">
        <f aca="false">SUM(AR24:AT24)</f>
        <v>0</v>
      </c>
      <c r="AV24" s="151" t="n">
        <f aca="false">+AU24-AQ24</f>
        <v>0</v>
      </c>
      <c r="AW24" s="152" t="n">
        <f aca="false">AW23+AV24</f>
        <v>0</v>
      </c>
      <c r="AX24" s="150" t="n">
        <v>186</v>
      </c>
      <c r="AY24" s="147" t="n">
        <v>0</v>
      </c>
      <c r="AZ24" s="147"/>
      <c r="BA24" s="147"/>
      <c r="BB24" s="147" t="n">
        <f aca="false">SUM(AY24:BA24)</f>
        <v>0</v>
      </c>
      <c r="BC24" s="151" t="n">
        <f aca="false">+BB24-AX24</f>
        <v>-186</v>
      </c>
      <c r="BD24" s="152" t="n">
        <f aca="false">BD23+BC24</f>
        <v>625</v>
      </c>
      <c r="BE24" s="150" t="n">
        <v>262</v>
      </c>
      <c r="BF24" s="147" t="n">
        <v>0</v>
      </c>
      <c r="BG24" s="147"/>
      <c r="BH24" s="147"/>
      <c r="BI24" s="147" t="n">
        <f aca="false">SUM(BF24:BH24)</f>
        <v>0</v>
      </c>
      <c r="BJ24" s="151" t="n">
        <f aca="false">+BI24-BE24</f>
        <v>-262</v>
      </c>
      <c r="BK24" s="152" t="n">
        <f aca="false">BK23+BJ24</f>
        <v>808</v>
      </c>
      <c r="BL24" s="158" t="n">
        <v>15830</v>
      </c>
      <c r="BM24" s="154" t="n">
        <f aca="false">1734+3896+2560+2259</f>
        <v>10449</v>
      </c>
      <c r="BN24" s="154"/>
      <c r="BO24" s="154"/>
      <c r="BP24" s="154" t="n">
        <f aca="false">SUM(BM24:BO24)</f>
        <v>10449</v>
      </c>
      <c r="BQ24" s="155" t="n">
        <f aca="false">+BP24-BL24</f>
        <v>-5381</v>
      </c>
      <c r="BR24" s="152" t="n">
        <f aca="false">BR23+BQ24</f>
        <v>-31411</v>
      </c>
      <c r="BS24" s="154"/>
      <c r="BT24" s="154"/>
      <c r="BU24" s="154"/>
      <c r="BV24" s="154"/>
      <c r="BW24" s="154" t="n">
        <f aca="false">SUM(BT24:BV24)</f>
        <v>0</v>
      </c>
      <c r="BX24" s="155" t="n">
        <f aca="false">+BW24-BS24</f>
        <v>0</v>
      </c>
      <c r="BY24" s="152" t="n">
        <f aca="false">BY23+BX24</f>
        <v>0</v>
      </c>
      <c r="BZ24" s="154"/>
      <c r="CA24" s="154"/>
      <c r="CB24" s="154"/>
      <c r="CC24" s="154"/>
      <c r="CD24" s="154" t="n">
        <f aca="false">SUM(CA24:CC24)</f>
        <v>0</v>
      </c>
      <c r="CE24" s="155" t="n">
        <f aca="false">+CD24-BZ24</f>
        <v>0</v>
      </c>
      <c r="CF24" s="152" t="n">
        <f aca="false">CF23+CE24</f>
        <v>0</v>
      </c>
      <c r="CG24" s="154"/>
      <c r="CH24" s="154"/>
      <c r="CI24" s="154"/>
      <c r="CJ24" s="154"/>
      <c r="CK24" s="154" t="n">
        <f aca="false">SUM(CH24:CJ24)</f>
        <v>0</v>
      </c>
      <c r="CL24" s="155" t="n">
        <f aca="false">+CK24-CG24</f>
        <v>0</v>
      </c>
      <c r="CM24" s="152" t="n">
        <f aca="false">CM23+CL24</f>
        <v>0</v>
      </c>
      <c r="CN24" s="81" t="n">
        <f aca="false">+C24+O24+V24+AC24+AJ24+AQ24+AX24+BE24+BL24+BS24+BZ24+CG24</f>
        <v>45286</v>
      </c>
      <c r="CO24" s="81" t="n">
        <f aca="false">+L24+S24+Z24+AG24+AN24+AU24+BB24+BI24+BP24+BW24+CD24+CK24</f>
        <v>14429</v>
      </c>
      <c r="CP24" s="81" t="n">
        <f aca="false">CO24-CN24</f>
        <v>-30857</v>
      </c>
      <c r="CQ24" s="152" t="n">
        <f aca="false">CQ23+CP24</f>
        <v>77765</v>
      </c>
      <c r="CR24" s="87"/>
      <c r="CS24" s="87"/>
      <c r="CT24" s="111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</row>
    <row r="25" customFormat="false" ht="12.75" hidden="false" customHeight="false" outlineLevel="0" collapsed="false">
      <c r="A25" s="80" t="n">
        <f aca="false">+BaseloadMarkets!A25</f>
        <v>36727</v>
      </c>
      <c r="B25" s="80" t="str">
        <f aca="false">+BaseloadMarkets!B25</f>
        <v>Thu</v>
      </c>
      <c r="C25" s="146" t="n">
        <v>14206</v>
      </c>
      <c r="D25" s="26" t="n">
        <v>0</v>
      </c>
      <c r="E25" s="26" t="n">
        <v>1466</v>
      </c>
      <c r="F25" s="26" t="n">
        <v>1000</v>
      </c>
      <c r="G25" s="26"/>
      <c r="H25" s="147" t="n">
        <f aca="false">+Border!AD23</f>
        <v>0</v>
      </c>
      <c r="I25" s="26"/>
      <c r="J25" s="26"/>
      <c r="K25" s="26"/>
      <c r="L25" s="148" t="n">
        <f aca="false">SUM(D25:K25)</f>
        <v>2466</v>
      </c>
      <c r="M25" s="81" t="n">
        <f aca="false">+L25-C25</f>
        <v>-11740</v>
      </c>
      <c r="N25" s="81" t="n">
        <f aca="false">N24+M25</f>
        <v>46630</v>
      </c>
      <c r="O25" s="146" t="n">
        <v>2234</v>
      </c>
      <c r="P25" s="26" t="n">
        <v>3098</v>
      </c>
      <c r="Q25" s="26"/>
      <c r="R25" s="26"/>
      <c r="S25" s="149" t="n">
        <f aca="false">SUM(P25:R25)</f>
        <v>3098</v>
      </c>
      <c r="T25" s="81" t="n">
        <f aca="false">+S25-O25</f>
        <v>864</v>
      </c>
      <c r="U25" s="81" t="n">
        <f aca="false">U24+T25</f>
        <v>1002</v>
      </c>
      <c r="V25" s="146" t="n">
        <v>1386</v>
      </c>
      <c r="W25" s="26" t="n">
        <v>964</v>
      </c>
      <c r="X25" s="26"/>
      <c r="Y25" s="26"/>
      <c r="Z25" s="148" t="n">
        <f aca="false">SUM(W25:Y25)</f>
        <v>964</v>
      </c>
      <c r="AA25" s="81" t="n">
        <f aca="false">+Z25-V25</f>
        <v>-422</v>
      </c>
      <c r="AB25" s="87" t="n">
        <f aca="false">+AB24+AA25</f>
        <v>-9003</v>
      </c>
      <c r="AC25" s="150" t="n">
        <v>174</v>
      </c>
      <c r="AD25" s="147" t="n">
        <v>0</v>
      </c>
      <c r="AE25" s="147"/>
      <c r="AF25" s="147"/>
      <c r="AG25" s="147" t="n">
        <f aca="false">SUM(AD25:AF25)</f>
        <v>0</v>
      </c>
      <c r="AH25" s="151" t="n">
        <f aca="false">+AG25-AC25</f>
        <v>-174</v>
      </c>
      <c r="AI25" s="152" t="n">
        <f aca="false">AI24+AH25</f>
        <v>-331</v>
      </c>
      <c r="AJ25" s="150" t="n">
        <v>9798</v>
      </c>
      <c r="AK25" s="147" t="n">
        <v>0</v>
      </c>
      <c r="AL25" s="147" t="n">
        <v>1514</v>
      </c>
      <c r="AM25" s="147"/>
      <c r="AN25" s="147" t="n">
        <f aca="false">SUM(AK25:AM25)</f>
        <v>1514</v>
      </c>
      <c r="AO25" s="151" t="n">
        <f aca="false">+AN25-AJ25</f>
        <v>-8284</v>
      </c>
      <c r="AP25" s="152" t="n">
        <f aca="false">AP24+AO25</f>
        <v>49689</v>
      </c>
      <c r="AQ25" s="147" t="n">
        <v>0</v>
      </c>
      <c r="AR25" s="147" t="n">
        <v>0</v>
      </c>
      <c r="AS25" s="147"/>
      <c r="AT25" s="147"/>
      <c r="AU25" s="147" t="n">
        <f aca="false">SUM(AR25:AT25)</f>
        <v>0</v>
      </c>
      <c r="AV25" s="151" t="n">
        <f aca="false">+AU25-AQ25</f>
        <v>0</v>
      </c>
      <c r="AW25" s="152" t="n">
        <f aca="false">AW24+AV25</f>
        <v>0</v>
      </c>
      <c r="AX25" s="150" t="n">
        <v>202</v>
      </c>
      <c r="AY25" s="147" t="n">
        <v>0</v>
      </c>
      <c r="AZ25" s="147"/>
      <c r="BA25" s="147"/>
      <c r="BB25" s="147" t="n">
        <f aca="false">SUM(AY25:BA25)</f>
        <v>0</v>
      </c>
      <c r="BC25" s="151" t="n">
        <f aca="false">+BB25-AX25</f>
        <v>-202</v>
      </c>
      <c r="BD25" s="152" t="n">
        <f aca="false">BD24+BC25</f>
        <v>423</v>
      </c>
      <c r="BE25" s="150" t="n">
        <v>300</v>
      </c>
      <c r="BF25" s="147" t="n">
        <v>0</v>
      </c>
      <c r="BG25" s="147"/>
      <c r="BH25" s="147"/>
      <c r="BI25" s="147" t="n">
        <f aca="false">SUM(BF25:BH25)</f>
        <v>0</v>
      </c>
      <c r="BJ25" s="151" t="n">
        <f aca="false">+BI25-BE25</f>
        <v>-300</v>
      </c>
      <c r="BK25" s="152" t="n">
        <f aca="false">BK24+BJ25</f>
        <v>508</v>
      </c>
      <c r="BL25" s="158" t="n">
        <v>11130</v>
      </c>
      <c r="BM25" s="154" t="n">
        <f aca="false">6210+1269+12259</f>
        <v>19738</v>
      </c>
      <c r="BN25" s="154"/>
      <c r="BO25" s="154"/>
      <c r="BP25" s="154" t="n">
        <f aca="false">SUM(BM25:BO25)</f>
        <v>19738</v>
      </c>
      <c r="BQ25" s="155" t="n">
        <f aca="false">+BP25-BL25</f>
        <v>8608</v>
      </c>
      <c r="BR25" s="152" t="n">
        <f aca="false">BR24+BQ25</f>
        <v>-22803</v>
      </c>
      <c r="BS25" s="154"/>
      <c r="BT25" s="154"/>
      <c r="BU25" s="154"/>
      <c r="BV25" s="154"/>
      <c r="BW25" s="154" t="n">
        <f aca="false">SUM(BT25:BV25)</f>
        <v>0</v>
      </c>
      <c r="BX25" s="155" t="n">
        <f aca="false">+BW25-BS25</f>
        <v>0</v>
      </c>
      <c r="BY25" s="152" t="n">
        <f aca="false">BY24+BX25</f>
        <v>0</v>
      </c>
      <c r="BZ25" s="154"/>
      <c r="CA25" s="154"/>
      <c r="CB25" s="154"/>
      <c r="CC25" s="154"/>
      <c r="CD25" s="154" t="n">
        <f aca="false">SUM(CA25:CC25)</f>
        <v>0</v>
      </c>
      <c r="CE25" s="155" t="n">
        <f aca="false">+CD25-BZ25</f>
        <v>0</v>
      </c>
      <c r="CF25" s="152" t="n">
        <f aca="false">CF24+CE25</f>
        <v>0</v>
      </c>
      <c r="CG25" s="154"/>
      <c r="CH25" s="154"/>
      <c r="CI25" s="154"/>
      <c r="CJ25" s="154"/>
      <c r="CK25" s="154" t="n">
        <f aca="false">SUM(CH25:CJ25)</f>
        <v>0</v>
      </c>
      <c r="CL25" s="155" t="n">
        <f aca="false">+CK25-CG25</f>
        <v>0</v>
      </c>
      <c r="CM25" s="152" t="n">
        <f aca="false">CM24+CL25</f>
        <v>0</v>
      </c>
      <c r="CN25" s="81" t="n">
        <f aca="false">+C25+O25+V25+AC25+AJ25+AQ25+AX25+BE25+BL25+BS25+BZ25+CG25</f>
        <v>39430</v>
      </c>
      <c r="CO25" s="81" t="n">
        <f aca="false">+L25+S25+Z25+AG25+AN25+AU25+BB25+BI25+BP25+BW25+CD25+CK25</f>
        <v>27780</v>
      </c>
      <c r="CP25" s="81" t="n">
        <f aca="false">CO25-CN25</f>
        <v>-11650</v>
      </c>
      <c r="CQ25" s="152" t="n">
        <f aca="false">CQ24+CP25</f>
        <v>66115</v>
      </c>
      <c r="CR25" s="87"/>
      <c r="CS25" s="87"/>
      <c r="CT25" s="111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</row>
    <row r="26" customFormat="false" ht="12.75" hidden="false" customHeight="false" outlineLevel="0" collapsed="false">
      <c r="A26" s="80" t="n">
        <f aca="false">+BaseloadMarkets!A26</f>
        <v>36728</v>
      </c>
      <c r="B26" s="80" t="str">
        <f aca="false">+BaseloadMarkets!B26</f>
        <v>Fri</v>
      </c>
      <c r="C26" s="146" t="n">
        <v>12302</v>
      </c>
      <c r="D26" s="26" t="n">
        <v>339</v>
      </c>
      <c r="E26" s="26" t="n">
        <v>3000</v>
      </c>
      <c r="F26" s="26" t="n">
        <v>1000</v>
      </c>
      <c r="G26" s="26"/>
      <c r="H26" s="147" t="n">
        <f aca="false">+Border!AD24</f>
        <v>0</v>
      </c>
      <c r="I26" s="26"/>
      <c r="J26" s="26"/>
      <c r="K26" s="26"/>
      <c r="L26" s="148" t="n">
        <f aca="false">SUM(D26:K26)</f>
        <v>4339</v>
      </c>
      <c r="M26" s="81" t="n">
        <f aca="false">+L26-C26</f>
        <v>-7963</v>
      </c>
      <c r="N26" s="81" t="n">
        <f aca="false">N25+M26</f>
        <v>38667</v>
      </c>
      <c r="O26" s="146" t="n">
        <v>1896</v>
      </c>
      <c r="P26" s="26" t="n">
        <v>1160</v>
      </c>
      <c r="Q26" s="26"/>
      <c r="R26" s="26"/>
      <c r="S26" s="149" t="n">
        <f aca="false">SUM(P26:R26)</f>
        <v>1160</v>
      </c>
      <c r="T26" s="81" t="n">
        <f aca="false">+S26-O26</f>
        <v>-736</v>
      </c>
      <c r="U26" s="81" t="n">
        <f aca="false">U25+T26</f>
        <v>266</v>
      </c>
      <c r="V26" s="146" t="n">
        <v>1320</v>
      </c>
      <c r="W26" s="26" t="n">
        <v>645</v>
      </c>
      <c r="X26" s="26"/>
      <c r="Y26" s="26"/>
      <c r="Z26" s="148" t="n">
        <f aca="false">SUM(W26:Y26)</f>
        <v>645</v>
      </c>
      <c r="AA26" s="81" t="n">
        <f aca="false">+Z26-V26</f>
        <v>-675</v>
      </c>
      <c r="AB26" s="87" t="n">
        <f aca="false">+AB25+AA26</f>
        <v>-9678</v>
      </c>
      <c r="AC26" s="150" t="n">
        <v>178</v>
      </c>
      <c r="AD26" s="147" t="n">
        <v>1289</v>
      </c>
      <c r="AE26" s="147"/>
      <c r="AF26" s="147"/>
      <c r="AG26" s="147" t="n">
        <f aca="false">SUM(AD26:AF26)</f>
        <v>1289</v>
      </c>
      <c r="AH26" s="151" t="n">
        <f aca="false">+AG26-AC26</f>
        <v>1111</v>
      </c>
      <c r="AI26" s="152" t="n">
        <f aca="false">AI25+AH26</f>
        <v>780</v>
      </c>
      <c r="AJ26" s="150" t="n">
        <v>9740</v>
      </c>
      <c r="AK26" s="147" t="n">
        <v>1289</v>
      </c>
      <c r="AL26" s="147" t="n">
        <v>980</v>
      </c>
      <c r="AM26" s="147"/>
      <c r="AN26" s="147" t="n">
        <f aca="false">SUM(AK26:AM26)</f>
        <v>2269</v>
      </c>
      <c r="AO26" s="151" t="n">
        <f aca="false">+AN26-AJ26</f>
        <v>-7471</v>
      </c>
      <c r="AP26" s="152" t="n">
        <f aca="false">AP25+AO26</f>
        <v>42218</v>
      </c>
      <c r="AQ26" s="147" t="n">
        <v>0</v>
      </c>
      <c r="AR26" s="147" t="n">
        <v>0</v>
      </c>
      <c r="AS26" s="147"/>
      <c r="AT26" s="147"/>
      <c r="AU26" s="147" t="n">
        <f aca="false">SUM(AR26:AT26)</f>
        <v>0</v>
      </c>
      <c r="AV26" s="151" t="n">
        <f aca="false">+AU26-AQ26</f>
        <v>0</v>
      </c>
      <c r="AW26" s="152" t="n">
        <f aca="false">AW25+AV26</f>
        <v>0</v>
      </c>
      <c r="AX26" s="150" t="n">
        <v>198</v>
      </c>
      <c r="AY26" s="147" t="n">
        <v>1289</v>
      </c>
      <c r="AZ26" s="147"/>
      <c r="BA26" s="147"/>
      <c r="BB26" s="147" t="n">
        <f aca="false">SUM(AY26:BA26)</f>
        <v>1289</v>
      </c>
      <c r="BC26" s="151" t="n">
        <f aca="false">+BB26-AX26</f>
        <v>1091</v>
      </c>
      <c r="BD26" s="152" t="n">
        <f aca="false">BD25+BC26</f>
        <v>1514</v>
      </c>
      <c r="BE26" s="150" t="n">
        <v>298</v>
      </c>
      <c r="BF26" s="147" t="n">
        <v>1289</v>
      </c>
      <c r="BG26" s="147"/>
      <c r="BH26" s="147"/>
      <c r="BI26" s="147" t="n">
        <f aca="false">SUM(BF26:BH26)</f>
        <v>1289</v>
      </c>
      <c r="BJ26" s="151" t="n">
        <f aca="false">+BI26-BE26</f>
        <v>991</v>
      </c>
      <c r="BK26" s="152" t="n">
        <f aca="false">BK25+BJ26</f>
        <v>1499</v>
      </c>
      <c r="BL26" s="158" t="n">
        <v>12062</v>
      </c>
      <c r="BM26" s="154" t="n">
        <f aca="false">431+3401+6679</f>
        <v>10511</v>
      </c>
      <c r="BN26" s="154"/>
      <c r="BO26" s="154"/>
      <c r="BP26" s="154" t="n">
        <f aca="false">SUM(BM26:BO26)</f>
        <v>10511</v>
      </c>
      <c r="BQ26" s="155" t="n">
        <f aca="false">+BP26-BL26</f>
        <v>-1551</v>
      </c>
      <c r="BR26" s="152" t="n">
        <f aca="false">BR25+BQ26</f>
        <v>-24354</v>
      </c>
      <c r="BS26" s="154"/>
      <c r="BT26" s="154"/>
      <c r="BU26" s="154"/>
      <c r="BV26" s="154"/>
      <c r="BW26" s="154" t="n">
        <f aca="false">SUM(BT26:BV26)</f>
        <v>0</v>
      </c>
      <c r="BX26" s="155" t="n">
        <f aca="false">+BW26-BS26</f>
        <v>0</v>
      </c>
      <c r="BY26" s="152" t="n">
        <f aca="false">BY25+BX26</f>
        <v>0</v>
      </c>
      <c r="BZ26" s="154"/>
      <c r="CA26" s="154"/>
      <c r="CB26" s="154"/>
      <c r="CC26" s="154"/>
      <c r="CD26" s="154" t="n">
        <f aca="false">SUM(CA26:CC26)</f>
        <v>0</v>
      </c>
      <c r="CE26" s="155" t="n">
        <f aca="false">+CD26-BZ26</f>
        <v>0</v>
      </c>
      <c r="CF26" s="152" t="n">
        <f aca="false">CF25+CE26</f>
        <v>0</v>
      </c>
      <c r="CG26" s="154"/>
      <c r="CH26" s="154"/>
      <c r="CI26" s="154"/>
      <c r="CJ26" s="154"/>
      <c r="CK26" s="154" t="n">
        <f aca="false">SUM(CH26:CJ26)</f>
        <v>0</v>
      </c>
      <c r="CL26" s="155" t="n">
        <f aca="false">+CK26-CG26</f>
        <v>0</v>
      </c>
      <c r="CM26" s="152" t="n">
        <f aca="false">CM25+CL26</f>
        <v>0</v>
      </c>
      <c r="CN26" s="81" t="n">
        <f aca="false">+C26+O26+V26+AC26+AJ26+AQ26+AX26+BE26+BL26+BS26+BZ26+CG26</f>
        <v>37994</v>
      </c>
      <c r="CO26" s="81" t="n">
        <f aca="false">+L26+S26+Z26+AG26+AN26+AU26+BB26+BI26+BP26+BW26+CD26+CK26</f>
        <v>22791</v>
      </c>
      <c r="CP26" s="81" t="n">
        <f aca="false">CO26-CN26</f>
        <v>-15203</v>
      </c>
      <c r="CQ26" s="152" t="n">
        <f aca="false">CQ25+CP26</f>
        <v>50912</v>
      </c>
      <c r="CR26" s="87"/>
      <c r="CS26" s="87"/>
      <c r="CT26" s="111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</row>
    <row r="27" customFormat="false" ht="12.75" hidden="false" customHeight="false" outlineLevel="0" collapsed="false">
      <c r="A27" s="80" t="n">
        <f aca="false">+BaseloadMarkets!A27</f>
        <v>36729</v>
      </c>
      <c r="B27" s="80" t="str">
        <f aca="false">+BaseloadMarkets!B27</f>
        <v>Sat</v>
      </c>
      <c r="C27" s="146" t="n">
        <v>13994</v>
      </c>
      <c r="D27" s="26" t="n">
        <v>0</v>
      </c>
      <c r="E27" s="26" t="n">
        <v>9423</v>
      </c>
      <c r="F27" s="26" t="n">
        <v>1000</v>
      </c>
      <c r="G27" s="26"/>
      <c r="H27" s="147" t="n">
        <f aca="false">+Border!AD25</f>
        <v>0</v>
      </c>
      <c r="I27" s="26"/>
      <c r="J27" s="26"/>
      <c r="K27" s="26"/>
      <c r="L27" s="148" t="n">
        <f aca="false">SUM(D27:K27)</f>
        <v>10423</v>
      </c>
      <c r="M27" s="81" t="n">
        <f aca="false">+L27-C27</f>
        <v>-3571</v>
      </c>
      <c r="N27" s="81" t="n">
        <f aca="false">N26+M27</f>
        <v>35096</v>
      </c>
      <c r="O27" s="146" t="n">
        <v>2615.2</v>
      </c>
      <c r="P27" s="26" t="n">
        <v>0</v>
      </c>
      <c r="Q27" s="26"/>
      <c r="R27" s="26"/>
      <c r="S27" s="149" t="n">
        <f aca="false">SUM(P27:R27)</f>
        <v>0</v>
      </c>
      <c r="T27" s="81" t="n">
        <f aca="false">+S27-O27</f>
        <v>-2615.2</v>
      </c>
      <c r="U27" s="81" t="n">
        <f aca="false">U26+T27</f>
        <v>-2349.2</v>
      </c>
      <c r="V27" s="146" t="n">
        <v>993</v>
      </c>
      <c r="W27" s="26" t="n">
        <v>0</v>
      </c>
      <c r="X27" s="26"/>
      <c r="Y27" s="26"/>
      <c r="Z27" s="148" t="n">
        <f aca="false">SUM(W27:Y27)</f>
        <v>0</v>
      </c>
      <c r="AA27" s="81" t="n">
        <f aca="false">+Z27-V27</f>
        <v>-993</v>
      </c>
      <c r="AB27" s="87" t="n">
        <f aca="false">+AB26+AA27</f>
        <v>-10671</v>
      </c>
      <c r="AC27" s="150" t="n">
        <v>193.9</v>
      </c>
      <c r="AD27" s="147" t="n">
        <v>0</v>
      </c>
      <c r="AE27" s="147"/>
      <c r="AF27" s="147"/>
      <c r="AG27" s="147" t="n">
        <f aca="false">SUM(AD27:AF27)</f>
        <v>0</v>
      </c>
      <c r="AH27" s="151" t="n">
        <f aca="false">+AG27-AC27</f>
        <v>-193.9</v>
      </c>
      <c r="AI27" s="152" t="n">
        <f aca="false">AI26+AH27</f>
        <v>586.1</v>
      </c>
      <c r="AJ27" s="150" t="n">
        <v>9232.3</v>
      </c>
      <c r="AK27" s="147" t="n">
        <v>0</v>
      </c>
      <c r="AL27" s="147" t="n">
        <v>9253</v>
      </c>
      <c r="AM27" s="147"/>
      <c r="AN27" s="147" t="n">
        <f aca="false">SUM(AK27:AM27)</f>
        <v>9253</v>
      </c>
      <c r="AO27" s="151" t="n">
        <f aca="false">+AN27-AJ27</f>
        <v>20.7000000000007</v>
      </c>
      <c r="AP27" s="152" t="n">
        <f aca="false">AP26+AO27</f>
        <v>42238.7</v>
      </c>
      <c r="AQ27" s="147" t="n">
        <v>0</v>
      </c>
      <c r="AR27" s="147" t="n">
        <v>0</v>
      </c>
      <c r="AS27" s="147"/>
      <c r="AT27" s="147"/>
      <c r="AU27" s="147" t="n">
        <f aca="false">SUM(AR27:AT27)</f>
        <v>0</v>
      </c>
      <c r="AV27" s="151" t="n">
        <f aca="false">+AU27-AQ27</f>
        <v>0</v>
      </c>
      <c r="AW27" s="152" t="n">
        <f aca="false">AW26+AV27</f>
        <v>0</v>
      </c>
      <c r="AX27" s="150" t="n">
        <v>25.9</v>
      </c>
      <c r="AY27" s="147" t="n">
        <v>0</v>
      </c>
      <c r="AZ27" s="147"/>
      <c r="BA27" s="147"/>
      <c r="BB27" s="147" t="n">
        <f aca="false">SUM(AY27:BA27)</f>
        <v>0</v>
      </c>
      <c r="BC27" s="151" t="n">
        <f aca="false">+BB27-AX27</f>
        <v>-25.9</v>
      </c>
      <c r="BD27" s="152" t="n">
        <f aca="false">BD26+BC27</f>
        <v>1488.1</v>
      </c>
      <c r="BE27" s="150" t="n">
        <v>168</v>
      </c>
      <c r="BF27" s="147" t="n">
        <v>0</v>
      </c>
      <c r="BG27" s="147"/>
      <c r="BH27" s="147"/>
      <c r="BI27" s="147" t="n">
        <f aca="false">SUM(BF27:BH27)</f>
        <v>0</v>
      </c>
      <c r="BJ27" s="151" t="n">
        <f aca="false">+BI27-BE27</f>
        <v>-168</v>
      </c>
      <c r="BK27" s="152" t="n">
        <f aca="false">BK26+BJ27</f>
        <v>1331</v>
      </c>
      <c r="BL27" s="158" t="n">
        <v>13470</v>
      </c>
      <c r="BM27" s="154" t="n">
        <v>2883</v>
      </c>
      <c r="BN27" s="154"/>
      <c r="BO27" s="154"/>
      <c r="BP27" s="154" t="n">
        <f aca="false">SUM(BM27:BO27)</f>
        <v>2883</v>
      </c>
      <c r="BQ27" s="155" t="n">
        <f aca="false">+BP27-BL27</f>
        <v>-10587</v>
      </c>
      <c r="BR27" s="152" t="n">
        <f aca="false">BR26+BQ27</f>
        <v>-34941</v>
      </c>
      <c r="BS27" s="154"/>
      <c r="BT27" s="154"/>
      <c r="BU27" s="154"/>
      <c r="BV27" s="154"/>
      <c r="BW27" s="154" t="n">
        <f aca="false">SUM(BT27:BV27)</f>
        <v>0</v>
      </c>
      <c r="BX27" s="155" t="n">
        <f aca="false">+BW27-BS27</f>
        <v>0</v>
      </c>
      <c r="BY27" s="152" t="n">
        <f aca="false">BY26+BX27</f>
        <v>0</v>
      </c>
      <c r="BZ27" s="154"/>
      <c r="CA27" s="154"/>
      <c r="CB27" s="154"/>
      <c r="CC27" s="154"/>
      <c r="CD27" s="154" t="n">
        <f aca="false">SUM(CA27:CC27)</f>
        <v>0</v>
      </c>
      <c r="CE27" s="155" t="n">
        <f aca="false">+CD27-BZ27</f>
        <v>0</v>
      </c>
      <c r="CF27" s="152" t="n">
        <f aca="false">CF26+CE27</f>
        <v>0</v>
      </c>
      <c r="CG27" s="154"/>
      <c r="CH27" s="154"/>
      <c r="CI27" s="154"/>
      <c r="CJ27" s="154"/>
      <c r="CK27" s="154" t="n">
        <f aca="false">SUM(CH27:CJ27)</f>
        <v>0</v>
      </c>
      <c r="CL27" s="155" t="n">
        <f aca="false">+CK27-CG27</f>
        <v>0</v>
      </c>
      <c r="CM27" s="152" t="n">
        <f aca="false">CM26+CL27</f>
        <v>0</v>
      </c>
      <c r="CN27" s="81" t="n">
        <f aca="false">+C27+O27+V27+AC27+AJ27+AQ27+AX27+BE27+BL27+BS27+BZ27+CG27</f>
        <v>40692.3</v>
      </c>
      <c r="CO27" s="81" t="n">
        <f aca="false">+L27+S27+Z27+AG27+AN27+AU27+BB27+BI27+BP27+BW27+CD27+CK27</f>
        <v>22559</v>
      </c>
      <c r="CP27" s="81" t="n">
        <f aca="false">CO27-CN27</f>
        <v>-18133.3</v>
      </c>
      <c r="CQ27" s="152" t="n">
        <f aca="false">CQ26+CP27</f>
        <v>32778.7</v>
      </c>
      <c r="CR27" s="87"/>
      <c r="CS27" s="87"/>
      <c r="CT27" s="111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</row>
    <row r="28" customFormat="false" ht="12.75" hidden="false" customHeight="false" outlineLevel="0" collapsed="false">
      <c r="A28" s="80" t="n">
        <f aca="false">+BaseloadMarkets!A28</f>
        <v>36730</v>
      </c>
      <c r="B28" s="80" t="str">
        <f aca="false">+BaseloadMarkets!B28</f>
        <v>Sun</v>
      </c>
      <c r="C28" s="146" t="n">
        <v>14950</v>
      </c>
      <c r="D28" s="26" t="n">
        <v>0</v>
      </c>
      <c r="E28" s="26" t="n">
        <v>13263</v>
      </c>
      <c r="F28" s="26" t="n">
        <v>1000</v>
      </c>
      <c r="G28" s="26"/>
      <c r="H28" s="147" t="n">
        <v>0</v>
      </c>
      <c r="I28" s="26"/>
      <c r="J28" s="26"/>
      <c r="K28" s="26"/>
      <c r="L28" s="148" t="n">
        <f aca="false">SUM(D28:K28)</f>
        <v>14263</v>
      </c>
      <c r="M28" s="81" t="n">
        <f aca="false">+L28-C28</f>
        <v>-687</v>
      </c>
      <c r="N28" s="81" t="n">
        <f aca="false">N27+M28</f>
        <v>34409</v>
      </c>
      <c r="O28" s="146" t="n">
        <v>2455.9</v>
      </c>
      <c r="P28" s="26" t="n">
        <v>0</v>
      </c>
      <c r="Q28" s="26"/>
      <c r="R28" s="26"/>
      <c r="S28" s="149" t="n">
        <f aca="false">SUM(P28:R28)</f>
        <v>0</v>
      </c>
      <c r="T28" s="81" t="n">
        <f aca="false">+S28-O28</f>
        <v>-2455.9</v>
      </c>
      <c r="U28" s="81" t="n">
        <f aca="false">U27+T28</f>
        <v>-4805.1</v>
      </c>
      <c r="V28" s="146" t="n">
        <v>1438</v>
      </c>
      <c r="W28" s="26" t="n">
        <v>0</v>
      </c>
      <c r="X28" s="26"/>
      <c r="Y28" s="26"/>
      <c r="Z28" s="148" t="n">
        <f aca="false">SUM(W28:Y28)</f>
        <v>0</v>
      </c>
      <c r="AA28" s="81" t="n">
        <f aca="false">+Z28-V28</f>
        <v>-1438</v>
      </c>
      <c r="AB28" s="87" t="n">
        <f aca="false">+AB27+AA28</f>
        <v>-12109</v>
      </c>
      <c r="AC28" s="150" t="n">
        <v>27</v>
      </c>
      <c r="AD28" s="147" t="n">
        <v>0</v>
      </c>
      <c r="AE28" s="147"/>
      <c r="AF28" s="147"/>
      <c r="AG28" s="147" t="n">
        <f aca="false">SUM(AD28:AF28)</f>
        <v>0</v>
      </c>
      <c r="AH28" s="151" t="n">
        <f aca="false">+AG28-AC28</f>
        <v>-27</v>
      </c>
      <c r="AI28" s="152" t="n">
        <f aca="false">AI27+AH28</f>
        <v>559.1</v>
      </c>
      <c r="AJ28" s="150" t="n">
        <v>9146.6</v>
      </c>
      <c r="AK28" s="147" t="n">
        <v>0</v>
      </c>
      <c r="AL28" s="147" t="n">
        <v>12662</v>
      </c>
      <c r="AM28" s="147"/>
      <c r="AN28" s="147" t="n">
        <f aca="false">SUM(AK28:AM28)</f>
        <v>12662</v>
      </c>
      <c r="AO28" s="151" t="n">
        <f aca="false">+AN28-AJ28</f>
        <v>3515.4</v>
      </c>
      <c r="AP28" s="152" t="n">
        <f aca="false">AP27+AO28</f>
        <v>45754.1</v>
      </c>
      <c r="AQ28" s="147" t="n">
        <v>0</v>
      </c>
      <c r="AR28" s="147" t="n">
        <v>0</v>
      </c>
      <c r="AS28" s="147"/>
      <c r="AT28" s="147"/>
      <c r="AU28" s="147" t="n">
        <f aca="false">SUM(AR28:AT28)</f>
        <v>0</v>
      </c>
      <c r="AV28" s="151" t="n">
        <f aca="false">+AU28-AQ28</f>
        <v>0</v>
      </c>
      <c r="AW28" s="152" t="n">
        <f aca="false">AW27+AV28</f>
        <v>0</v>
      </c>
      <c r="AX28" s="150" t="n">
        <v>23.2</v>
      </c>
      <c r="AY28" s="147" t="n">
        <v>0</v>
      </c>
      <c r="AZ28" s="147"/>
      <c r="BA28" s="147"/>
      <c r="BB28" s="147" t="n">
        <f aca="false">SUM(AY28:BA28)</f>
        <v>0</v>
      </c>
      <c r="BC28" s="151" t="n">
        <f aca="false">+BB28-AX28</f>
        <v>-23.2</v>
      </c>
      <c r="BD28" s="152" t="n">
        <f aca="false">BD27+BC28</f>
        <v>1464.9</v>
      </c>
      <c r="BE28" s="150" t="n">
        <v>0</v>
      </c>
      <c r="BF28" s="147" t="n">
        <v>0</v>
      </c>
      <c r="BG28" s="147"/>
      <c r="BH28" s="147"/>
      <c r="BI28" s="147" t="n">
        <f aca="false">SUM(BF28:BH28)</f>
        <v>0</v>
      </c>
      <c r="BJ28" s="151" t="n">
        <f aca="false">+BI28-BE28</f>
        <v>0</v>
      </c>
      <c r="BK28" s="152" t="n">
        <f aca="false">BK27+BJ28</f>
        <v>1331</v>
      </c>
      <c r="BL28" s="158" t="n">
        <v>14244.6</v>
      </c>
      <c r="BM28" s="154" t="n">
        <v>4174</v>
      </c>
      <c r="BN28" s="154"/>
      <c r="BO28" s="154"/>
      <c r="BP28" s="154" t="n">
        <f aca="false">SUM(BM28:BO28)</f>
        <v>4174</v>
      </c>
      <c r="BQ28" s="155" t="n">
        <f aca="false">+BP28-BL28</f>
        <v>-10070.6</v>
      </c>
      <c r="BR28" s="152" t="n">
        <f aca="false">BR27+BQ28</f>
        <v>-45011.6</v>
      </c>
      <c r="BS28" s="154"/>
      <c r="BT28" s="154"/>
      <c r="BU28" s="154"/>
      <c r="BV28" s="154"/>
      <c r="BW28" s="154" t="n">
        <f aca="false">SUM(BT28:BV28)</f>
        <v>0</v>
      </c>
      <c r="BX28" s="155" t="n">
        <f aca="false">+BW28-BS28</f>
        <v>0</v>
      </c>
      <c r="BY28" s="152" t="n">
        <f aca="false">BY27+BX28</f>
        <v>0</v>
      </c>
      <c r="BZ28" s="154"/>
      <c r="CA28" s="154"/>
      <c r="CB28" s="154"/>
      <c r="CC28" s="154"/>
      <c r="CD28" s="154" t="n">
        <f aca="false">SUM(CA28:CC28)</f>
        <v>0</v>
      </c>
      <c r="CE28" s="155" t="n">
        <f aca="false">+CD28-BZ28</f>
        <v>0</v>
      </c>
      <c r="CF28" s="152" t="n">
        <f aca="false">CF27+CE28</f>
        <v>0</v>
      </c>
      <c r="CG28" s="154"/>
      <c r="CH28" s="154"/>
      <c r="CI28" s="154"/>
      <c r="CJ28" s="154"/>
      <c r="CK28" s="154" t="n">
        <f aca="false">SUM(CH28:CJ28)</f>
        <v>0</v>
      </c>
      <c r="CL28" s="155" t="n">
        <f aca="false">+CK28-CG28</f>
        <v>0</v>
      </c>
      <c r="CM28" s="152" t="n">
        <f aca="false">CM27+CL28</f>
        <v>0</v>
      </c>
      <c r="CN28" s="81" t="n">
        <f aca="false">+C28+O28+V28+AC28+AJ28+AQ28+AX28+BE28+BL28+BS28+BZ28+CG28</f>
        <v>42285.3</v>
      </c>
      <c r="CO28" s="81" t="n">
        <f aca="false">+L28+S28+Z28+AG28+AN28+AU28+BB28+BI28+BP28+BW28+CD28+CK28</f>
        <v>31099</v>
      </c>
      <c r="CP28" s="81" t="n">
        <f aca="false">CO28-CN28</f>
        <v>-11186.3</v>
      </c>
      <c r="CQ28" s="152" t="n">
        <f aca="false">CQ27+CP28</f>
        <v>21592.4</v>
      </c>
      <c r="CR28" s="87"/>
      <c r="CS28" s="87"/>
      <c r="CT28" s="111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</row>
    <row r="29" customFormat="false" ht="12.75" hidden="false" customHeight="false" outlineLevel="0" collapsed="false">
      <c r="A29" s="80" t="n">
        <f aca="false">+BaseloadMarkets!A29</f>
        <v>36731</v>
      </c>
      <c r="B29" s="80" t="str">
        <f aca="false">+BaseloadMarkets!B29</f>
        <v>Mon</v>
      </c>
      <c r="C29" s="146" t="n">
        <v>15963</v>
      </c>
      <c r="D29" s="26" t="n">
        <v>0</v>
      </c>
      <c r="E29" s="26" t="n">
        <v>10141</v>
      </c>
      <c r="F29" s="26" t="n">
        <v>1000</v>
      </c>
      <c r="G29" s="26"/>
      <c r="H29" s="147" t="n">
        <v>0</v>
      </c>
      <c r="I29" s="26"/>
      <c r="J29" s="26"/>
      <c r="K29" s="26"/>
      <c r="L29" s="148" t="n">
        <f aca="false">SUM(D29:K29)</f>
        <v>11141</v>
      </c>
      <c r="M29" s="81" t="n">
        <f aca="false">+L29-C29</f>
        <v>-4822</v>
      </c>
      <c r="N29" s="81" t="n">
        <f aca="false">N28+M29</f>
        <v>29587</v>
      </c>
      <c r="O29" s="146" t="n">
        <v>2305.5</v>
      </c>
      <c r="P29" s="26" t="n">
        <v>0</v>
      </c>
      <c r="Q29" s="26"/>
      <c r="R29" s="26"/>
      <c r="S29" s="149" t="n">
        <f aca="false">SUM(P29:R29)</f>
        <v>0</v>
      </c>
      <c r="T29" s="81" t="n">
        <f aca="false">+S29-O29</f>
        <v>-2305.5</v>
      </c>
      <c r="U29" s="81" t="n">
        <f aca="false">U28+T29</f>
        <v>-7110.6</v>
      </c>
      <c r="V29" s="146" t="n">
        <v>424</v>
      </c>
      <c r="W29" s="26" t="n">
        <v>0</v>
      </c>
      <c r="X29" s="26"/>
      <c r="Y29" s="26"/>
      <c r="Z29" s="148" t="n">
        <f aca="false">SUM(W29:Y29)</f>
        <v>0</v>
      </c>
      <c r="AA29" s="81" t="n">
        <f aca="false">+Z29-V29</f>
        <v>-424</v>
      </c>
      <c r="AB29" s="87" t="n">
        <f aca="false">+AB28+AA29</f>
        <v>-12533</v>
      </c>
      <c r="AC29" s="150" t="n">
        <v>143.5</v>
      </c>
      <c r="AD29" s="147" t="n">
        <v>0</v>
      </c>
      <c r="AE29" s="147"/>
      <c r="AF29" s="147"/>
      <c r="AG29" s="147" t="n">
        <f aca="false">SUM(AD29:AF29)</f>
        <v>0</v>
      </c>
      <c r="AH29" s="151" t="n">
        <f aca="false">+AG29-AC29</f>
        <v>-143.5</v>
      </c>
      <c r="AI29" s="152" t="n">
        <f aca="false">AI28+AH29</f>
        <v>415.6</v>
      </c>
      <c r="AJ29" s="150" t="n">
        <v>9274.1</v>
      </c>
      <c r="AK29" s="147" t="n">
        <v>0</v>
      </c>
      <c r="AL29" s="147" t="n">
        <v>9891</v>
      </c>
      <c r="AM29" s="147"/>
      <c r="AN29" s="147" t="n">
        <f aca="false">SUM(AK29:AM29)</f>
        <v>9891</v>
      </c>
      <c r="AO29" s="151" t="n">
        <f aca="false">+AN29-AJ29</f>
        <v>616.9</v>
      </c>
      <c r="AP29" s="152" t="n">
        <f aca="false">AP28+AO29</f>
        <v>46371</v>
      </c>
      <c r="AQ29" s="147" t="n">
        <v>0</v>
      </c>
      <c r="AR29" s="147" t="n">
        <v>0</v>
      </c>
      <c r="AS29" s="147"/>
      <c r="AT29" s="147"/>
      <c r="AU29" s="147" t="n">
        <f aca="false">SUM(AR29:AT29)</f>
        <v>0</v>
      </c>
      <c r="AV29" s="151" t="n">
        <f aca="false">+AU29-AQ29</f>
        <v>0</v>
      </c>
      <c r="AW29" s="152" t="n">
        <f aca="false">AW28+AV29</f>
        <v>0</v>
      </c>
      <c r="AX29" s="150" t="n">
        <v>191.4</v>
      </c>
      <c r="AY29" s="147" t="n">
        <v>0</v>
      </c>
      <c r="AZ29" s="147"/>
      <c r="BA29" s="147"/>
      <c r="BB29" s="147" t="n">
        <f aca="false">SUM(AY29:BA29)</f>
        <v>0</v>
      </c>
      <c r="BC29" s="151" t="n">
        <f aca="false">+BB29-AX29</f>
        <v>-191.4</v>
      </c>
      <c r="BD29" s="152" t="n">
        <f aca="false">BD28+BC29</f>
        <v>1273.5</v>
      </c>
      <c r="BE29" s="150" t="n">
        <v>225.5</v>
      </c>
      <c r="BF29" s="147" t="n">
        <v>0</v>
      </c>
      <c r="BG29" s="147"/>
      <c r="BH29" s="147"/>
      <c r="BI29" s="147" t="n">
        <f aca="false">SUM(BF29:BH29)</f>
        <v>0</v>
      </c>
      <c r="BJ29" s="151" t="n">
        <f aca="false">+BI29-BE29</f>
        <v>-225.5</v>
      </c>
      <c r="BK29" s="152" t="n">
        <f aca="false">BK28+BJ29</f>
        <v>1105.5</v>
      </c>
      <c r="BL29" s="158" t="n">
        <v>15002.7</v>
      </c>
      <c r="BM29" s="154" t="n">
        <f aca="false">2884+5538</f>
        <v>8422</v>
      </c>
      <c r="BN29" s="154"/>
      <c r="BO29" s="154" t="n">
        <v>10000</v>
      </c>
      <c r="BP29" s="154" t="n">
        <f aca="false">SUM(BM29:BO29)</f>
        <v>18422</v>
      </c>
      <c r="BQ29" s="155" t="n">
        <f aca="false">+BP29-BL29</f>
        <v>3419.3</v>
      </c>
      <c r="BR29" s="152" t="n">
        <f aca="false">BR28+BQ29</f>
        <v>-41592.3</v>
      </c>
      <c r="BS29" s="154"/>
      <c r="BT29" s="154"/>
      <c r="BU29" s="154"/>
      <c r="BV29" s="154"/>
      <c r="BW29" s="154" t="n">
        <f aca="false">SUM(BT29:BV29)</f>
        <v>0</v>
      </c>
      <c r="BX29" s="155" t="n">
        <f aca="false">+BW29-BS29</f>
        <v>0</v>
      </c>
      <c r="BY29" s="152" t="n">
        <f aca="false">BY28+BX29</f>
        <v>0</v>
      </c>
      <c r="BZ29" s="154"/>
      <c r="CA29" s="154"/>
      <c r="CB29" s="154"/>
      <c r="CC29" s="154"/>
      <c r="CD29" s="154" t="n">
        <f aca="false">SUM(CA29:CC29)</f>
        <v>0</v>
      </c>
      <c r="CE29" s="155" t="n">
        <f aca="false">+CD29-BZ29</f>
        <v>0</v>
      </c>
      <c r="CF29" s="152" t="n">
        <f aca="false">CF28+CE29</f>
        <v>0</v>
      </c>
      <c r="CG29" s="154"/>
      <c r="CH29" s="154"/>
      <c r="CI29" s="154"/>
      <c r="CJ29" s="154"/>
      <c r="CK29" s="154" t="n">
        <f aca="false">SUM(CH29:CJ29)</f>
        <v>0</v>
      </c>
      <c r="CL29" s="155" t="n">
        <f aca="false">+CK29-CG29</f>
        <v>0</v>
      </c>
      <c r="CM29" s="152" t="n">
        <f aca="false">CM28+CL29</f>
        <v>0</v>
      </c>
      <c r="CN29" s="81" t="n">
        <f aca="false">+C29+O29+V29+AC29+AJ29+AQ29+AX29+BE29+BL29+BS29+BZ29+CG29</f>
        <v>43529.7</v>
      </c>
      <c r="CO29" s="81" t="n">
        <f aca="false">+L29+S29+Z29+AG29+AN29+AU29+BB29+BI29+BP29+BW29+CD29+CK29</f>
        <v>39454</v>
      </c>
      <c r="CP29" s="81" t="n">
        <f aca="false">CO29-CN29</f>
        <v>-4075.7</v>
      </c>
      <c r="CQ29" s="152" t="n">
        <f aca="false">CQ28+CP29</f>
        <v>17516.7</v>
      </c>
      <c r="CR29" s="87"/>
      <c r="CS29" s="87"/>
      <c r="CT29" s="111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</row>
    <row r="30" customFormat="false" ht="12.75" hidden="false" customHeight="false" outlineLevel="0" collapsed="false">
      <c r="A30" s="80" t="n">
        <f aca="false">+BaseloadMarkets!A30</f>
        <v>36732</v>
      </c>
      <c r="B30" s="80" t="str">
        <f aca="false">+BaseloadMarkets!B30</f>
        <v>Tues</v>
      </c>
      <c r="C30" s="146" t="n">
        <v>16517</v>
      </c>
      <c r="D30" s="26" t="n">
        <f aca="false">1514+3259</f>
        <v>4773</v>
      </c>
      <c r="E30" s="26" t="n">
        <v>4053</v>
      </c>
      <c r="F30" s="26" t="n">
        <v>1000</v>
      </c>
      <c r="G30" s="26"/>
      <c r="H30" s="147" t="n">
        <v>0</v>
      </c>
      <c r="I30" s="26"/>
      <c r="J30" s="26"/>
      <c r="K30" s="26"/>
      <c r="L30" s="148" t="n">
        <f aca="false">SUM(D30:K30)</f>
        <v>9826</v>
      </c>
      <c r="M30" s="81" t="n">
        <f aca="false">+L30-C30</f>
        <v>-6691</v>
      </c>
      <c r="N30" s="81" t="n">
        <f aca="false">N29+M30</f>
        <v>22896</v>
      </c>
      <c r="O30" s="146" t="n">
        <v>1959.9</v>
      </c>
      <c r="P30" s="26" t="n">
        <v>2000</v>
      </c>
      <c r="Q30" s="26"/>
      <c r="R30" s="26"/>
      <c r="S30" s="149" t="n">
        <f aca="false">SUM(P30:R30)</f>
        <v>2000</v>
      </c>
      <c r="T30" s="81" t="n">
        <f aca="false">+S30-O30</f>
        <v>40.0999999999999</v>
      </c>
      <c r="U30" s="81" t="n">
        <f aca="false">U29+T30</f>
        <v>-7070.5</v>
      </c>
      <c r="V30" s="146" t="n">
        <v>29.3</v>
      </c>
      <c r="W30" s="26" t="n">
        <v>2000</v>
      </c>
      <c r="X30" s="26"/>
      <c r="Y30" s="26"/>
      <c r="Z30" s="148" t="n">
        <f aca="false">SUM(W30:Y30)</f>
        <v>2000</v>
      </c>
      <c r="AA30" s="81" t="n">
        <f aca="false">+Z30-V30</f>
        <v>1970.7</v>
      </c>
      <c r="AB30" s="87" t="n">
        <f aca="false">+AB29+AA30</f>
        <v>-10562.3</v>
      </c>
      <c r="AC30" s="150" t="n">
        <v>180.6</v>
      </c>
      <c r="AD30" s="147" t="n">
        <v>0</v>
      </c>
      <c r="AE30" s="147"/>
      <c r="AF30" s="147"/>
      <c r="AG30" s="147" t="n">
        <f aca="false">SUM(AD30:AF30)</f>
        <v>0</v>
      </c>
      <c r="AH30" s="151" t="n">
        <f aca="false">+AG30-AC30</f>
        <v>-180.6</v>
      </c>
      <c r="AI30" s="152" t="n">
        <f aca="false">AI29+AH30</f>
        <v>235</v>
      </c>
      <c r="AJ30" s="150" t="n">
        <v>9303.8</v>
      </c>
      <c r="AK30" s="147" t="n">
        <f aca="false">76+3020</f>
        <v>3096</v>
      </c>
      <c r="AL30" s="147" t="n">
        <v>4267</v>
      </c>
      <c r="AM30" s="147"/>
      <c r="AN30" s="147" t="n">
        <f aca="false">SUM(AK30:AM30)</f>
        <v>7363</v>
      </c>
      <c r="AO30" s="151" t="n">
        <f aca="false">+AN30-AJ30</f>
        <v>-1940.8</v>
      </c>
      <c r="AP30" s="152" t="n">
        <f aca="false">AP29+AO30</f>
        <v>44430.2</v>
      </c>
      <c r="AQ30" s="147" t="n">
        <v>0</v>
      </c>
      <c r="AR30" s="147" t="n">
        <v>0</v>
      </c>
      <c r="AS30" s="147"/>
      <c r="AT30" s="147"/>
      <c r="AU30" s="147" t="n">
        <f aca="false">SUM(AR30:AT30)</f>
        <v>0</v>
      </c>
      <c r="AV30" s="151" t="n">
        <f aca="false">+AU30-AQ30</f>
        <v>0</v>
      </c>
      <c r="AW30" s="152" t="n">
        <f aca="false">AW29+AV30</f>
        <v>0</v>
      </c>
      <c r="AX30" s="150" t="n">
        <v>202.7</v>
      </c>
      <c r="AY30" s="147" t="n">
        <v>0</v>
      </c>
      <c r="AZ30" s="147"/>
      <c r="BA30" s="147"/>
      <c r="BB30" s="147" t="n">
        <f aca="false">SUM(AY30:BA30)</f>
        <v>0</v>
      </c>
      <c r="BC30" s="151" t="n">
        <f aca="false">+BB30-AX30</f>
        <v>-202.7</v>
      </c>
      <c r="BD30" s="152" t="n">
        <f aca="false">BD29+BC30</f>
        <v>1070.8</v>
      </c>
      <c r="BE30" s="150" t="n">
        <v>311.6</v>
      </c>
      <c r="BF30" s="147" t="n">
        <v>0</v>
      </c>
      <c r="BG30" s="147"/>
      <c r="BH30" s="147"/>
      <c r="BI30" s="147" t="n">
        <f aca="false">SUM(BF30:BH30)</f>
        <v>0</v>
      </c>
      <c r="BJ30" s="151" t="n">
        <f aca="false">+BI30-BE30</f>
        <v>-311.6</v>
      </c>
      <c r="BK30" s="152" t="n">
        <f aca="false">BK29+BJ30</f>
        <v>793.9</v>
      </c>
      <c r="BL30" s="158" t="n">
        <v>14937.1</v>
      </c>
      <c r="BM30" s="154" t="n">
        <v>15000</v>
      </c>
      <c r="BN30" s="154"/>
      <c r="BO30" s="154"/>
      <c r="BP30" s="154" t="n">
        <f aca="false">SUM(BM30:BO30)</f>
        <v>15000</v>
      </c>
      <c r="BQ30" s="155" t="n">
        <f aca="false">+BP30-BL30</f>
        <v>62.8999999999996</v>
      </c>
      <c r="BR30" s="152" t="n">
        <f aca="false">BR29+BQ30</f>
        <v>-41529.4</v>
      </c>
      <c r="BS30" s="154"/>
      <c r="BT30" s="154"/>
      <c r="BU30" s="154"/>
      <c r="BV30" s="154"/>
      <c r="BW30" s="154" t="n">
        <f aca="false">SUM(BT30:BV30)</f>
        <v>0</v>
      </c>
      <c r="BX30" s="155" t="n">
        <f aca="false">+BW30-BS30</f>
        <v>0</v>
      </c>
      <c r="BY30" s="152" t="n">
        <f aca="false">BY29+BX30</f>
        <v>0</v>
      </c>
      <c r="BZ30" s="154"/>
      <c r="CA30" s="154"/>
      <c r="CB30" s="154"/>
      <c r="CC30" s="154"/>
      <c r="CD30" s="154" t="n">
        <f aca="false">SUM(CA30:CC30)</f>
        <v>0</v>
      </c>
      <c r="CE30" s="155" t="n">
        <f aca="false">+CD30-BZ30</f>
        <v>0</v>
      </c>
      <c r="CF30" s="152" t="n">
        <f aca="false">CF29+CE30</f>
        <v>0</v>
      </c>
      <c r="CG30" s="154"/>
      <c r="CH30" s="154"/>
      <c r="CI30" s="154"/>
      <c r="CJ30" s="154"/>
      <c r="CK30" s="154" t="n">
        <f aca="false">SUM(CH30:CJ30)</f>
        <v>0</v>
      </c>
      <c r="CL30" s="155" t="n">
        <f aca="false">+CK30-CG30</f>
        <v>0</v>
      </c>
      <c r="CM30" s="152" t="n">
        <f aca="false">CM29+CL30</f>
        <v>0</v>
      </c>
      <c r="CN30" s="81" t="n">
        <f aca="false">+C30+O30+V30+AC30+AJ30+AQ30+AX30+BE30+BL30+BS30+BZ30+CG30</f>
        <v>43442</v>
      </c>
      <c r="CO30" s="81" t="n">
        <f aca="false">+L30+S30+Z30+AG30+AN30+AU30+BB30+BI30+BP30+BW30+CD30+CK30</f>
        <v>36189</v>
      </c>
      <c r="CP30" s="81" t="n">
        <f aca="false">CO30-CN30</f>
        <v>-7253</v>
      </c>
      <c r="CQ30" s="152" t="n">
        <f aca="false">CQ29+CP30</f>
        <v>10263.7</v>
      </c>
      <c r="CR30" s="87"/>
      <c r="CS30" s="87"/>
      <c r="CT30" s="111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</row>
    <row r="31" customFormat="false" ht="12.75" hidden="false" customHeight="false" outlineLevel="0" collapsed="false">
      <c r="A31" s="80" t="n">
        <f aca="false">+BaseloadMarkets!A31</f>
        <v>36733</v>
      </c>
      <c r="B31" s="80" t="str">
        <f aca="false">+BaseloadMarkets!B31</f>
        <v>Wed</v>
      </c>
      <c r="C31" s="146" t="n">
        <v>17199</v>
      </c>
      <c r="D31" s="26" t="n">
        <v>0</v>
      </c>
      <c r="E31" s="26" t="n">
        <v>3000</v>
      </c>
      <c r="F31" s="26" t="n">
        <v>0</v>
      </c>
      <c r="G31" s="26"/>
      <c r="H31" s="147" t="n">
        <v>0</v>
      </c>
      <c r="I31" s="26"/>
      <c r="J31" s="26"/>
      <c r="K31" s="26"/>
      <c r="L31" s="148" t="n">
        <f aca="false">SUM(D31:K31)</f>
        <v>3000</v>
      </c>
      <c r="M31" s="81" t="n">
        <f aca="false">+L31-C31</f>
        <v>-14199</v>
      </c>
      <c r="N31" s="81" t="n">
        <f aca="false">N30+M31</f>
        <v>8697</v>
      </c>
      <c r="O31" s="156" t="n">
        <v>1757</v>
      </c>
      <c r="P31" s="26" t="n">
        <v>0</v>
      </c>
      <c r="Q31" s="26"/>
      <c r="R31" s="26"/>
      <c r="S31" s="149" t="n">
        <f aca="false">SUM(P31:R31)</f>
        <v>0</v>
      </c>
      <c r="T31" s="81" t="n">
        <f aca="false">+S31-O31</f>
        <v>-1757</v>
      </c>
      <c r="U31" s="81" t="n">
        <f aca="false">U30+T31</f>
        <v>-8827.5</v>
      </c>
      <c r="V31" s="156" t="n">
        <v>717</v>
      </c>
      <c r="W31" s="26" t="n">
        <v>0</v>
      </c>
      <c r="X31" s="26"/>
      <c r="Y31" s="26"/>
      <c r="Z31" s="148" t="n">
        <f aca="false">SUM(W31:Y31)</f>
        <v>0</v>
      </c>
      <c r="AA31" s="81" t="n">
        <f aca="false">+Z31-V31</f>
        <v>-717</v>
      </c>
      <c r="AB31" s="87" t="n">
        <f aca="false">+AB30+AA31</f>
        <v>-11279.3</v>
      </c>
      <c r="AC31" s="159" t="n">
        <v>189</v>
      </c>
      <c r="AD31" s="147" t="n">
        <v>0</v>
      </c>
      <c r="AE31" s="147"/>
      <c r="AF31" s="147"/>
      <c r="AG31" s="147" t="n">
        <f aca="false">SUM(AD31:AF31)</f>
        <v>0</v>
      </c>
      <c r="AH31" s="151" t="n">
        <f aca="false">+AG31-AC31</f>
        <v>-189</v>
      </c>
      <c r="AI31" s="152" t="n">
        <f aca="false">AI30+AH31</f>
        <v>46</v>
      </c>
      <c r="AJ31" s="159" t="n">
        <v>9267</v>
      </c>
      <c r="AK31" s="147" t="n">
        <v>5434</v>
      </c>
      <c r="AL31" s="147" t="n">
        <v>980</v>
      </c>
      <c r="AM31" s="147"/>
      <c r="AN31" s="147" t="n">
        <f aca="false">SUM(AK31:AM31)</f>
        <v>6414</v>
      </c>
      <c r="AO31" s="151" t="n">
        <f aca="false">+AN31-AJ31</f>
        <v>-2853</v>
      </c>
      <c r="AP31" s="152" t="n">
        <f aca="false">AP30+AO31</f>
        <v>41577.2</v>
      </c>
      <c r="AQ31" s="147" t="n">
        <v>0</v>
      </c>
      <c r="AR31" s="147" t="n">
        <v>0</v>
      </c>
      <c r="AS31" s="147"/>
      <c r="AT31" s="147"/>
      <c r="AU31" s="147" t="n">
        <f aca="false">SUM(AR31:AT31)</f>
        <v>0</v>
      </c>
      <c r="AV31" s="151" t="n">
        <f aca="false">+AU31-AQ31</f>
        <v>0</v>
      </c>
      <c r="AW31" s="152" t="n">
        <f aca="false">AW30+AV31</f>
        <v>0</v>
      </c>
      <c r="AX31" s="159" t="n">
        <v>200</v>
      </c>
      <c r="AY31" s="147" t="n">
        <v>0</v>
      </c>
      <c r="AZ31" s="147"/>
      <c r="BA31" s="147"/>
      <c r="BB31" s="147" t="n">
        <f aca="false">SUM(AY31:BA31)</f>
        <v>0</v>
      </c>
      <c r="BC31" s="151" t="n">
        <f aca="false">+BB31-AX31</f>
        <v>-200</v>
      </c>
      <c r="BD31" s="152" t="n">
        <f aca="false">BD30+BC31</f>
        <v>870.8</v>
      </c>
      <c r="BE31" s="159" t="n">
        <v>303</v>
      </c>
      <c r="BF31" s="147" t="n">
        <v>0</v>
      </c>
      <c r="BG31" s="147"/>
      <c r="BH31" s="147"/>
      <c r="BI31" s="147" t="n">
        <f aca="false">SUM(BF31:BH31)</f>
        <v>0</v>
      </c>
      <c r="BJ31" s="151" t="n">
        <f aca="false">+BI31-BE31</f>
        <v>-303</v>
      </c>
      <c r="BK31" s="152" t="n">
        <f aca="false">BK30+BJ31</f>
        <v>490.9</v>
      </c>
      <c r="BL31" s="153" t="n">
        <v>14083</v>
      </c>
      <c r="BM31" s="154" t="n">
        <v>12259</v>
      </c>
      <c r="BN31" s="154"/>
      <c r="BO31" s="154"/>
      <c r="BP31" s="154" t="n">
        <f aca="false">SUM(BM31:BO31)</f>
        <v>12259</v>
      </c>
      <c r="BQ31" s="155" t="n">
        <f aca="false">+BP31-BL31</f>
        <v>-1824</v>
      </c>
      <c r="BR31" s="152" t="n">
        <f aca="false">BR30+BQ31</f>
        <v>-43353.4</v>
      </c>
      <c r="BS31" s="154"/>
      <c r="BT31" s="154"/>
      <c r="BU31" s="154"/>
      <c r="BV31" s="154"/>
      <c r="BW31" s="154" t="n">
        <f aca="false">SUM(BT31:BV31)</f>
        <v>0</v>
      </c>
      <c r="BX31" s="155" t="n">
        <f aca="false">+BW31-BS31</f>
        <v>0</v>
      </c>
      <c r="BY31" s="152" t="n">
        <f aca="false">BY30+BX31</f>
        <v>0</v>
      </c>
      <c r="BZ31" s="154"/>
      <c r="CA31" s="154"/>
      <c r="CB31" s="154"/>
      <c r="CC31" s="154"/>
      <c r="CD31" s="154" t="n">
        <f aca="false">SUM(CA31:CC31)</f>
        <v>0</v>
      </c>
      <c r="CE31" s="155" t="n">
        <f aca="false">+CD31-BZ31</f>
        <v>0</v>
      </c>
      <c r="CF31" s="152" t="n">
        <f aca="false">CF30+CE31</f>
        <v>0</v>
      </c>
      <c r="CG31" s="154"/>
      <c r="CH31" s="154"/>
      <c r="CI31" s="154"/>
      <c r="CJ31" s="154"/>
      <c r="CK31" s="154" t="n">
        <f aca="false">SUM(CH31:CJ31)</f>
        <v>0</v>
      </c>
      <c r="CL31" s="155" t="n">
        <f aca="false">+CK31-CG31</f>
        <v>0</v>
      </c>
      <c r="CM31" s="152" t="n">
        <f aca="false">CM30+CL31</f>
        <v>0</v>
      </c>
      <c r="CN31" s="81" t="n">
        <f aca="false">+C31+O31+V31+AC31+AJ31+AQ31+AX31+BE31+BL31+BS31+BZ31+CG31</f>
        <v>43715</v>
      </c>
      <c r="CO31" s="81" t="n">
        <f aca="false">+L31+S31+Z31+AG31+AN31+AU31+BB31+BI31+BP31+BW31+CD31+CK31</f>
        <v>21673</v>
      </c>
      <c r="CP31" s="81" t="n">
        <f aca="false">CO31-CN31</f>
        <v>-22042</v>
      </c>
      <c r="CQ31" s="152" t="n">
        <f aca="false">CQ30+CP31</f>
        <v>-11778.3</v>
      </c>
      <c r="CR31" s="87"/>
      <c r="CS31" s="87"/>
      <c r="CT31" s="111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</row>
    <row r="32" customFormat="false" ht="12.75" hidden="false" customHeight="false" outlineLevel="0" collapsed="false">
      <c r="A32" s="80" t="n">
        <f aca="false">+BaseloadMarkets!A32</f>
        <v>36734</v>
      </c>
      <c r="B32" s="80" t="str">
        <f aca="false">+BaseloadMarkets!B32</f>
        <v>Thu</v>
      </c>
      <c r="C32" s="156" t="n">
        <v>17642</v>
      </c>
      <c r="D32" s="26" t="n">
        <v>3686</v>
      </c>
      <c r="E32" s="26" t="n">
        <v>3909</v>
      </c>
      <c r="F32" s="26" t="n">
        <v>0</v>
      </c>
      <c r="G32" s="26"/>
      <c r="H32" s="147" t="n">
        <v>0</v>
      </c>
      <c r="I32" s="26"/>
      <c r="J32" s="26"/>
      <c r="K32" s="26"/>
      <c r="L32" s="148" t="n">
        <f aca="false">SUM(D32:K32)</f>
        <v>7595</v>
      </c>
      <c r="M32" s="81" t="n">
        <f aca="false">+L32-C32</f>
        <v>-10047</v>
      </c>
      <c r="N32" s="81" t="n">
        <f aca="false">N31+M32</f>
        <v>-1350</v>
      </c>
      <c r="O32" s="156" t="n">
        <v>2445</v>
      </c>
      <c r="P32" s="26" t="n">
        <v>0</v>
      </c>
      <c r="Q32" s="26"/>
      <c r="R32" s="26"/>
      <c r="S32" s="149" t="n">
        <f aca="false">SUM(P32:R32)</f>
        <v>0</v>
      </c>
      <c r="T32" s="81" t="n">
        <f aca="false">+S32-O32</f>
        <v>-2445</v>
      </c>
      <c r="U32" s="81" t="n">
        <f aca="false">U31+T32</f>
        <v>-11272.5</v>
      </c>
      <c r="V32" s="156" t="n">
        <v>936</v>
      </c>
      <c r="W32" s="26" t="n">
        <v>0</v>
      </c>
      <c r="X32" s="26"/>
      <c r="Y32" s="26"/>
      <c r="Z32" s="148" t="n">
        <f aca="false">SUM(W32:Y32)</f>
        <v>0</v>
      </c>
      <c r="AA32" s="81" t="n">
        <f aca="false">+Z32-V32</f>
        <v>-936</v>
      </c>
      <c r="AB32" s="87" t="n">
        <f aca="false">+AB31+AA32</f>
        <v>-12215.3</v>
      </c>
      <c r="AC32" s="159" t="n">
        <v>183</v>
      </c>
      <c r="AD32" s="147" t="n">
        <v>0</v>
      </c>
      <c r="AE32" s="147"/>
      <c r="AF32" s="147"/>
      <c r="AG32" s="147" t="n">
        <f aca="false">SUM(AD32:AF32)</f>
        <v>0</v>
      </c>
      <c r="AH32" s="151" t="n">
        <f aca="false">+AG32-AC32</f>
        <v>-183</v>
      </c>
      <c r="AI32" s="152" t="n">
        <f aca="false">AI31+AH32</f>
        <v>-137</v>
      </c>
      <c r="AJ32" s="147" t="n">
        <v>9338</v>
      </c>
      <c r="AK32" s="147" t="n">
        <v>9338</v>
      </c>
      <c r="AL32" s="147" t="n">
        <v>2784</v>
      </c>
      <c r="AM32" s="147"/>
      <c r="AN32" s="147" t="n">
        <f aca="false">SUM(AK32:AM32)</f>
        <v>12122</v>
      </c>
      <c r="AO32" s="151" t="n">
        <f aca="false">+AN32-AJ32</f>
        <v>2784</v>
      </c>
      <c r="AP32" s="152" t="n">
        <f aca="false">AP31+AO32</f>
        <v>44361.2</v>
      </c>
      <c r="AQ32" s="147" t="n">
        <v>0</v>
      </c>
      <c r="AR32" s="147" t="n">
        <v>0</v>
      </c>
      <c r="AS32" s="147"/>
      <c r="AT32" s="147"/>
      <c r="AU32" s="147" t="n">
        <f aca="false">SUM(AR32:AT32)</f>
        <v>0</v>
      </c>
      <c r="AV32" s="151" t="n">
        <f aca="false">+AU32-AQ32</f>
        <v>0</v>
      </c>
      <c r="AW32" s="152" t="n">
        <f aca="false">AW31+AV32</f>
        <v>0</v>
      </c>
      <c r="AX32" s="159" t="n">
        <v>204</v>
      </c>
      <c r="AY32" s="147" t="n">
        <v>0</v>
      </c>
      <c r="AZ32" s="147"/>
      <c r="BA32" s="147"/>
      <c r="BB32" s="147" t="n">
        <f aca="false">SUM(AY32:BA32)</f>
        <v>0</v>
      </c>
      <c r="BC32" s="151" t="n">
        <f aca="false">+BB32-AX32</f>
        <v>-204</v>
      </c>
      <c r="BD32" s="152" t="n">
        <f aca="false">BD31+BC32</f>
        <v>666.8</v>
      </c>
      <c r="BE32" s="147" t="n">
        <v>287</v>
      </c>
      <c r="BF32" s="147" t="n">
        <v>0</v>
      </c>
      <c r="BG32" s="147"/>
      <c r="BH32" s="147"/>
      <c r="BI32" s="147" t="n">
        <f aca="false">SUM(BF32:BH32)</f>
        <v>0</v>
      </c>
      <c r="BJ32" s="151" t="n">
        <f aca="false">+BI32-BE32</f>
        <v>-287</v>
      </c>
      <c r="BK32" s="152" t="n">
        <f aca="false">BK31+BJ32</f>
        <v>203.9</v>
      </c>
      <c r="BL32" s="153" t="n">
        <v>15083</v>
      </c>
      <c r="BM32" s="154" t="n">
        <v>14143</v>
      </c>
      <c r="BN32" s="154"/>
      <c r="BO32" s="154"/>
      <c r="BP32" s="154" t="n">
        <f aca="false">SUM(BM32:BO32)</f>
        <v>14143</v>
      </c>
      <c r="BQ32" s="155" t="n">
        <f aca="false">+BP32-BL32</f>
        <v>-940</v>
      </c>
      <c r="BR32" s="152" t="n">
        <f aca="false">BR31+BQ32</f>
        <v>-44293.4</v>
      </c>
      <c r="BS32" s="154"/>
      <c r="BT32" s="154"/>
      <c r="BU32" s="154"/>
      <c r="BV32" s="154"/>
      <c r="BW32" s="154" t="n">
        <f aca="false">SUM(BT32:BV32)</f>
        <v>0</v>
      </c>
      <c r="BX32" s="155" t="n">
        <f aca="false">+BW32-BS32</f>
        <v>0</v>
      </c>
      <c r="BY32" s="152" t="n">
        <f aca="false">BY31+BX32</f>
        <v>0</v>
      </c>
      <c r="BZ32" s="154"/>
      <c r="CA32" s="154"/>
      <c r="CB32" s="154"/>
      <c r="CC32" s="154"/>
      <c r="CD32" s="154" t="n">
        <f aca="false">SUM(CA32:CC32)</f>
        <v>0</v>
      </c>
      <c r="CE32" s="155" t="n">
        <f aca="false">+CD32-BZ32</f>
        <v>0</v>
      </c>
      <c r="CF32" s="152" t="n">
        <f aca="false">CF31+CE32</f>
        <v>0</v>
      </c>
      <c r="CG32" s="154"/>
      <c r="CH32" s="154"/>
      <c r="CI32" s="154"/>
      <c r="CJ32" s="154"/>
      <c r="CK32" s="154" t="n">
        <f aca="false">SUM(CH32:CJ32)</f>
        <v>0</v>
      </c>
      <c r="CL32" s="155" t="n">
        <f aca="false">+CK32-CG32</f>
        <v>0</v>
      </c>
      <c r="CM32" s="152" t="n">
        <f aca="false">CM31+CL32</f>
        <v>0</v>
      </c>
      <c r="CN32" s="81" t="n">
        <f aca="false">+C32+O32+V32+AC32+AJ32+AQ32+AX32+BE32+BL32+BS32+BZ32+CG32</f>
        <v>46118</v>
      </c>
      <c r="CO32" s="81" t="n">
        <f aca="false">+L32+S32+Z32+AG32+AN32+AU32+BB32+BI32+BP32+BW32+CD32+CK32</f>
        <v>33860</v>
      </c>
      <c r="CP32" s="81" t="n">
        <f aca="false">CO32-CN32</f>
        <v>-12258</v>
      </c>
      <c r="CQ32" s="152" t="n">
        <f aca="false">CQ31+CP32</f>
        <v>-24036.3</v>
      </c>
      <c r="CR32" s="87"/>
      <c r="CS32" s="87"/>
      <c r="CT32" s="111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</row>
    <row r="33" customFormat="false" ht="12.75" hidden="false" customHeight="false" outlineLevel="0" collapsed="false">
      <c r="A33" s="80" t="n">
        <f aca="false">+BaseloadMarkets!A33</f>
        <v>36735</v>
      </c>
      <c r="B33" s="80" t="str">
        <f aca="false">+BaseloadMarkets!B33</f>
        <v>Fri</v>
      </c>
      <c r="C33" s="156" t="n">
        <v>20457</v>
      </c>
      <c r="D33" s="26" t="n">
        <v>0</v>
      </c>
      <c r="E33" s="26" t="n">
        <v>11774</v>
      </c>
      <c r="F33" s="26" t="n">
        <v>0</v>
      </c>
      <c r="G33" s="26"/>
      <c r="H33" s="147" t="n">
        <f aca="false">+Border!AD31</f>
        <v>0</v>
      </c>
      <c r="I33" s="26"/>
      <c r="J33" s="26"/>
      <c r="K33" s="26"/>
      <c r="L33" s="148" t="n">
        <f aca="false">SUM(D33:K33)</f>
        <v>11774</v>
      </c>
      <c r="M33" s="81" t="n">
        <f aca="false">+L33-C33</f>
        <v>-8683</v>
      </c>
      <c r="N33" s="81" t="n">
        <f aca="false">N32+M33</f>
        <v>-10033</v>
      </c>
      <c r="O33" s="156" t="n">
        <v>1899</v>
      </c>
      <c r="P33" s="26" t="n">
        <v>0</v>
      </c>
      <c r="Q33" s="26" t="n">
        <v>20000</v>
      </c>
      <c r="R33" s="26"/>
      <c r="S33" s="149" t="n">
        <f aca="false">SUM(P33:R33)</f>
        <v>20000</v>
      </c>
      <c r="T33" s="81" t="n">
        <f aca="false">+S33-O33</f>
        <v>18101</v>
      </c>
      <c r="U33" s="81" t="n">
        <f aca="false">U32+T33</f>
        <v>6828.5</v>
      </c>
      <c r="V33" s="156" t="n">
        <v>1247</v>
      </c>
      <c r="W33" s="26" t="n">
        <v>1826</v>
      </c>
      <c r="X33" s="26"/>
      <c r="Y33" s="26"/>
      <c r="Z33" s="148" t="n">
        <f aca="false">SUM(W33:Y33)</f>
        <v>1826</v>
      </c>
      <c r="AA33" s="81" t="n">
        <f aca="false">+Z33-V33</f>
        <v>579</v>
      </c>
      <c r="AB33" s="87" t="n">
        <f aca="false">+AB32+AA33</f>
        <v>-11636.3</v>
      </c>
      <c r="AC33" s="159" t="n">
        <v>194</v>
      </c>
      <c r="AD33" s="147" t="n">
        <v>0</v>
      </c>
      <c r="AE33" s="147"/>
      <c r="AF33" s="147"/>
      <c r="AG33" s="147" t="n">
        <f aca="false">SUM(AD33:AF33)</f>
        <v>0</v>
      </c>
      <c r="AH33" s="151" t="n">
        <f aca="false">+AG33-AC33</f>
        <v>-194</v>
      </c>
      <c r="AI33" s="152" t="n">
        <f aca="false">AI32+AH33</f>
        <v>-331</v>
      </c>
      <c r="AJ33" s="147" t="n">
        <v>9493</v>
      </c>
      <c r="AK33" s="147" t="n">
        <v>11643</v>
      </c>
      <c r="AL33" s="147" t="n">
        <v>11053</v>
      </c>
      <c r="AM33" s="147"/>
      <c r="AN33" s="147" t="n">
        <f aca="false">SUM(AK33:AM33)</f>
        <v>22696</v>
      </c>
      <c r="AO33" s="151" t="n">
        <f aca="false">+AN33-AJ33</f>
        <v>13203</v>
      </c>
      <c r="AP33" s="152" t="n">
        <f aca="false">AP32+AO33</f>
        <v>57564.2</v>
      </c>
      <c r="AQ33" s="147" t="n">
        <v>0</v>
      </c>
      <c r="AR33" s="147" t="n">
        <v>0</v>
      </c>
      <c r="AS33" s="147"/>
      <c r="AT33" s="147"/>
      <c r="AU33" s="147" t="n">
        <f aca="false">SUM(AR33:AT33)</f>
        <v>0</v>
      </c>
      <c r="AV33" s="151" t="n">
        <f aca="false">+AU33-AQ33</f>
        <v>0</v>
      </c>
      <c r="AW33" s="152" t="n">
        <f aca="false">AW32+AV33</f>
        <v>0</v>
      </c>
      <c r="AX33" s="159" t="n">
        <v>198</v>
      </c>
      <c r="AY33" s="147" t="n">
        <v>0</v>
      </c>
      <c r="AZ33" s="147"/>
      <c r="BA33" s="147"/>
      <c r="BB33" s="147" t="n">
        <f aca="false">SUM(AY33:BA33)</f>
        <v>0</v>
      </c>
      <c r="BC33" s="151" t="n">
        <f aca="false">+BB33-AX33</f>
        <v>-198</v>
      </c>
      <c r="BD33" s="152" t="n">
        <f aca="false">BD32+BC33</f>
        <v>468.8</v>
      </c>
      <c r="BE33" s="147" t="n">
        <v>313</v>
      </c>
      <c r="BF33" s="147" t="n">
        <v>0</v>
      </c>
      <c r="BG33" s="147"/>
      <c r="BH33" s="147"/>
      <c r="BI33" s="147" t="n">
        <f aca="false">SUM(BF33:BH33)</f>
        <v>0</v>
      </c>
      <c r="BJ33" s="151" t="n">
        <f aca="false">+BI33-BE33</f>
        <v>-313</v>
      </c>
      <c r="BK33" s="152" t="n">
        <f aca="false">BK32+BJ33</f>
        <v>-109.1</v>
      </c>
      <c r="BL33" s="153" t="n">
        <v>16101</v>
      </c>
      <c r="BM33" s="154" t="n">
        <v>10000</v>
      </c>
      <c r="BN33" s="154"/>
      <c r="BO33" s="154"/>
      <c r="BP33" s="154" t="n">
        <f aca="false">SUM(BM33:BO33)</f>
        <v>10000</v>
      </c>
      <c r="BQ33" s="155" t="n">
        <f aca="false">+BP33-BL33</f>
        <v>-6101</v>
      </c>
      <c r="BR33" s="152" t="n">
        <f aca="false">BR32+BQ33</f>
        <v>-50394.4</v>
      </c>
      <c r="BS33" s="154"/>
      <c r="BT33" s="154"/>
      <c r="BU33" s="154"/>
      <c r="BV33" s="154"/>
      <c r="BW33" s="154" t="n">
        <f aca="false">SUM(BT33:BV33)</f>
        <v>0</v>
      </c>
      <c r="BX33" s="155" t="n">
        <f aca="false">+BW33-BS33</f>
        <v>0</v>
      </c>
      <c r="BY33" s="152" t="n">
        <f aca="false">BY32+BX33</f>
        <v>0</v>
      </c>
      <c r="BZ33" s="154"/>
      <c r="CA33" s="154"/>
      <c r="CB33" s="154"/>
      <c r="CC33" s="154"/>
      <c r="CD33" s="154" t="n">
        <f aca="false">SUM(CA33:CC33)</f>
        <v>0</v>
      </c>
      <c r="CE33" s="155" t="n">
        <f aca="false">+CD33-BZ33</f>
        <v>0</v>
      </c>
      <c r="CF33" s="152" t="n">
        <f aca="false">CF32+CE33</f>
        <v>0</v>
      </c>
      <c r="CG33" s="154"/>
      <c r="CH33" s="154"/>
      <c r="CI33" s="154"/>
      <c r="CJ33" s="154"/>
      <c r="CK33" s="154" t="n">
        <f aca="false">SUM(CH33:CJ33)</f>
        <v>0</v>
      </c>
      <c r="CL33" s="155" t="n">
        <f aca="false">+CK33-CG33</f>
        <v>0</v>
      </c>
      <c r="CM33" s="152" t="n">
        <f aca="false">CM32+CL33</f>
        <v>0</v>
      </c>
      <c r="CN33" s="81" t="n">
        <f aca="false">+C33+O33+V33+AC33+AJ33+AQ33+AX33+BE33+BL33+BS33+BZ33+CG33</f>
        <v>49902</v>
      </c>
      <c r="CO33" s="81" t="n">
        <f aca="false">+L33+S33+Z33+AG33+AN33+AU33+BB33+BI33+BP33+BW33+CD33+CK33</f>
        <v>66296</v>
      </c>
      <c r="CP33" s="81" t="n">
        <f aca="false">CO33-CN33</f>
        <v>16394</v>
      </c>
      <c r="CQ33" s="152" t="n">
        <f aca="false">CQ32+CP33</f>
        <v>-7642.3</v>
      </c>
      <c r="CR33" s="87"/>
      <c r="CS33" s="87"/>
      <c r="CT33" s="111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</row>
    <row r="34" customFormat="false" ht="12.75" hidden="false" customHeight="false" outlineLevel="0" collapsed="false">
      <c r="A34" s="80" t="n">
        <f aca="false">+BaseloadMarkets!A34</f>
        <v>36736</v>
      </c>
      <c r="B34" s="80" t="str">
        <f aca="false">+BaseloadMarkets!B34</f>
        <v>Sat</v>
      </c>
      <c r="C34" s="156" t="n">
        <v>12636</v>
      </c>
      <c r="D34" s="26" t="n">
        <v>0</v>
      </c>
      <c r="E34" s="26" t="n">
        <v>12308</v>
      </c>
      <c r="F34" s="26" t="n">
        <v>0</v>
      </c>
      <c r="G34" s="26"/>
      <c r="H34" s="147" t="n">
        <f aca="false">+Border!AD32</f>
        <v>0</v>
      </c>
      <c r="I34" s="26"/>
      <c r="J34" s="26"/>
      <c r="K34" s="26"/>
      <c r="L34" s="148" t="n">
        <f aca="false">SUM(D34:K34)</f>
        <v>12308</v>
      </c>
      <c r="M34" s="81" t="n">
        <f aca="false">+L34-C34</f>
        <v>-328</v>
      </c>
      <c r="N34" s="81" t="n">
        <f aca="false">N33+M34</f>
        <v>-10361</v>
      </c>
      <c r="O34" s="156" t="n">
        <v>2631</v>
      </c>
      <c r="P34" s="26" t="n">
        <v>0</v>
      </c>
      <c r="Q34" s="26" t="n">
        <v>0</v>
      </c>
      <c r="R34" s="26"/>
      <c r="S34" s="149" t="n">
        <f aca="false">SUM(P34:R34)</f>
        <v>0</v>
      </c>
      <c r="T34" s="81" t="n">
        <f aca="false">+S34-O34</f>
        <v>-2631</v>
      </c>
      <c r="U34" s="81" t="n">
        <f aca="false">U33+T34</f>
        <v>4197.5</v>
      </c>
      <c r="V34" s="156" t="n">
        <v>556</v>
      </c>
      <c r="W34" s="26" t="n">
        <v>7231</v>
      </c>
      <c r="X34" s="26"/>
      <c r="Y34" s="26"/>
      <c r="Z34" s="148" t="n">
        <f aca="false">SUM(W34:Y34)</f>
        <v>7231</v>
      </c>
      <c r="AA34" s="81" t="n">
        <f aca="false">+Z34-V34</f>
        <v>6675</v>
      </c>
      <c r="AB34" s="87" t="n">
        <f aca="false">+AB33+AA34</f>
        <v>-4961.3</v>
      </c>
      <c r="AC34" s="159" t="n">
        <v>158</v>
      </c>
      <c r="AD34" s="147" t="n">
        <v>277</v>
      </c>
      <c r="AE34" s="147" t="n">
        <v>541</v>
      </c>
      <c r="AF34" s="147"/>
      <c r="AG34" s="147" t="n">
        <f aca="false">SUM(AD34:AF34)</f>
        <v>818</v>
      </c>
      <c r="AH34" s="151" t="n">
        <f aca="false">+AG34-AC34</f>
        <v>660</v>
      </c>
      <c r="AI34" s="152" t="n">
        <f aca="false">AI33+AH34</f>
        <v>329</v>
      </c>
      <c r="AJ34" s="147" t="n">
        <v>9183</v>
      </c>
      <c r="AK34" s="147" t="n">
        <v>0</v>
      </c>
      <c r="AL34" s="147" t="n">
        <v>0</v>
      </c>
      <c r="AM34" s="147"/>
      <c r="AN34" s="147" t="n">
        <f aca="false">SUM(AK34:AM34)</f>
        <v>0</v>
      </c>
      <c r="AO34" s="151" t="n">
        <f aca="false">+AN34-AJ34</f>
        <v>-9183</v>
      </c>
      <c r="AP34" s="152" t="n">
        <f aca="false">AP33+AO34</f>
        <v>48381.2</v>
      </c>
      <c r="AQ34" s="147" t="n">
        <v>0</v>
      </c>
      <c r="AR34" s="147" t="n">
        <v>0</v>
      </c>
      <c r="AS34" s="147"/>
      <c r="AT34" s="147"/>
      <c r="AU34" s="147" t="n">
        <f aca="false">SUM(AR34:AT34)</f>
        <v>0</v>
      </c>
      <c r="AV34" s="151" t="n">
        <f aca="false">+AU34-AQ34</f>
        <v>0</v>
      </c>
      <c r="AW34" s="152" t="n">
        <f aca="false">AW33+AV34</f>
        <v>0</v>
      </c>
      <c r="AX34" s="159" t="n">
        <v>26</v>
      </c>
      <c r="AY34" s="147" t="n">
        <v>67</v>
      </c>
      <c r="AZ34" s="147" t="n">
        <v>541</v>
      </c>
      <c r="BA34" s="147"/>
      <c r="BB34" s="147" t="n">
        <f aca="false">SUM(AY34:BA34)</f>
        <v>608</v>
      </c>
      <c r="BC34" s="151" t="n">
        <f aca="false">+BB34-AX34</f>
        <v>582</v>
      </c>
      <c r="BD34" s="152" t="n">
        <f aca="false">BD33+BC34</f>
        <v>1050.8</v>
      </c>
      <c r="BE34" s="147" t="n">
        <v>500</v>
      </c>
      <c r="BF34" s="147" t="n">
        <v>277</v>
      </c>
      <c r="BG34" s="147" t="n">
        <v>541</v>
      </c>
      <c r="BH34" s="147"/>
      <c r="BI34" s="147" t="n">
        <f aca="false">SUM(BF34:BH34)</f>
        <v>818</v>
      </c>
      <c r="BJ34" s="151" t="n">
        <f aca="false">+BI34-BE34</f>
        <v>318</v>
      </c>
      <c r="BK34" s="152" t="n">
        <f aca="false">BK33+BJ34</f>
        <v>208.9</v>
      </c>
      <c r="BL34" s="153" t="n">
        <v>12346</v>
      </c>
      <c r="BM34" s="154" t="n">
        <f aca="false">13572+12259</f>
        <v>25831</v>
      </c>
      <c r="BN34" s="154"/>
      <c r="BO34" s="154"/>
      <c r="BP34" s="154" t="n">
        <f aca="false">SUM(BM34:BO34)</f>
        <v>25831</v>
      </c>
      <c r="BQ34" s="155" t="n">
        <f aca="false">+BP34-BL34</f>
        <v>13485</v>
      </c>
      <c r="BR34" s="152" t="n">
        <f aca="false">BR33+BQ34</f>
        <v>-36909.4</v>
      </c>
      <c r="BS34" s="154"/>
      <c r="BT34" s="154"/>
      <c r="BU34" s="154"/>
      <c r="BV34" s="154"/>
      <c r="BW34" s="154" t="n">
        <f aca="false">SUM(BT34:BV34)</f>
        <v>0</v>
      </c>
      <c r="BX34" s="155" t="n">
        <f aca="false">+BW34-BS34</f>
        <v>0</v>
      </c>
      <c r="BY34" s="152" t="n">
        <f aca="false">BY33+BX34</f>
        <v>0</v>
      </c>
      <c r="BZ34" s="154"/>
      <c r="CA34" s="154"/>
      <c r="CB34" s="154"/>
      <c r="CC34" s="154"/>
      <c r="CD34" s="154" t="n">
        <f aca="false">SUM(CA34:CC34)</f>
        <v>0</v>
      </c>
      <c r="CE34" s="155" t="n">
        <f aca="false">+CD34-BZ34</f>
        <v>0</v>
      </c>
      <c r="CF34" s="152" t="n">
        <f aca="false">CF33+CE34</f>
        <v>0</v>
      </c>
      <c r="CG34" s="154"/>
      <c r="CH34" s="154"/>
      <c r="CI34" s="154"/>
      <c r="CJ34" s="154"/>
      <c r="CK34" s="154" t="n">
        <f aca="false">SUM(CH34:CJ34)</f>
        <v>0</v>
      </c>
      <c r="CL34" s="155" t="n">
        <f aca="false">+CK34-CG34</f>
        <v>0</v>
      </c>
      <c r="CM34" s="152" t="n">
        <f aca="false">CM33+CL34</f>
        <v>0</v>
      </c>
      <c r="CN34" s="81" t="n">
        <f aca="false">+C34+O34+V34+AC34+AJ34+AQ34+AX34+BE34+BL34+BS34+BZ34+CG34</f>
        <v>38036</v>
      </c>
      <c r="CO34" s="81" t="n">
        <f aca="false">+L34+S34+Z34+AG34+AN34+AU34+BB34+BI34+BP34+BW34+CD34+CK34</f>
        <v>47614</v>
      </c>
      <c r="CP34" s="81" t="n">
        <f aca="false">CO34-CN34</f>
        <v>9578</v>
      </c>
      <c r="CQ34" s="152" t="n">
        <f aca="false">CQ33+CP34</f>
        <v>1935.7</v>
      </c>
      <c r="CR34" s="87"/>
      <c r="CS34" s="87"/>
      <c r="CT34" s="111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</row>
    <row r="35" customFormat="false" ht="12.75" hidden="false" customHeight="false" outlineLevel="0" collapsed="false">
      <c r="A35" s="80" t="n">
        <f aca="false">+BaseloadMarkets!A35</f>
        <v>36737</v>
      </c>
      <c r="B35" s="80" t="str">
        <f aca="false">+BaseloadMarkets!B35</f>
        <v>Sun</v>
      </c>
      <c r="C35" s="156" t="n">
        <v>10674</v>
      </c>
      <c r="D35" s="26" t="n">
        <v>6659</v>
      </c>
      <c r="E35" s="26" t="n">
        <v>9988</v>
      </c>
      <c r="F35" s="26" t="n">
        <v>0</v>
      </c>
      <c r="G35" s="26" t="n">
        <v>5325</v>
      </c>
      <c r="H35" s="147" t="n">
        <f aca="false">+Border!AD33</f>
        <v>0</v>
      </c>
      <c r="I35" s="26"/>
      <c r="J35" s="26"/>
      <c r="K35" s="26"/>
      <c r="L35" s="148" t="n">
        <f aca="false">SUM(D35:K35)</f>
        <v>21972</v>
      </c>
      <c r="M35" s="81" t="n">
        <f aca="false">+L35-C35</f>
        <v>11298</v>
      </c>
      <c r="N35" s="81" t="n">
        <f aca="false">N34+M35</f>
        <v>937</v>
      </c>
      <c r="O35" s="156" t="n">
        <v>2026</v>
      </c>
      <c r="P35" s="26" t="n">
        <v>0</v>
      </c>
      <c r="Q35" s="26" t="n">
        <v>6658</v>
      </c>
      <c r="R35" s="26"/>
      <c r="S35" s="149" t="n">
        <f aca="false">SUM(P35:R35)</f>
        <v>6658</v>
      </c>
      <c r="T35" s="81" t="n">
        <f aca="false">+S35-O35</f>
        <v>4632</v>
      </c>
      <c r="U35" s="81" t="n">
        <f aca="false">U34+T35</f>
        <v>8829.5</v>
      </c>
      <c r="V35" s="26" t="n">
        <v>0</v>
      </c>
      <c r="W35" s="26" t="n">
        <v>7704</v>
      </c>
      <c r="X35" s="26"/>
      <c r="Y35" s="26"/>
      <c r="Z35" s="148" t="n">
        <f aca="false">SUM(W35:Y35)</f>
        <v>7704</v>
      </c>
      <c r="AA35" s="81" t="n">
        <f aca="false">+Z35-V35</f>
        <v>7704</v>
      </c>
      <c r="AB35" s="87" t="n">
        <f aca="false">+AB34+AA35</f>
        <v>2742.7</v>
      </c>
      <c r="AC35" s="159" t="n">
        <v>38</v>
      </c>
      <c r="AD35" s="147" t="n">
        <v>296</v>
      </c>
      <c r="AE35" s="147" t="n">
        <v>1000</v>
      </c>
      <c r="AF35" s="147"/>
      <c r="AG35" s="147" t="n">
        <f aca="false">SUM(AD35:AF35)</f>
        <v>1296</v>
      </c>
      <c r="AH35" s="151" t="n">
        <f aca="false">+AG35-AC35</f>
        <v>1258</v>
      </c>
      <c r="AI35" s="152" t="n">
        <f aca="false">AI34+AH35</f>
        <v>1587</v>
      </c>
      <c r="AJ35" s="147" t="n">
        <v>8858</v>
      </c>
      <c r="AK35" s="147" t="n">
        <v>0</v>
      </c>
      <c r="AL35" s="147" t="n">
        <v>5950</v>
      </c>
      <c r="AM35" s="147"/>
      <c r="AN35" s="147" t="n">
        <f aca="false">SUM(AK35:AM35)</f>
        <v>5950</v>
      </c>
      <c r="AO35" s="151" t="n">
        <f aca="false">+AN35-AJ35</f>
        <v>-2908</v>
      </c>
      <c r="AP35" s="152" t="n">
        <f aca="false">AP34+AO35</f>
        <v>45473.2</v>
      </c>
      <c r="AQ35" s="147" t="n">
        <v>0</v>
      </c>
      <c r="AR35" s="147" t="n">
        <v>0</v>
      </c>
      <c r="AS35" s="147"/>
      <c r="AT35" s="147"/>
      <c r="AU35" s="147" t="n">
        <f aca="false">SUM(AR35:AT35)</f>
        <v>0</v>
      </c>
      <c r="AV35" s="151" t="n">
        <f aca="false">+AU35-AQ35</f>
        <v>0</v>
      </c>
      <c r="AW35" s="152" t="n">
        <f aca="false">AW34+AV35</f>
        <v>0</v>
      </c>
      <c r="AX35" s="159" t="n">
        <v>0</v>
      </c>
      <c r="AY35" s="147" t="n">
        <v>71</v>
      </c>
      <c r="AZ35" s="147" t="n">
        <v>1000</v>
      </c>
      <c r="BA35" s="147"/>
      <c r="BB35" s="147" t="n">
        <f aca="false">SUM(AY35:BA35)</f>
        <v>1071</v>
      </c>
      <c r="BC35" s="151" t="n">
        <f aca="false">+BB35-AX35</f>
        <v>1071</v>
      </c>
      <c r="BD35" s="152" t="n">
        <f aca="false">BD34+BC35</f>
        <v>2121.8</v>
      </c>
      <c r="BE35" s="147" t="n">
        <v>500</v>
      </c>
      <c r="BF35" s="147" t="n">
        <v>296</v>
      </c>
      <c r="BG35" s="147" t="n">
        <v>1000</v>
      </c>
      <c r="BH35" s="147"/>
      <c r="BI35" s="147" t="n">
        <f aca="false">SUM(BF35:BH35)</f>
        <v>1296</v>
      </c>
      <c r="BJ35" s="151" t="n">
        <f aca="false">+BI35-BE35</f>
        <v>796</v>
      </c>
      <c r="BK35" s="152" t="n">
        <f aca="false">BK34+BJ35</f>
        <v>1004.9</v>
      </c>
      <c r="BL35" s="153" t="n">
        <v>13179</v>
      </c>
      <c r="BM35" s="154" t="n">
        <v>26720</v>
      </c>
      <c r="BN35" s="154"/>
      <c r="BO35" s="154"/>
      <c r="BP35" s="154" t="n">
        <f aca="false">SUM(BM35:BO35)</f>
        <v>26720</v>
      </c>
      <c r="BQ35" s="155" t="n">
        <f aca="false">+BP35-BL35</f>
        <v>13541</v>
      </c>
      <c r="BR35" s="152" t="n">
        <f aca="false">BR34+BQ35</f>
        <v>-23368.4</v>
      </c>
      <c r="BS35" s="154"/>
      <c r="BT35" s="154"/>
      <c r="BU35" s="154"/>
      <c r="BV35" s="154"/>
      <c r="BW35" s="154" t="n">
        <f aca="false">SUM(BT35:BV35)</f>
        <v>0</v>
      </c>
      <c r="BX35" s="155" t="n">
        <f aca="false">+BW35-BS35</f>
        <v>0</v>
      </c>
      <c r="BY35" s="152" t="n">
        <f aca="false">BY34+BX35</f>
        <v>0</v>
      </c>
      <c r="BZ35" s="154"/>
      <c r="CA35" s="154"/>
      <c r="CB35" s="154"/>
      <c r="CC35" s="154"/>
      <c r="CD35" s="154" t="n">
        <f aca="false">SUM(CA35:CC35)</f>
        <v>0</v>
      </c>
      <c r="CE35" s="155" t="n">
        <f aca="false">+CD35-BZ35</f>
        <v>0</v>
      </c>
      <c r="CF35" s="152" t="n">
        <f aca="false">CF34+CE35</f>
        <v>0</v>
      </c>
      <c r="CG35" s="154"/>
      <c r="CH35" s="154"/>
      <c r="CI35" s="154"/>
      <c r="CJ35" s="154"/>
      <c r="CK35" s="154" t="n">
        <f aca="false">SUM(CH35:CJ35)</f>
        <v>0</v>
      </c>
      <c r="CL35" s="155" t="n">
        <f aca="false">+CK35-CG35</f>
        <v>0</v>
      </c>
      <c r="CM35" s="152" t="n">
        <f aca="false">CM34+CL35</f>
        <v>0</v>
      </c>
      <c r="CN35" s="81" t="n">
        <f aca="false">+C35+O35+V35+AC35+AJ35+AQ35+AX35+BE35+BL35+BS35+BZ35+CG35</f>
        <v>35275</v>
      </c>
      <c r="CO35" s="81" t="n">
        <f aca="false">+L35+S35+Z35+AG35+AN35+AU35+BB35+BI35+BP35+BW35+CD35+CK35</f>
        <v>72667</v>
      </c>
      <c r="CP35" s="81" t="n">
        <f aca="false">CO35-CN35</f>
        <v>37392</v>
      </c>
      <c r="CQ35" s="152" t="n">
        <f aca="false">CQ34+CP35</f>
        <v>39327.7</v>
      </c>
      <c r="CR35" s="87"/>
      <c r="CS35" s="87"/>
      <c r="CT35" s="111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</row>
    <row r="36" customFormat="false" ht="12.75" hidden="false" customHeight="false" outlineLevel="0" collapsed="false">
      <c r="A36" s="80" t="n">
        <f aca="false">+BaseloadMarkets!A36</f>
        <v>36738</v>
      </c>
      <c r="B36" s="80" t="str">
        <f aca="false">+BaseloadMarkets!B36</f>
        <v>Mon</v>
      </c>
      <c r="C36" s="156" t="n">
        <v>19318</v>
      </c>
      <c r="D36" s="26" t="n">
        <f aca="false">2033+3753</f>
        <v>5786</v>
      </c>
      <c r="E36" s="26" t="n">
        <v>11083</v>
      </c>
      <c r="F36" s="26" t="n">
        <v>0</v>
      </c>
      <c r="G36" s="26" t="n">
        <v>19000</v>
      </c>
      <c r="H36" s="147" t="n">
        <f aca="false">+Border!AD34</f>
        <v>0</v>
      </c>
      <c r="I36" s="26"/>
      <c r="J36" s="26"/>
      <c r="K36" s="26"/>
      <c r="L36" s="148" t="n">
        <f aca="false">SUM(D36:K36)</f>
        <v>35869</v>
      </c>
      <c r="M36" s="81" t="n">
        <f aca="false">+L36-C36</f>
        <v>16551</v>
      </c>
      <c r="N36" s="81" t="n">
        <f aca="false">N35+M36</f>
        <v>17488</v>
      </c>
      <c r="O36" s="156" t="n">
        <f aca="false">1658+909</f>
        <v>2567</v>
      </c>
      <c r="P36" s="26" t="n">
        <v>0</v>
      </c>
      <c r="Q36" s="26" t="n">
        <v>7389</v>
      </c>
      <c r="R36" s="26"/>
      <c r="S36" s="149" t="n">
        <f aca="false">SUM(P36:R36)</f>
        <v>7389</v>
      </c>
      <c r="T36" s="81" t="n">
        <f aca="false">+S36-O36</f>
        <v>4822</v>
      </c>
      <c r="U36" s="81" t="n">
        <f aca="false">U35+T36</f>
        <v>13651.5</v>
      </c>
      <c r="V36" s="26" t="n">
        <v>0</v>
      </c>
      <c r="W36" s="26" t="n">
        <v>7715</v>
      </c>
      <c r="X36" s="26"/>
      <c r="Y36" s="26"/>
      <c r="Z36" s="148" t="n">
        <f aca="false">SUM(W36:Y36)</f>
        <v>7715</v>
      </c>
      <c r="AA36" s="81" t="n">
        <f aca="false">+Z36-V36</f>
        <v>7715</v>
      </c>
      <c r="AB36" s="87" t="n">
        <f aca="false">+AB35+AA36</f>
        <v>10457.7</v>
      </c>
      <c r="AC36" s="159" t="n">
        <v>81</v>
      </c>
      <c r="AD36" s="147" t="n">
        <v>297</v>
      </c>
      <c r="AE36" s="147" t="n">
        <v>1000</v>
      </c>
      <c r="AF36" s="147"/>
      <c r="AG36" s="147" t="n">
        <f aca="false">SUM(AD36:AF36)</f>
        <v>1297</v>
      </c>
      <c r="AH36" s="151" t="n">
        <f aca="false">+AG36-AC36</f>
        <v>1216</v>
      </c>
      <c r="AI36" s="152" t="n">
        <f aca="false">AI35+AH36</f>
        <v>2803</v>
      </c>
      <c r="AJ36" s="147" t="n">
        <v>9078</v>
      </c>
      <c r="AK36" s="147" t="n">
        <v>0</v>
      </c>
      <c r="AL36" s="147" t="n">
        <v>6603</v>
      </c>
      <c r="AM36" s="147"/>
      <c r="AN36" s="147" t="n">
        <f aca="false">SUM(AK36:AM36)</f>
        <v>6603</v>
      </c>
      <c r="AO36" s="151" t="n">
        <f aca="false">+AN36-AJ36</f>
        <v>-2475</v>
      </c>
      <c r="AP36" s="152" t="n">
        <f aca="false">AP35+AO36</f>
        <v>42998.2</v>
      </c>
      <c r="AQ36" s="147" t="n">
        <v>0</v>
      </c>
      <c r="AR36" s="147" t="n">
        <v>0</v>
      </c>
      <c r="AS36" s="147"/>
      <c r="AT36" s="147"/>
      <c r="AU36" s="147" t="n">
        <f aca="false">SUM(AR36:AT36)</f>
        <v>0</v>
      </c>
      <c r="AV36" s="151" t="n">
        <f aca="false">+AU36-AQ36</f>
        <v>0</v>
      </c>
      <c r="AW36" s="152" t="n">
        <f aca="false">AW35+AV36</f>
        <v>0</v>
      </c>
      <c r="AX36" s="159" t="n">
        <v>118</v>
      </c>
      <c r="AY36" s="147" t="n">
        <v>71</v>
      </c>
      <c r="AZ36" s="147" t="n">
        <v>1000</v>
      </c>
      <c r="BA36" s="147"/>
      <c r="BB36" s="147" t="n">
        <f aca="false">SUM(AY36:BA36)</f>
        <v>1071</v>
      </c>
      <c r="BC36" s="151" t="n">
        <f aca="false">+BB36-AX36</f>
        <v>953</v>
      </c>
      <c r="BD36" s="152" t="n">
        <f aca="false">BD35+BC36</f>
        <v>3074.8</v>
      </c>
      <c r="BE36" s="147" t="n">
        <v>500</v>
      </c>
      <c r="BF36" s="147" t="n">
        <v>297</v>
      </c>
      <c r="BG36" s="147" t="n">
        <v>1000</v>
      </c>
      <c r="BH36" s="147"/>
      <c r="BI36" s="147" t="n">
        <f aca="false">SUM(BF36:BH36)</f>
        <v>1297</v>
      </c>
      <c r="BJ36" s="151" t="n">
        <f aca="false">+BI36-BE36</f>
        <v>797</v>
      </c>
      <c r="BK36" s="152" t="n">
        <f aca="false">BK35+BJ36</f>
        <v>1801.9</v>
      </c>
      <c r="BL36" s="153" t="n">
        <v>13379</v>
      </c>
      <c r="BM36" s="154" t="n">
        <v>26738</v>
      </c>
      <c r="BN36" s="154"/>
      <c r="BO36" s="154" t="n">
        <v>15000</v>
      </c>
      <c r="BP36" s="154" t="n">
        <f aca="false">SUM(BM36:BO36)</f>
        <v>41738</v>
      </c>
      <c r="BQ36" s="155" t="n">
        <f aca="false">+BP36-BL36</f>
        <v>28359</v>
      </c>
      <c r="BR36" s="152" t="n">
        <f aca="false">BR35+BQ36</f>
        <v>4990.6</v>
      </c>
      <c r="BS36" s="154"/>
      <c r="BT36" s="154"/>
      <c r="BU36" s="154"/>
      <c r="BV36" s="154"/>
      <c r="BW36" s="154" t="n">
        <f aca="false">SUM(BT36:BV36)</f>
        <v>0</v>
      </c>
      <c r="BX36" s="155" t="n">
        <f aca="false">+BW36-BS36</f>
        <v>0</v>
      </c>
      <c r="BY36" s="152" t="n">
        <f aca="false">BY35+BX36</f>
        <v>0</v>
      </c>
      <c r="BZ36" s="154"/>
      <c r="CA36" s="154"/>
      <c r="CB36" s="154"/>
      <c r="CC36" s="154"/>
      <c r="CD36" s="154" t="n">
        <f aca="false">SUM(CA36:CC36)</f>
        <v>0</v>
      </c>
      <c r="CE36" s="155" t="n">
        <f aca="false">+CD36-BZ36</f>
        <v>0</v>
      </c>
      <c r="CF36" s="152" t="n">
        <f aca="false">CF35+CE36</f>
        <v>0</v>
      </c>
      <c r="CG36" s="154"/>
      <c r="CH36" s="154"/>
      <c r="CI36" s="154"/>
      <c r="CJ36" s="154"/>
      <c r="CK36" s="154" t="n">
        <f aca="false">SUM(CH36:CJ36)</f>
        <v>0</v>
      </c>
      <c r="CL36" s="155" t="n">
        <f aca="false">+CK36-CG36</f>
        <v>0</v>
      </c>
      <c r="CM36" s="152" t="n">
        <f aca="false">CM35+CL36</f>
        <v>0</v>
      </c>
      <c r="CN36" s="81" t="n">
        <f aca="false">+C36+O36+V36+AC36+AJ36+AQ36+AX36+BE36+BL36+BS36+BZ36+CG36</f>
        <v>45041</v>
      </c>
      <c r="CO36" s="81" t="n">
        <f aca="false">+L36+S36+Z36+AG36+AN36+AU36+BB36+BI36+BP36+BW36+CD36+CK36</f>
        <v>102979</v>
      </c>
      <c r="CP36" s="81" t="n">
        <f aca="false">CO36-CN36</f>
        <v>57938</v>
      </c>
      <c r="CQ36" s="152" t="n">
        <f aca="false">CQ35+CP36</f>
        <v>97265.7</v>
      </c>
      <c r="CR36" s="87"/>
      <c r="CS36" s="87"/>
      <c r="CT36" s="111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</row>
    <row r="37" customFormat="false" ht="12.75" hidden="false" customHeight="false" outlineLevel="0" collapsed="false">
      <c r="A37" s="88" t="s">
        <v>62</v>
      </c>
      <c r="C37" s="32" t="n">
        <f aca="false">SUM(C6:C36)</f>
        <v>315254</v>
      </c>
      <c r="D37" s="32" t="n">
        <f aca="false">SUM(D6:D36)</f>
        <v>54561</v>
      </c>
      <c r="E37" s="32" t="n">
        <f aca="false">SUM(E6:E36)</f>
        <v>206519</v>
      </c>
      <c r="F37" s="32" t="n">
        <f aca="false">SUM(F6:F36)</f>
        <v>19786</v>
      </c>
      <c r="G37" s="32" t="n">
        <f aca="false">SUM(G6:G36)</f>
        <v>51876</v>
      </c>
      <c r="H37" s="160" t="n">
        <f aca="false">SUM(H6:H36)</f>
        <v>0</v>
      </c>
      <c r="I37" s="32" t="n">
        <f aca="false">SUM(I6:I36)</f>
        <v>0</v>
      </c>
      <c r="J37" s="32" t="n">
        <f aca="false">SUM(J6:J36)</f>
        <v>0</v>
      </c>
      <c r="K37" s="32" t="n">
        <f aca="false">SUM(K6:K36)</f>
        <v>0</v>
      </c>
      <c r="L37" s="161" t="n">
        <f aca="false">SUM(L6:L36)</f>
        <v>332742</v>
      </c>
      <c r="M37" s="89" t="n">
        <f aca="false">SUM(M6:M36)</f>
        <v>17488</v>
      </c>
      <c r="N37" s="89"/>
      <c r="O37" s="32" t="n">
        <f aca="false">SUM(O6:O36)</f>
        <v>62695.5</v>
      </c>
      <c r="P37" s="32" t="n">
        <f aca="false">SUM(P6:P36)</f>
        <v>22300</v>
      </c>
      <c r="Q37" s="32" t="n">
        <f aca="false">SUM(Q6:Q36)</f>
        <v>34047</v>
      </c>
      <c r="R37" s="32" t="n">
        <f aca="false">SUM(R6:R36)</f>
        <v>20000</v>
      </c>
      <c r="S37" s="161" t="n">
        <f aca="false">SUM(S6:S36)</f>
        <v>76347</v>
      </c>
      <c r="T37" s="89" t="n">
        <f aca="false">SUM(T6:T36)</f>
        <v>13651.5</v>
      </c>
      <c r="U37" s="89"/>
      <c r="V37" s="32" t="n">
        <f aca="false">SUM(V6:V36)</f>
        <v>33504.3</v>
      </c>
      <c r="W37" s="32" t="n">
        <f aca="false">SUM(W6:W36)</f>
        <v>43962</v>
      </c>
      <c r="X37" s="32" t="n">
        <f aca="false">SUM(X6:X36)</f>
        <v>0</v>
      </c>
      <c r="Y37" s="32" t="n">
        <f aca="false">SUM(Y6:Y36)</f>
        <v>0</v>
      </c>
      <c r="Z37" s="161" t="n">
        <f aca="false">SUM(Z6:Z36)</f>
        <v>43962</v>
      </c>
      <c r="AA37" s="89" t="n">
        <f aca="false">SUM(AA6:AA36)</f>
        <v>10457.7</v>
      </c>
      <c r="AB37" s="96"/>
      <c r="AC37" s="160" t="n">
        <f aca="false">SUM(AC6:AC36)</f>
        <v>4250</v>
      </c>
      <c r="AD37" s="160" t="n">
        <f aca="false">SUM(AD6:AD36)</f>
        <v>4512</v>
      </c>
      <c r="AE37" s="160" t="n">
        <f aca="false">SUM(AE6:AE36)</f>
        <v>2541</v>
      </c>
      <c r="AF37" s="160" t="n">
        <f aca="false">SUM(AF6:AF36)</f>
        <v>0</v>
      </c>
      <c r="AG37" s="160" t="n">
        <f aca="false">SUM(AG6:AG36)</f>
        <v>7053</v>
      </c>
      <c r="AH37" s="162" t="n">
        <f aca="false">SUM(AH6:AH36)</f>
        <v>2803</v>
      </c>
      <c r="AI37" s="163"/>
      <c r="AJ37" s="160" t="n">
        <f aca="false">SUM(AJ6:AJ36)</f>
        <v>276982.8</v>
      </c>
      <c r="AK37" s="160" t="n">
        <v>0</v>
      </c>
      <c r="AL37" s="160" t="n">
        <f aca="false">SUM(AL6:AL36)</f>
        <v>153144</v>
      </c>
      <c r="AM37" s="160" t="n">
        <f aca="false">SUM(AM6:AM36)</f>
        <v>27444</v>
      </c>
      <c r="AN37" s="160" t="n">
        <f aca="false">SUM(AN6:AN36)</f>
        <v>319981</v>
      </c>
      <c r="AO37" s="162" t="n">
        <f aca="false">SUM(AO6:AO36)</f>
        <v>42998.2</v>
      </c>
      <c r="AP37" s="163"/>
      <c r="AQ37" s="160" t="n">
        <f aca="false">SUM(AQ6:AQ36)</f>
        <v>0</v>
      </c>
      <c r="AR37" s="160" t="n">
        <f aca="false">SUM(AR6:AR36)</f>
        <v>0</v>
      </c>
      <c r="AS37" s="160" t="n">
        <f aca="false">SUM(AS6:AS36)</f>
        <v>0</v>
      </c>
      <c r="AT37" s="160" t="n">
        <f aca="false">SUM(AT6:AT36)</f>
        <v>0</v>
      </c>
      <c r="AU37" s="160" t="n">
        <f aca="false">SUM(AU6:AU36)</f>
        <v>0</v>
      </c>
      <c r="AV37" s="162" t="n">
        <f aca="false">SUM(AV6:AV36)</f>
        <v>0</v>
      </c>
      <c r="AW37" s="163"/>
      <c r="AX37" s="160" t="n">
        <f aca="false">SUM(AX6:AX36)</f>
        <v>3842.2</v>
      </c>
      <c r="AY37" s="160" t="n">
        <f aca="false">SUM(AY6:AY36)</f>
        <v>4376</v>
      </c>
      <c r="AZ37" s="160" t="n">
        <f aca="false">SUM(AZ6:AZ36)</f>
        <v>2541</v>
      </c>
      <c r="BA37" s="160" t="n">
        <f aca="false">SUM(BA6:BA36)</f>
        <v>0</v>
      </c>
      <c r="BB37" s="160" t="n">
        <f aca="false">SUM(BB6:BB36)</f>
        <v>6917</v>
      </c>
      <c r="BC37" s="162" t="n">
        <f aca="false">SUM(BC6:BC36)</f>
        <v>3074.8</v>
      </c>
      <c r="BD37" s="163"/>
      <c r="BE37" s="160" t="n">
        <f aca="false">SUM(BE6:BE36)</f>
        <v>7450.1</v>
      </c>
      <c r="BF37" s="160" t="n">
        <f aca="false">SUM(BF6:BF36)</f>
        <v>6711</v>
      </c>
      <c r="BG37" s="160" t="n">
        <f aca="false">SUM(BG6:BG36)</f>
        <v>2541</v>
      </c>
      <c r="BH37" s="160" t="n">
        <f aca="false">SUM(BH6:BH36)</f>
        <v>0</v>
      </c>
      <c r="BI37" s="160" t="n">
        <f aca="false">SUM(BI6:BI36)</f>
        <v>9252</v>
      </c>
      <c r="BJ37" s="162" t="n">
        <f aca="false">SUM(BJ6:BJ36)</f>
        <v>1801.9</v>
      </c>
      <c r="BK37" s="163"/>
      <c r="BL37" s="164" t="n">
        <f aca="false">SUM(BL6:BL36)</f>
        <v>288563.4</v>
      </c>
      <c r="BM37" s="164" t="n">
        <f aca="false">SUM(BM6:BM36)</f>
        <v>238554</v>
      </c>
      <c r="BN37" s="164" t="n">
        <f aca="false">SUM(BN6:BN36)</f>
        <v>0</v>
      </c>
      <c r="BO37" s="164" t="n">
        <f aca="false">SUM(BO6:BO36)</f>
        <v>55000</v>
      </c>
      <c r="BP37" s="164" t="n">
        <f aca="false">SUM(BP6:BP36)</f>
        <v>293554</v>
      </c>
      <c r="BQ37" s="165" t="n">
        <f aca="false">SUM(BQ6:BQ36)</f>
        <v>4990.6</v>
      </c>
      <c r="BR37" s="163"/>
      <c r="BS37" s="164" t="n">
        <f aca="false">SUM(BS6:BS36)</f>
        <v>0</v>
      </c>
      <c r="BT37" s="164" t="n">
        <f aca="false">SUM(BT6:BT36)</f>
        <v>0</v>
      </c>
      <c r="BU37" s="164" t="n">
        <f aca="false">SUM(BU6:BU36)</f>
        <v>0</v>
      </c>
      <c r="BV37" s="164" t="n">
        <f aca="false">SUM(BV6:BV36)</f>
        <v>0</v>
      </c>
      <c r="BW37" s="164" t="n">
        <f aca="false">SUM(BW6:BW36)</f>
        <v>0</v>
      </c>
      <c r="BX37" s="165" t="n">
        <f aca="false">SUM(BX6:BX36)</f>
        <v>0</v>
      </c>
      <c r="BY37" s="163"/>
      <c r="BZ37" s="164" t="n">
        <f aca="false">SUM(BZ6:BZ36)</f>
        <v>0</v>
      </c>
      <c r="CA37" s="164" t="n">
        <f aca="false">SUM(CA6:CA36)</f>
        <v>0</v>
      </c>
      <c r="CB37" s="164" t="n">
        <f aca="false">SUM(CB6:CB36)</f>
        <v>0</v>
      </c>
      <c r="CC37" s="164" t="n">
        <f aca="false">SUM(CC6:CC36)</f>
        <v>0</v>
      </c>
      <c r="CD37" s="164" t="n">
        <f aca="false">SUM(CD6:CD36)</f>
        <v>0</v>
      </c>
      <c r="CE37" s="165" t="n">
        <f aca="false">SUM(CE6:CE36)</f>
        <v>0</v>
      </c>
      <c r="CF37" s="163"/>
      <c r="CG37" s="164" t="n">
        <f aca="false">SUM(CG6:CG36)</f>
        <v>0</v>
      </c>
      <c r="CH37" s="164" t="n">
        <f aca="false">SUM(CH6:CH36)</f>
        <v>0</v>
      </c>
      <c r="CI37" s="164" t="n">
        <f aca="false">SUM(CI6:CI36)</f>
        <v>0</v>
      </c>
      <c r="CJ37" s="164" t="n">
        <f aca="false">SUM(CJ6:CJ36)</f>
        <v>0</v>
      </c>
      <c r="CK37" s="164" t="n">
        <f aca="false">SUM(CK6:CK36)</f>
        <v>0</v>
      </c>
      <c r="CL37" s="165" t="n">
        <f aca="false">SUM(CL6:CL36)</f>
        <v>0</v>
      </c>
      <c r="CM37" s="163"/>
      <c r="CN37" s="91" t="n">
        <f aca="false">SUM(CN6:CN36)</f>
        <v>992542.3</v>
      </c>
      <c r="CO37" s="89" t="n">
        <f aca="false">SUM(CO6:CO36)</f>
        <v>1089808</v>
      </c>
      <c r="CP37" s="89" t="n">
        <f aca="false">SUM(CP6:CP36)</f>
        <v>97265.7</v>
      </c>
      <c r="CQ37" s="32"/>
      <c r="CR37" s="32"/>
      <c r="CS37" s="32"/>
      <c r="CT37" s="9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93"/>
      <c r="DH37" s="93"/>
      <c r="DI37" s="93"/>
      <c r="DJ37" s="93"/>
      <c r="DK37" s="93"/>
      <c r="DL37" s="93"/>
      <c r="DM37" s="93"/>
      <c r="DN37" s="93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5"/>
      <c r="EL37" s="95"/>
      <c r="EM37" s="95"/>
      <c r="EN37" s="95"/>
      <c r="EO37" s="95"/>
      <c r="EP37" s="95"/>
      <c r="EQ37" s="95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12.75" hidden="false" customHeight="false" outlineLevel="0" collapsed="false">
      <c r="A38" s="97"/>
      <c r="C38" s="97"/>
      <c r="D38" s="97"/>
      <c r="E38" s="97"/>
      <c r="F38" s="97"/>
      <c r="G38" s="166" t="s">
        <v>137</v>
      </c>
      <c r="H38" s="167"/>
      <c r="I38" s="97"/>
      <c r="J38" s="97"/>
      <c r="K38" s="97"/>
      <c r="L38" s="168"/>
      <c r="M38" s="97"/>
      <c r="N38" s="97"/>
      <c r="O38" s="35"/>
      <c r="P38" s="97"/>
      <c r="Q38" s="97"/>
      <c r="R38" s="97" t="s">
        <v>138</v>
      </c>
      <c r="S38" s="169"/>
      <c r="T38" s="35"/>
      <c r="U38" s="35"/>
      <c r="V38" s="35"/>
      <c r="W38" s="97"/>
      <c r="X38" s="97"/>
      <c r="Y38" s="97"/>
      <c r="Z38" s="169"/>
      <c r="AA38" s="35"/>
      <c r="AB38" s="103"/>
      <c r="AC38" s="170"/>
      <c r="AD38" s="170"/>
      <c r="AE38" s="171"/>
      <c r="AF38" s="170"/>
      <c r="AG38" s="170"/>
      <c r="AH38" s="170"/>
      <c r="AI38" s="172"/>
      <c r="AJ38" s="170"/>
      <c r="AK38" s="170"/>
      <c r="AL38" s="171"/>
      <c r="AM38" s="170" t="s">
        <v>139</v>
      </c>
      <c r="AN38" s="170"/>
      <c r="AO38" s="170"/>
      <c r="AP38" s="172"/>
      <c r="AQ38" s="170"/>
      <c r="AR38" s="170"/>
      <c r="AS38" s="171"/>
      <c r="AT38" s="170"/>
      <c r="AU38" s="170"/>
      <c r="AV38" s="170"/>
      <c r="AW38" s="172"/>
      <c r="AX38" s="170"/>
      <c r="AY38" s="170"/>
      <c r="AZ38" s="171"/>
      <c r="BA38" s="170"/>
      <c r="BB38" s="170"/>
      <c r="BC38" s="170"/>
      <c r="BD38" s="172"/>
      <c r="BE38" s="170"/>
      <c r="BF38" s="170"/>
      <c r="BG38" s="171"/>
      <c r="BH38" s="170"/>
      <c r="BI38" s="170"/>
      <c r="BJ38" s="170"/>
      <c r="BK38" s="172"/>
      <c r="BL38" s="173"/>
      <c r="BM38" s="173"/>
      <c r="BN38" s="174"/>
      <c r="BO38" s="173"/>
      <c r="BP38" s="173"/>
      <c r="BQ38" s="173"/>
      <c r="BR38" s="172"/>
      <c r="BS38" s="173"/>
      <c r="BT38" s="173"/>
      <c r="BU38" s="174"/>
      <c r="BV38" s="173"/>
      <c r="BW38" s="173"/>
      <c r="BX38" s="173"/>
      <c r="BY38" s="172"/>
      <c r="BZ38" s="173"/>
      <c r="CA38" s="173"/>
      <c r="CB38" s="174"/>
      <c r="CC38" s="173"/>
      <c r="CD38" s="173"/>
      <c r="CE38" s="173"/>
      <c r="CF38" s="172"/>
      <c r="CG38" s="173"/>
      <c r="CH38" s="173"/>
      <c r="CI38" s="174"/>
      <c r="CJ38" s="173"/>
      <c r="CK38" s="173"/>
      <c r="CL38" s="173"/>
      <c r="CM38" s="172"/>
      <c r="CN38" s="44"/>
      <c r="CO38" s="35"/>
      <c r="CP38" s="35"/>
      <c r="CQ38" s="35"/>
      <c r="CR38" s="35"/>
      <c r="CS38" s="35"/>
      <c r="CT38" s="99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100"/>
      <c r="DH38" s="100"/>
      <c r="DI38" s="100"/>
      <c r="DJ38" s="100"/>
      <c r="DK38" s="100"/>
      <c r="DL38" s="100"/>
      <c r="DM38" s="100"/>
      <c r="DN38" s="100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2"/>
      <c r="EL38" s="102"/>
      <c r="EM38" s="102"/>
      <c r="EN38" s="102"/>
      <c r="EO38" s="102"/>
      <c r="EP38" s="102"/>
      <c r="EQ38" s="102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</row>
    <row r="39" customFormat="false" ht="12.75" hidden="false" customHeight="false" outlineLevel="0" collapsed="false">
      <c r="A39" s="26"/>
      <c r="B39" s="26"/>
      <c r="C39" s="26"/>
      <c r="D39" s="26"/>
      <c r="E39" s="26"/>
      <c r="F39" s="26"/>
      <c r="G39" s="26" t="s">
        <v>140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170"/>
      <c r="AK39" s="170"/>
      <c r="AL39" s="171"/>
      <c r="AM39" s="170" t="s">
        <v>141</v>
      </c>
      <c r="AN39" s="170"/>
      <c r="AO39" s="170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</row>
    <row r="40" customFormat="false" ht="12.75" hidden="false" customHeight="false" outlineLevel="0" collapsed="false">
      <c r="A40" s="46"/>
      <c r="C40" s="26"/>
      <c r="E40" s="26"/>
      <c r="F40" s="26"/>
      <c r="G40" s="26"/>
      <c r="I40" s="26"/>
      <c r="J40" s="26"/>
      <c r="K40" s="26"/>
      <c r="M40" s="81"/>
      <c r="P40" s="26"/>
      <c r="Q40" s="26"/>
      <c r="R40" s="26"/>
      <c r="W40" s="26"/>
      <c r="X40" s="26"/>
      <c r="Y40" s="26"/>
      <c r="CN40" s="44"/>
    </row>
    <row r="41" customFormat="false" ht="12.75" hidden="false" customHeight="false" outlineLevel="0" collapsed="false">
      <c r="A41" s="46"/>
      <c r="C41" s="26"/>
      <c r="M41" s="81"/>
      <c r="N41" s="26"/>
    </row>
    <row r="42" customFormat="false" ht="12.75" hidden="false" customHeight="false" outlineLevel="0" collapsed="false">
      <c r="A42" s="46"/>
      <c r="M42" s="26"/>
      <c r="N42" s="26"/>
    </row>
    <row r="43" customFormat="false" ht="12.75" hidden="false" customHeight="false" outlineLevel="0" collapsed="false">
      <c r="A43" s="46"/>
      <c r="E43" s="26"/>
      <c r="F43" s="26"/>
      <c r="G43" s="26"/>
      <c r="H43" s="147"/>
      <c r="I43" s="26"/>
      <c r="J43" s="26"/>
      <c r="K43" s="26"/>
      <c r="N43" s="26"/>
      <c r="P43" s="26"/>
      <c r="Q43" s="26"/>
      <c r="R43" s="26"/>
      <c r="W43" s="26"/>
      <c r="X43" s="26"/>
      <c r="Y43" s="26"/>
    </row>
    <row r="44" customFormat="false" ht="12.75" hidden="false" customHeight="false" outlineLevel="0" collapsed="false">
      <c r="A44" s="46"/>
    </row>
    <row r="45" customFormat="false" ht="12.75" hidden="false" customHeight="false" outlineLevel="0" collapsed="false">
      <c r="A45" s="46"/>
      <c r="C45" s="26"/>
      <c r="H45" s="147"/>
    </row>
    <row r="46" customFormat="false" ht="12.75" hidden="false" customHeight="false" outlineLevel="0" collapsed="false">
      <c r="A46" s="46"/>
    </row>
    <row r="47" customFormat="false" ht="12.75" hidden="false" customHeight="false" outlineLevel="0" collapsed="false">
      <c r="A47" s="46"/>
    </row>
    <row r="48" customFormat="false" ht="12.75" hidden="false" customHeight="false" outlineLevel="0" collapsed="false">
      <c r="A48" s="46"/>
    </row>
    <row r="49" customFormat="false" ht="12.75" hidden="false" customHeight="false" outlineLevel="0" collapsed="false">
      <c r="A49" s="46"/>
    </row>
    <row r="50" customFormat="false" ht="12.75" hidden="false" customHeight="false" outlineLevel="0" collapsed="false">
      <c r="A50" s="46"/>
    </row>
    <row r="51" customFormat="false" ht="12.75" hidden="false" customHeight="false" outlineLevel="0" collapsed="false">
      <c r="A51" s="46"/>
    </row>
    <row r="52" customFormat="false" ht="12.75" hidden="false" customHeight="false" outlineLevel="0" collapsed="false">
      <c r="A52" s="46"/>
    </row>
    <row r="53" customFormat="false" ht="12.75" hidden="false" customHeight="false" outlineLevel="0" collapsed="false">
      <c r="A53" s="46"/>
    </row>
    <row r="54" customFormat="false" ht="12.75" hidden="false" customHeight="false" outlineLevel="0" collapsed="false">
      <c r="A54" s="46"/>
    </row>
    <row r="55" customFormat="false" ht="12.75" hidden="false" customHeight="false" outlineLevel="0" collapsed="false">
      <c r="A55" s="46"/>
    </row>
    <row r="56" customFormat="false" ht="12.75" hidden="false" customHeight="false" outlineLevel="0" collapsed="false">
      <c r="A56" s="46"/>
    </row>
    <row r="57" customFormat="false" ht="12.75" hidden="false" customHeight="false" outlineLevel="0" collapsed="false">
      <c r="A57" s="46"/>
    </row>
    <row r="58" customFormat="false" ht="12.75" hidden="false" customHeight="false" outlineLevel="0" collapsed="false">
      <c r="A58" s="46"/>
    </row>
    <row r="59" customFormat="false" ht="12.75" hidden="false" customHeight="false" outlineLevel="0" collapsed="false">
      <c r="A59" s="46"/>
    </row>
    <row r="60" customFormat="false" ht="12.75" hidden="false" customHeight="false" outlineLevel="0" collapsed="false">
      <c r="A60" s="46"/>
    </row>
    <row r="61" customFormat="false" ht="12.75" hidden="false" customHeight="false" outlineLevel="0" collapsed="false">
      <c r="A61" s="46"/>
    </row>
    <row r="62" customFormat="false" ht="12.75" hidden="false" customHeight="false" outlineLevel="0" collapsed="false">
      <c r="A62" s="46"/>
    </row>
    <row r="63" customFormat="false" ht="12.75" hidden="false" customHeight="false" outlineLevel="0" collapsed="false">
      <c r="A63" s="46"/>
    </row>
    <row r="64" customFormat="false" ht="12.75" hidden="false" customHeight="false" outlineLevel="0" collapsed="false">
      <c r="A64" s="46"/>
    </row>
    <row r="65" customFormat="false" ht="12.75" hidden="false" customHeight="false" outlineLevel="0" collapsed="false">
      <c r="A65" s="46"/>
    </row>
    <row r="66" customFormat="false" ht="12.75" hidden="false" customHeight="false" outlineLevel="0" collapsed="false">
      <c r="A66" s="46"/>
    </row>
    <row r="67" customFormat="false" ht="12.75" hidden="false" customHeight="false" outlineLevel="0" collapsed="false">
      <c r="A67" s="46"/>
    </row>
    <row r="68" customFormat="false" ht="12.75" hidden="false" customHeight="false" outlineLevel="0" collapsed="false">
      <c r="A68" s="46"/>
    </row>
    <row r="69" customFormat="false" ht="12.75" hidden="false" customHeight="false" outlineLevel="0" collapsed="false">
      <c r="A69" s="46"/>
    </row>
    <row r="70" customFormat="false" ht="12.75" hidden="false" customHeight="false" outlineLevel="0" collapsed="false">
      <c r="A70" s="46"/>
    </row>
    <row r="71" customFormat="false" ht="12.75" hidden="false" customHeight="false" outlineLevel="0" collapsed="false">
      <c r="A71" s="46"/>
    </row>
    <row r="72" customFormat="false" ht="12.75" hidden="false" customHeight="false" outlineLevel="0" collapsed="false">
      <c r="A72" s="46"/>
    </row>
    <row r="73" customFormat="false" ht="12.75" hidden="false" customHeight="false" outlineLevel="0" collapsed="false">
      <c r="A73" s="46"/>
    </row>
    <row r="74" customFormat="false" ht="12.75" hidden="false" customHeight="false" outlineLevel="0" collapsed="false">
      <c r="A74" s="46"/>
    </row>
    <row r="75" customFormat="false" ht="12.75" hidden="false" customHeight="false" outlineLevel="0" collapsed="false">
      <c r="A75" s="46"/>
    </row>
    <row r="76" customFormat="false" ht="12.75" hidden="false" customHeight="false" outlineLevel="0" collapsed="false">
      <c r="A76" s="46"/>
    </row>
    <row r="77" customFormat="false" ht="12.75" hidden="false" customHeight="false" outlineLevel="0" collapsed="false">
      <c r="A77" s="46"/>
    </row>
    <row r="78" customFormat="false" ht="12.75" hidden="false" customHeight="false" outlineLevel="0" collapsed="false">
      <c r="A78" s="46"/>
    </row>
    <row r="79" customFormat="false" ht="12.75" hidden="false" customHeight="false" outlineLevel="0" collapsed="false">
      <c r="A79" s="46"/>
    </row>
    <row r="80" customFormat="false" ht="12.75" hidden="false" customHeight="false" outlineLevel="0" collapsed="false">
      <c r="A80" s="46"/>
    </row>
    <row r="81" customFormat="false" ht="12.75" hidden="false" customHeight="false" outlineLevel="0" collapsed="false">
      <c r="A81" s="46"/>
    </row>
    <row r="82" customFormat="false" ht="12.75" hidden="false" customHeight="false" outlineLevel="0" collapsed="false">
      <c r="A82" s="46"/>
    </row>
    <row r="83" customFormat="false" ht="12.75" hidden="false" customHeight="false" outlineLevel="0" collapsed="false">
      <c r="A83" s="46"/>
    </row>
    <row r="84" customFormat="false" ht="12.75" hidden="false" customHeight="false" outlineLevel="0" collapsed="false">
      <c r="A84" s="46"/>
    </row>
    <row r="85" customFormat="false" ht="12.75" hidden="false" customHeight="false" outlineLevel="0" collapsed="false">
      <c r="A85" s="46"/>
    </row>
    <row r="86" customFormat="false" ht="12.75" hidden="false" customHeight="false" outlineLevel="0" collapsed="false">
      <c r="A86" s="46"/>
    </row>
    <row r="87" customFormat="false" ht="12.75" hidden="false" customHeight="false" outlineLevel="0" collapsed="false">
      <c r="A87" s="46"/>
    </row>
    <row r="88" customFormat="false" ht="12.75" hidden="false" customHeight="false" outlineLevel="0" collapsed="false">
      <c r="A88" s="46"/>
    </row>
    <row r="89" customFormat="false" ht="12.75" hidden="false" customHeight="false" outlineLevel="0" collapsed="false">
      <c r="A89" s="46"/>
    </row>
    <row r="90" customFormat="false" ht="12.75" hidden="false" customHeight="false" outlineLevel="0" collapsed="false">
      <c r="A90" s="46"/>
    </row>
    <row r="91" customFormat="false" ht="12.75" hidden="false" customHeight="false" outlineLevel="0" collapsed="false">
      <c r="A91" s="46"/>
    </row>
    <row r="92" customFormat="false" ht="12.75" hidden="false" customHeight="false" outlineLevel="0" collapsed="false">
      <c r="A92" s="46"/>
    </row>
    <row r="93" customFormat="false" ht="12.75" hidden="false" customHeight="false" outlineLevel="0" collapsed="false">
      <c r="A93" s="46"/>
    </row>
    <row r="94" customFormat="false" ht="12.75" hidden="false" customHeight="false" outlineLevel="0" collapsed="false">
      <c r="A94" s="46"/>
    </row>
    <row r="95" customFormat="false" ht="12.75" hidden="false" customHeight="false" outlineLevel="0" collapsed="false">
      <c r="A95" s="46"/>
    </row>
    <row r="96" customFormat="false" ht="12.75" hidden="false" customHeight="false" outlineLevel="0" collapsed="false">
      <c r="A96" s="46"/>
    </row>
    <row r="97" customFormat="false" ht="12.75" hidden="false" customHeight="false" outlineLevel="0" collapsed="false">
      <c r="A97" s="46"/>
    </row>
    <row r="98" customFormat="false" ht="12.75" hidden="false" customHeight="false" outlineLevel="0" collapsed="false">
      <c r="A98" s="46"/>
    </row>
    <row r="99" customFormat="false" ht="12.75" hidden="false" customHeight="false" outlineLevel="0" collapsed="false">
      <c r="A99" s="46"/>
    </row>
    <row r="100" customFormat="false" ht="12.75" hidden="false" customHeight="false" outlineLevel="0" collapsed="false">
      <c r="A100" s="46"/>
      <c r="C100" s="157" t="n">
        <v>184</v>
      </c>
      <c r="D100" s="175" t="n">
        <f aca="false">ROUND(+C100/$C$105,4)</f>
        <v>0.0284</v>
      </c>
      <c r="E100" s="157" t="n">
        <f aca="false">ROUND(+D100*6000,0)</f>
        <v>170</v>
      </c>
      <c r="F100" s="157" t="n">
        <f aca="false">ROUND(+E100*6000,0)</f>
        <v>1020000</v>
      </c>
      <c r="G100" s="157" t="n">
        <f aca="false">ROUND(+F100*6000,0)</f>
        <v>6120000000</v>
      </c>
      <c r="I100" s="157" t="n">
        <f aca="false">ROUND(+H100*6000,0)</f>
        <v>0</v>
      </c>
      <c r="J100" s="157" t="n">
        <f aca="false">ROUND(+I100*6000,0)</f>
        <v>0</v>
      </c>
      <c r="K100" s="157" t="n">
        <f aca="false">ROUND(+J100*6000,0)</f>
        <v>0</v>
      </c>
      <c r="P100" s="157" t="n">
        <f aca="false">ROUND(+O100*6000,0)</f>
        <v>0</v>
      </c>
      <c r="Q100" s="157" t="n">
        <f aca="false">ROUND(+P100*6000,0)</f>
        <v>0</v>
      </c>
      <c r="R100" s="157" t="n">
        <f aca="false">ROUND(+Q100*6000,0)</f>
        <v>0</v>
      </c>
      <c r="W100" s="157" t="n">
        <f aca="false">ROUND(+V100*6000,0)</f>
        <v>0</v>
      </c>
      <c r="X100" s="157" t="n">
        <f aca="false">ROUND(+W100*6000,0)</f>
        <v>0</v>
      </c>
      <c r="Y100" s="157" t="n">
        <f aca="false">ROUND(+X100*6000,0)</f>
        <v>0</v>
      </c>
    </row>
    <row r="101" customFormat="false" ht="12.75" hidden="false" customHeight="false" outlineLevel="0" collapsed="false">
      <c r="A101" s="46"/>
      <c r="C101" s="157" t="n">
        <v>5771</v>
      </c>
      <c r="D101" s="175" t="n">
        <f aca="false">ROUND(+C101/$C$105,4)</f>
        <v>0.8911</v>
      </c>
      <c r="E101" s="157" t="n">
        <f aca="false">ROUND(+D101*6000,0)</f>
        <v>5347</v>
      </c>
      <c r="F101" s="157" t="n">
        <f aca="false">ROUND(+E101*6000,0)</f>
        <v>32082000</v>
      </c>
      <c r="G101" s="157" t="n">
        <f aca="false">ROUND(+F101*6000,0)</f>
        <v>192492000000</v>
      </c>
      <c r="I101" s="157" t="n">
        <f aca="false">ROUND(+H101*6000,0)</f>
        <v>0</v>
      </c>
      <c r="J101" s="157" t="n">
        <f aca="false">ROUND(+I101*6000,0)</f>
        <v>0</v>
      </c>
      <c r="K101" s="157" t="n">
        <f aca="false">ROUND(+J101*6000,0)</f>
        <v>0</v>
      </c>
      <c r="P101" s="157" t="n">
        <f aca="false">ROUND(+O101*6000,0)</f>
        <v>0</v>
      </c>
      <c r="Q101" s="157" t="n">
        <f aca="false">ROUND(+P101*6000,0)</f>
        <v>0</v>
      </c>
      <c r="R101" s="157" t="n">
        <f aca="false">ROUND(+Q101*6000,0)</f>
        <v>0</v>
      </c>
      <c r="W101" s="157" t="n">
        <f aca="false">ROUND(+V101*6000,0)</f>
        <v>0</v>
      </c>
      <c r="X101" s="157" t="n">
        <f aca="false">ROUND(+W101*6000,0)</f>
        <v>0</v>
      </c>
      <c r="Y101" s="157" t="n">
        <f aca="false">ROUND(+X101*6000,0)</f>
        <v>0</v>
      </c>
    </row>
    <row r="102" customFormat="false" ht="12.75" hidden="false" customHeight="false" outlineLevel="0" collapsed="false">
      <c r="A102" s="46"/>
      <c r="C102" s="157" t="n">
        <v>207</v>
      </c>
      <c r="D102" s="175" t="n">
        <f aca="false">ROUND(+C102/$C$105,4)</f>
        <v>0.032</v>
      </c>
      <c r="E102" s="157" t="n">
        <f aca="false">ROUND(+D102*6000,0)</f>
        <v>192</v>
      </c>
      <c r="F102" s="157" t="n">
        <f aca="false">ROUND(+E102*6000,0)</f>
        <v>1152000</v>
      </c>
      <c r="G102" s="157" t="n">
        <f aca="false">ROUND(+F102*6000,0)</f>
        <v>6912000000</v>
      </c>
      <c r="I102" s="157" t="n">
        <f aca="false">ROUND(+H102*6000,0)</f>
        <v>0</v>
      </c>
      <c r="J102" s="157" t="n">
        <f aca="false">ROUND(+I102*6000,0)</f>
        <v>0</v>
      </c>
      <c r="K102" s="157" t="n">
        <f aca="false">ROUND(+J102*6000,0)</f>
        <v>0</v>
      </c>
      <c r="P102" s="157" t="n">
        <f aca="false">ROUND(+O102*6000,0)</f>
        <v>0</v>
      </c>
      <c r="Q102" s="157" t="n">
        <f aca="false">ROUND(+P102*6000,0)</f>
        <v>0</v>
      </c>
      <c r="R102" s="157" t="n">
        <f aca="false">ROUND(+Q102*6000,0)</f>
        <v>0</v>
      </c>
      <c r="W102" s="157" t="n">
        <f aca="false">ROUND(+V102*6000,0)</f>
        <v>0</v>
      </c>
      <c r="X102" s="157" t="n">
        <f aca="false">ROUND(+W102*6000,0)</f>
        <v>0</v>
      </c>
      <c r="Y102" s="157" t="n">
        <f aca="false">ROUND(+X102*6000,0)</f>
        <v>0</v>
      </c>
    </row>
    <row r="103" customFormat="false" ht="12.75" hidden="false" customHeight="false" outlineLevel="0" collapsed="false">
      <c r="A103" s="46"/>
      <c r="C103" s="157" t="n">
        <v>314</v>
      </c>
      <c r="D103" s="175" t="n">
        <f aca="false">ROUND(+C103/$C$105,4)</f>
        <v>0.0485</v>
      </c>
      <c r="E103" s="157" t="n">
        <f aca="false">ROUND(+D103*6000,0)</f>
        <v>291</v>
      </c>
      <c r="F103" s="157" t="n">
        <f aca="false">ROUND(+E103*6000,0)</f>
        <v>1746000</v>
      </c>
      <c r="G103" s="157" t="n">
        <f aca="false">ROUND(+F103*6000,0)</f>
        <v>10476000000</v>
      </c>
      <c r="I103" s="157" t="n">
        <f aca="false">ROUND(+H103*6000,0)</f>
        <v>0</v>
      </c>
      <c r="J103" s="157" t="n">
        <f aca="false">ROUND(+I103*6000,0)</f>
        <v>0</v>
      </c>
      <c r="K103" s="157" t="n">
        <f aca="false">ROUND(+J103*6000,0)</f>
        <v>0</v>
      </c>
      <c r="P103" s="157" t="n">
        <f aca="false">ROUND(+O103*6000,0)</f>
        <v>0</v>
      </c>
      <c r="Q103" s="157" t="n">
        <f aca="false">ROUND(+P103*6000,0)</f>
        <v>0</v>
      </c>
      <c r="R103" s="157" t="n">
        <f aca="false">ROUND(+Q103*6000,0)</f>
        <v>0</v>
      </c>
      <c r="W103" s="157" t="n">
        <f aca="false">ROUND(+V103*6000,0)</f>
        <v>0</v>
      </c>
      <c r="X103" s="157" t="n">
        <f aca="false">ROUND(+W103*6000,0)</f>
        <v>0</v>
      </c>
      <c r="Y103" s="157" t="n">
        <f aca="false">ROUND(+X103*6000,0)</f>
        <v>0</v>
      </c>
    </row>
    <row r="104" customFormat="false" ht="12.75" hidden="false" customHeight="false" outlineLevel="0" collapsed="false">
      <c r="A104" s="46"/>
      <c r="C104" s="157"/>
      <c r="D104" s="175"/>
      <c r="E104" s="157"/>
      <c r="F104" s="157"/>
      <c r="G104" s="157"/>
      <c r="I104" s="157"/>
      <c r="J104" s="157"/>
      <c r="K104" s="157"/>
      <c r="P104" s="157"/>
      <c r="Q104" s="157"/>
      <c r="R104" s="157"/>
      <c r="W104" s="157"/>
      <c r="X104" s="157"/>
      <c r="Y104" s="157"/>
    </row>
    <row r="105" customFormat="false" ht="12.75" hidden="false" customHeight="false" outlineLevel="0" collapsed="false">
      <c r="A105" s="46"/>
      <c r="C105" s="157" t="n">
        <f aca="false">SUM(C100:C103)</f>
        <v>6476</v>
      </c>
      <c r="D105" s="175" t="n">
        <f aca="false">SUM(D100:D103)</f>
        <v>1</v>
      </c>
      <c r="E105" s="157" t="n">
        <f aca="false">SUM(E100:E103)</f>
        <v>6000</v>
      </c>
      <c r="F105" s="157" t="n">
        <f aca="false">SUM(F100:F103)</f>
        <v>36000000</v>
      </c>
      <c r="G105" s="157" t="n">
        <f aca="false">SUM(G100:G103)</f>
        <v>216000000000</v>
      </c>
      <c r="I105" s="157" t="n">
        <f aca="false">SUM(I100:I103)</f>
        <v>0</v>
      </c>
      <c r="J105" s="157" t="n">
        <f aca="false">SUM(J100:J103)</f>
        <v>0</v>
      </c>
      <c r="K105" s="157" t="n">
        <f aca="false">SUM(K100:K103)</f>
        <v>0</v>
      </c>
      <c r="P105" s="157" t="n">
        <f aca="false">SUM(P100:P103)</f>
        <v>0</v>
      </c>
      <c r="Q105" s="157" t="n">
        <f aca="false">SUM(Q100:Q103)</f>
        <v>0</v>
      </c>
      <c r="R105" s="157" t="n">
        <f aca="false">SUM(R100:R103)</f>
        <v>0</v>
      </c>
      <c r="W105" s="157" t="n">
        <f aca="false">SUM(W100:W103)</f>
        <v>0</v>
      </c>
      <c r="X105" s="157" t="n">
        <f aca="false">SUM(X100:X103)</f>
        <v>0</v>
      </c>
      <c r="Y105" s="157" t="n">
        <f aca="false">SUM(Y100:Y103)</f>
        <v>0</v>
      </c>
    </row>
    <row r="106" customFormat="false" ht="12.75" hidden="false" customHeight="false" outlineLevel="0" collapsed="false">
      <c r="A106" s="46"/>
      <c r="C106" s="157"/>
      <c r="D106" s="157"/>
      <c r="E106" s="157"/>
      <c r="F106" s="157"/>
      <c r="G106" s="157"/>
      <c r="I106" s="157"/>
      <c r="J106" s="157"/>
      <c r="K106" s="157"/>
      <c r="P106" s="157"/>
      <c r="Q106" s="157"/>
      <c r="R106" s="157"/>
      <c r="W106" s="157"/>
      <c r="X106" s="157"/>
      <c r="Y106" s="157"/>
    </row>
    <row r="107" customFormat="false" ht="12.75" hidden="false" customHeight="false" outlineLevel="0" collapsed="false">
      <c r="A107" s="46"/>
      <c r="C107" s="157"/>
      <c r="D107" s="157"/>
      <c r="E107" s="157"/>
      <c r="F107" s="157"/>
      <c r="G107" s="157"/>
      <c r="I107" s="157"/>
      <c r="J107" s="157"/>
      <c r="K107" s="157"/>
      <c r="P107" s="157"/>
      <c r="Q107" s="157"/>
      <c r="R107" s="157"/>
      <c r="W107" s="157"/>
      <c r="X107" s="157"/>
      <c r="Y107" s="157"/>
    </row>
    <row r="108" customFormat="false" ht="12.75" hidden="false" customHeight="false" outlineLevel="0" collapsed="false">
      <c r="A108" s="46"/>
    </row>
    <row r="109" customFormat="false" ht="12.75" hidden="false" customHeight="false" outlineLevel="0" collapsed="false">
      <c r="A109" s="46"/>
    </row>
    <row r="110" customFormat="false" ht="12.75" hidden="false" customHeight="false" outlineLevel="0" collapsed="false">
      <c r="A110" s="46"/>
    </row>
    <row r="111" customFormat="false" ht="12.75" hidden="false" customHeight="false" outlineLevel="0" collapsed="false">
      <c r="A111" s="46"/>
    </row>
    <row r="112" customFormat="false" ht="12.75" hidden="false" customHeight="false" outlineLevel="0" collapsed="false">
      <c r="A112" s="46"/>
    </row>
    <row r="113" customFormat="false" ht="12.75" hidden="false" customHeight="false" outlineLevel="0" collapsed="false">
      <c r="A113" s="46"/>
    </row>
    <row r="114" customFormat="false" ht="12.75" hidden="false" customHeight="false" outlineLevel="0" collapsed="false">
      <c r="A114" s="46"/>
    </row>
    <row r="115" customFormat="false" ht="12.75" hidden="false" customHeight="false" outlineLevel="0" collapsed="false">
      <c r="A115" s="46"/>
    </row>
    <row r="116" customFormat="false" ht="12.75" hidden="false" customHeight="false" outlineLevel="0" collapsed="false">
      <c r="A116" s="46"/>
    </row>
    <row r="117" customFormat="false" ht="12.75" hidden="false" customHeight="false" outlineLevel="0" collapsed="false">
      <c r="A117" s="46"/>
    </row>
    <row r="118" customFormat="false" ht="12.75" hidden="false" customHeight="false" outlineLevel="0" collapsed="false">
      <c r="A118" s="46"/>
    </row>
    <row r="119" customFormat="false" ht="12.75" hidden="false" customHeight="false" outlineLevel="0" collapsed="false">
      <c r="A119" s="46"/>
    </row>
    <row r="120" customFormat="false" ht="12.75" hidden="false" customHeight="false" outlineLevel="0" collapsed="false">
      <c r="A120" s="46"/>
    </row>
    <row r="121" customFormat="false" ht="12.75" hidden="false" customHeight="false" outlineLevel="0" collapsed="false">
      <c r="A121" s="46"/>
    </row>
    <row r="122" customFormat="false" ht="12.75" hidden="false" customHeight="false" outlineLevel="0" collapsed="false">
      <c r="A122" s="46"/>
    </row>
    <row r="123" customFormat="false" ht="12.75" hidden="false" customHeight="false" outlineLevel="0" collapsed="false">
      <c r="A123" s="46"/>
    </row>
    <row r="124" customFormat="false" ht="12.75" hidden="false" customHeight="false" outlineLevel="0" collapsed="false">
      <c r="A124" s="46"/>
    </row>
    <row r="125" customFormat="false" ht="12.75" hidden="false" customHeight="false" outlineLevel="0" collapsed="false">
      <c r="A125" s="46"/>
    </row>
    <row r="126" customFormat="false" ht="12.75" hidden="false" customHeight="false" outlineLevel="0" collapsed="false">
      <c r="A126" s="46"/>
    </row>
    <row r="127" customFormat="false" ht="12.75" hidden="false" customHeight="false" outlineLevel="0" collapsed="false">
      <c r="A127" s="46"/>
    </row>
    <row r="128" customFormat="false" ht="12.75" hidden="false" customHeight="false" outlineLevel="0" collapsed="false">
      <c r="A128" s="46"/>
    </row>
    <row r="129" customFormat="false" ht="12.75" hidden="false" customHeight="false" outlineLevel="0" collapsed="false">
      <c r="A129" s="46"/>
    </row>
    <row r="130" customFormat="false" ht="12.75" hidden="false" customHeight="false" outlineLevel="0" collapsed="false">
      <c r="A130" s="46"/>
    </row>
    <row r="131" customFormat="false" ht="12.75" hidden="false" customHeight="false" outlineLevel="0" collapsed="false">
      <c r="A131" s="46"/>
    </row>
    <row r="132" customFormat="false" ht="12.75" hidden="false" customHeight="false" outlineLevel="0" collapsed="false">
      <c r="A132" s="46"/>
    </row>
    <row r="133" customFormat="false" ht="12.75" hidden="false" customHeight="false" outlineLevel="0" collapsed="false">
      <c r="A133" s="46"/>
    </row>
    <row r="134" customFormat="false" ht="12.75" hidden="false" customHeight="false" outlineLevel="0" collapsed="false">
      <c r="A134" s="46"/>
    </row>
    <row r="135" customFormat="false" ht="12.75" hidden="false" customHeight="false" outlineLevel="0" collapsed="false">
      <c r="A135" s="46"/>
    </row>
    <row r="136" customFormat="false" ht="12.75" hidden="false" customHeight="false" outlineLevel="0" collapsed="false">
      <c r="A136" s="46"/>
    </row>
    <row r="137" customFormat="false" ht="12.75" hidden="false" customHeight="false" outlineLevel="0" collapsed="false">
      <c r="A137" s="46"/>
    </row>
    <row r="138" customFormat="false" ht="12.75" hidden="false" customHeight="false" outlineLevel="0" collapsed="false">
      <c r="A138" s="46"/>
    </row>
    <row r="139" customFormat="false" ht="12.75" hidden="false" customHeight="false" outlineLevel="0" collapsed="false">
      <c r="A139" s="46"/>
    </row>
    <row r="140" customFormat="false" ht="12.75" hidden="false" customHeight="false" outlineLevel="0" collapsed="false">
      <c r="A140" s="46"/>
    </row>
    <row r="141" customFormat="false" ht="12.75" hidden="false" customHeight="false" outlineLevel="0" collapsed="false">
      <c r="A141" s="46"/>
    </row>
    <row r="142" customFormat="false" ht="12.75" hidden="false" customHeight="false" outlineLevel="0" collapsed="false">
      <c r="A142" s="46"/>
    </row>
    <row r="143" customFormat="false" ht="12.75" hidden="false" customHeight="false" outlineLevel="0" collapsed="false">
      <c r="A143" s="46"/>
    </row>
    <row r="144" customFormat="false" ht="12.75" hidden="false" customHeight="false" outlineLevel="0" collapsed="false">
      <c r="A144" s="46"/>
    </row>
    <row r="145" customFormat="false" ht="12.75" hidden="false" customHeight="false" outlineLevel="0" collapsed="false">
      <c r="A145" s="46"/>
    </row>
    <row r="146" customFormat="false" ht="12.75" hidden="false" customHeight="false" outlineLevel="0" collapsed="false">
      <c r="A146" s="46"/>
    </row>
    <row r="147" customFormat="false" ht="12.75" hidden="false" customHeight="false" outlineLevel="0" collapsed="false">
      <c r="A147" s="46"/>
    </row>
    <row r="148" customFormat="false" ht="12.75" hidden="false" customHeight="false" outlineLevel="0" collapsed="false">
      <c r="A148" s="46"/>
    </row>
    <row r="149" customFormat="false" ht="12.75" hidden="false" customHeight="false" outlineLevel="0" collapsed="false">
      <c r="A149" s="46"/>
    </row>
    <row r="150" customFormat="false" ht="12.75" hidden="false" customHeight="false" outlineLevel="0" collapsed="false">
      <c r="A150" s="46"/>
    </row>
    <row r="151" customFormat="false" ht="12.75" hidden="false" customHeight="false" outlineLevel="0" collapsed="false">
      <c r="A151" s="46"/>
    </row>
    <row r="152" customFormat="false" ht="12.75" hidden="false" customHeight="false" outlineLevel="0" collapsed="false">
      <c r="A152" s="46"/>
    </row>
    <row r="153" customFormat="false" ht="12.75" hidden="false" customHeight="false" outlineLevel="0" collapsed="false">
      <c r="A153" s="46"/>
    </row>
    <row r="154" customFormat="false" ht="12.75" hidden="false" customHeight="false" outlineLevel="0" collapsed="false">
      <c r="A154" s="46"/>
    </row>
    <row r="155" customFormat="false" ht="12.75" hidden="false" customHeight="false" outlineLevel="0" collapsed="false">
      <c r="A155" s="46"/>
    </row>
    <row r="156" customFormat="false" ht="12.75" hidden="false" customHeight="false" outlineLevel="0" collapsed="false">
      <c r="A156" s="46"/>
    </row>
    <row r="157" customFormat="false" ht="12.75" hidden="false" customHeight="false" outlineLevel="0" collapsed="false">
      <c r="A157" s="46"/>
    </row>
    <row r="158" customFormat="false" ht="12.75" hidden="false" customHeight="false" outlineLevel="0" collapsed="false">
      <c r="A158" s="46"/>
    </row>
    <row r="159" customFormat="false" ht="12.75" hidden="false" customHeight="false" outlineLevel="0" collapsed="false">
      <c r="A159" s="46"/>
    </row>
    <row r="160" customFormat="false" ht="12.75" hidden="false" customHeight="false" outlineLevel="0" collapsed="false">
      <c r="A160" s="46"/>
    </row>
    <row r="161" customFormat="false" ht="12.75" hidden="false" customHeight="false" outlineLevel="0" collapsed="false">
      <c r="A161" s="46"/>
    </row>
    <row r="162" customFormat="false" ht="12.75" hidden="false" customHeight="false" outlineLevel="0" collapsed="false">
      <c r="A162" s="46"/>
    </row>
    <row r="163" customFormat="false" ht="12.75" hidden="false" customHeight="false" outlineLevel="0" collapsed="false">
      <c r="A163" s="46"/>
    </row>
    <row r="164" customFormat="false" ht="12.75" hidden="false" customHeight="false" outlineLevel="0" collapsed="false">
      <c r="A164" s="46"/>
    </row>
    <row r="165" customFormat="false" ht="12.75" hidden="false" customHeight="false" outlineLevel="0" collapsed="false">
      <c r="A165" s="46"/>
    </row>
    <row r="166" customFormat="false" ht="12.75" hidden="false" customHeight="false" outlineLevel="0" collapsed="false">
      <c r="A166" s="46"/>
    </row>
    <row r="167" customFormat="false" ht="12.75" hidden="false" customHeight="false" outlineLevel="0" collapsed="false">
      <c r="A167" s="46"/>
    </row>
    <row r="168" customFormat="false" ht="12.75" hidden="false" customHeight="false" outlineLevel="0" collapsed="false">
      <c r="A168" s="46"/>
    </row>
    <row r="169" customFormat="false" ht="12.75" hidden="false" customHeight="false" outlineLevel="0" collapsed="false">
      <c r="A169" s="46"/>
    </row>
    <row r="170" customFormat="false" ht="12.75" hidden="false" customHeight="false" outlineLevel="0" collapsed="false">
      <c r="A170" s="46"/>
    </row>
    <row r="171" customFormat="false" ht="12.75" hidden="false" customHeight="false" outlineLevel="0" collapsed="false">
      <c r="A171" s="46"/>
    </row>
    <row r="172" customFormat="false" ht="12.75" hidden="false" customHeight="false" outlineLevel="0" collapsed="false">
      <c r="A172" s="46"/>
    </row>
    <row r="173" customFormat="false" ht="12.75" hidden="false" customHeight="false" outlineLevel="0" collapsed="false">
      <c r="A173" s="46"/>
    </row>
    <row r="174" customFormat="false" ht="12.75" hidden="false" customHeight="false" outlineLevel="0" collapsed="false">
      <c r="A174" s="46"/>
    </row>
    <row r="175" customFormat="false" ht="12.75" hidden="false" customHeight="false" outlineLevel="0" collapsed="false">
      <c r="A175" s="46"/>
    </row>
    <row r="176" customFormat="false" ht="12.75" hidden="false" customHeight="false" outlineLevel="0" collapsed="false">
      <c r="A176" s="46"/>
    </row>
    <row r="177" customFormat="false" ht="12.75" hidden="false" customHeight="false" outlineLevel="0" collapsed="false">
      <c r="A177" s="46"/>
    </row>
    <row r="178" customFormat="false" ht="12.75" hidden="false" customHeight="false" outlineLevel="0" collapsed="false">
      <c r="A178" s="46"/>
    </row>
    <row r="179" customFormat="false" ht="12.75" hidden="false" customHeight="false" outlineLevel="0" collapsed="false">
      <c r="A179" s="46"/>
    </row>
    <row r="180" customFormat="false" ht="12.75" hidden="false" customHeight="false" outlineLevel="0" collapsed="false">
      <c r="A180" s="46"/>
    </row>
    <row r="181" customFormat="false" ht="12.75" hidden="false" customHeight="false" outlineLevel="0" collapsed="false">
      <c r="A181" s="46"/>
    </row>
    <row r="182" customFormat="false" ht="12.75" hidden="false" customHeight="false" outlineLevel="0" collapsed="false">
      <c r="A182" s="46"/>
    </row>
    <row r="183" customFormat="false" ht="12.75" hidden="false" customHeight="false" outlineLevel="0" collapsed="false">
      <c r="A183" s="46"/>
    </row>
    <row r="184" customFormat="false" ht="12.75" hidden="false" customHeight="false" outlineLevel="0" collapsed="false">
      <c r="A184" s="46"/>
    </row>
    <row r="185" customFormat="false" ht="12.75" hidden="false" customHeight="false" outlineLevel="0" collapsed="false">
      <c r="A185" s="46"/>
    </row>
    <row r="186" customFormat="false" ht="12.75" hidden="false" customHeight="false" outlineLevel="0" collapsed="false">
      <c r="A186" s="46"/>
    </row>
    <row r="187" customFormat="false" ht="12.75" hidden="false" customHeight="false" outlineLevel="0" collapsed="false">
      <c r="A187" s="46"/>
    </row>
    <row r="188" customFormat="false" ht="12.75" hidden="false" customHeight="false" outlineLevel="0" collapsed="false">
      <c r="A188" s="46"/>
    </row>
    <row r="189" customFormat="false" ht="12.75" hidden="false" customHeight="false" outlineLevel="0" collapsed="false">
      <c r="A189" s="46"/>
    </row>
    <row r="190" customFormat="false" ht="12.75" hidden="false" customHeight="false" outlineLevel="0" collapsed="false">
      <c r="A190" s="46"/>
    </row>
    <row r="191" customFormat="false" ht="12.75" hidden="false" customHeight="false" outlineLevel="0" collapsed="false">
      <c r="A191" s="46"/>
    </row>
    <row r="192" customFormat="false" ht="12.75" hidden="false" customHeight="false" outlineLevel="0" collapsed="false">
      <c r="A192" s="46"/>
    </row>
    <row r="193" customFormat="false" ht="12.75" hidden="false" customHeight="false" outlineLevel="0" collapsed="false">
      <c r="A193" s="46"/>
    </row>
    <row r="194" customFormat="false" ht="12.75" hidden="false" customHeight="false" outlineLevel="0" collapsed="false">
      <c r="A194" s="46"/>
    </row>
    <row r="195" customFormat="false" ht="12.75" hidden="false" customHeight="false" outlineLevel="0" collapsed="false">
      <c r="A195" s="46"/>
    </row>
    <row r="196" customFormat="false" ht="12.75" hidden="false" customHeight="false" outlineLevel="0" collapsed="false">
      <c r="A196" s="46"/>
    </row>
    <row r="197" customFormat="false" ht="12.75" hidden="false" customHeight="false" outlineLevel="0" collapsed="false">
      <c r="A197" s="46"/>
    </row>
    <row r="198" customFormat="false" ht="12.75" hidden="false" customHeight="false" outlineLevel="0" collapsed="false">
      <c r="A198" s="46"/>
    </row>
    <row r="199" customFormat="false" ht="12.75" hidden="false" customHeight="false" outlineLevel="0" collapsed="false">
      <c r="A199" s="46"/>
    </row>
    <row r="200" customFormat="false" ht="12.75" hidden="false" customHeight="false" outlineLevel="0" collapsed="false">
      <c r="A200" s="46"/>
    </row>
    <row r="201" customFormat="false" ht="12.75" hidden="false" customHeight="false" outlineLevel="0" collapsed="false">
      <c r="A201" s="46"/>
    </row>
    <row r="202" customFormat="false" ht="12.75" hidden="false" customHeight="false" outlineLevel="0" collapsed="false">
      <c r="A202" s="46"/>
    </row>
    <row r="203" customFormat="false" ht="12.75" hidden="false" customHeight="false" outlineLevel="0" collapsed="false">
      <c r="A203" s="46"/>
    </row>
    <row r="204" customFormat="false" ht="12.75" hidden="false" customHeight="false" outlineLevel="0" collapsed="false">
      <c r="A204" s="46"/>
    </row>
    <row r="205" customFormat="false" ht="12.75" hidden="false" customHeight="false" outlineLevel="0" collapsed="false">
      <c r="A205" s="46"/>
    </row>
    <row r="206" customFormat="false" ht="12.75" hidden="false" customHeight="false" outlineLevel="0" collapsed="false">
      <c r="A206" s="46"/>
    </row>
    <row r="207" customFormat="false" ht="12.75" hidden="false" customHeight="false" outlineLevel="0" collapsed="false">
      <c r="A207" s="46"/>
    </row>
    <row r="208" customFormat="false" ht="12.75" hidden="false" customHeight="false" outlineLevel="0" collapsed="false">
      <c r="A208" s="46"/>
    </row>
    <row r="209" customFormat="false" ht="12.75" hidden="false" customHeight="false" outlineLevel="0" collapsed="false">
      <c r="A209" s="46"/>
    </row>
    <row r="210" customFormat="false" ht="12.75" hidden="false" customHeight="false" outlineLevel="0" collapsed="false">
      <c r="A210" s="46"/>
    </row>
    <row r="211" customFormat="false" ht="12.75" hidden="false" customHeight="false" outlineLevel="0" collapsed="false">
      <c r="A211" s="46"/>
    </row>
    <row r="212" customFormat="false" ht="12.75" hidden="false" customHeight="false" outlineLevel="0" collapsed="false">
      <c r="A212" s="46"/>
    </row>
    <row r="213" customFormat="false" ht="12.75" hidden="false" customHeight="false" outlineLevel="0" collapsed="false">
      <c r="A213" s="46"/>
    </row>
    <row r="214" customFormat="false" ht="12.75" hidden="false" customHeight="false" outlineLevel="0" collapsed="false">
      <c r="A214" s="46"/>
    </row>
    <row r="215" customFormat="false" ht="12.75" hidden="false" customHeight="false" outlineLevel="0" collapsed="false">
      <c r="A215" s="46"/>
    </row>
    <row r="216" customFormat="false" ht="12.75" hidden="false" customHeight="false" outlineLevel="0" collapsed="false">
      <c r="A216" s="46"/>
    </row>
    <row r="217" customFormat="false" ht="12.75" hidden="false" customHeight="false" outlineLevel="0" collapsed="false">
      <c r="A217" s="46"/>
    </row>
    <row r="218" customFormat="false" ht="12.75" hidden="false" customHeight="false" outlineLevel="0" collapsed="false">
      <c r="A218" s="46"/>
    </row>
    <row r="219" customFormat="false" ht="12.75" hidden="false" customHeight="false" outlineLevel="0" collapsed="false">
      <c r="A219" s="46"/>
    </row>
    <row r="220" customFormat="false" ht="12.75" hidden="false" customHeight="false" outlineLevel="0" collapsed="false">
      <c r="A220" s="46"/>
    </row>
    <row r="221" customFormat="false" ht="12.75" hidden="false" customHeight="false" outlineLevel="0" collapsed="false">
      <c r="A221" s="46"/>
    </row>
    <row r="222" customFormat="false" ht="12.75" hidden="false" customHeight="false" outlineLevel="0" collapsed="false">
      <c r="A222" s="46"/>
    </row>
    <row r="223" customFormat="false" ht="12.75" hidden="false" customHeight="false" outlineLevel="0" collapsed="false">
      <c r="A223" s="46"/>
    </row>
    <row r="224" customFormat="false" ht="12.75" hidden="false" customHeight="false" outlineLevel="0" collapsed="false">
      <c r="A224" s="46"/>
    </row>
    <row r="225" customFormat="false" ht="12.75" hidden="false" customHeight="false" outlineLevel="0" collapsed="false">
      <c r="A225" s="46"/>
    </row>
    <row r="226" customFormat="false" ht="12.75" hidden="false" customHeight="false" outlineLevel="0" collapsed="false">
      <c r="A226" s="46"/>
    </row>
    <row r="227" customFormat="false" ht="12.75" hidden="false" customHeight="false" outlineLevel="0" collapsed="false">
      <c r="A227" s="46"/>
    </row>
    <row r="228" customFormat="false" ht="12.75" hidden="false" customHeight="false" outlineLevel="0" collapsed="false">
      <c r="A228" s="46"/>
    </row>
    <row r="229" customFormat="false" ht="12.75" hidden="false" customHeight="false" outlineLevel="0" collapsed="false">
      <c r="A229" s="46"/>
    </row>
    <row r="230" customFormat="false" ht="12.75" hidden="false" customHeight="false" outlineLevel="0" collapsed="false">
      <c r="A230" s="46"/>
    </row>
    <row r="231" customFormat="false" ht="12.75" hidden="false" customHeight="false" outlineLevel="0" collapsed="false">
      <c r="A231" s="46"/>
    </row>
    <row r="232" customFormat="false" ht="12.75" hidden="false" customHeight="false" outlineLevel="0" collapsed="false">
      <c r="A232" s="46"/>
    </row>
    <row r="233" customFormat="false" ht="12.75" hidden="false" customHeight="false" outlineLevel="0" collapsed="false">
      <c r="A233" s="46"/>
    </row>
    <row r="234" customFormat="false" ht="12.75" hidden="false" customHeight="false" outlineLevel="0" collapsed="false">
      <c r="A234" s="46"/>
    </row>
    <row r="235" customFormat="false" ht="12.75" hidden="false" customHeight="false" outlineLevel="0" collapsed="false">
      <c r="A235" s="46"/>
    </row>
    <row r="236" customFormat="false" ht="12.75" hidden="false" customHeight="false" outlineLevel="0" collapsed="false">
      <c r="A236" s="46"/>
    </row>
    <row r="237" customFormat="false" ht="12.75" hidden="false" customHeight="false" outlineLevel="0" collapsed="false">
      <c r="A237" s="46"/>
    </row>
    <row r="238" customFormat="false" ht="12.75" hidden="false" customHeight="false" outlineLevel="0" collapsed="false">
      <c r="A238" s="46"/>
    </row>
    <row r="239" customFormat="false" ht="12.75" hidden="false" customHeight="false" outlineLevel="0" collapsed="false">
      <c r="A239" s="46"/>
    </row>
    <row r="240" customFormat="false" ht="12.75" hidden="false" customHeight="false" outlineLevel="0" collapsed="false">
      <c r="A240" s="46"/>
    </row>
    <row r="241" customFormat="false" ht="12.75" hidden="false" customHeight="false" outlineLevel="0" collapsed="false">
      <c r="A241" s="46"/>
    </row>
    <row r="242" customFormat="false" ht="12.75" hidden="false" customHeight="false" outlineLevel="0" collapsed="false">
      <c r="A242" s="46"/>
    </row>
    <row r="243" customFormat="false" ht="12.75" hidden="false" customHeight="false" outlineLevel="0" collapsed="false">
      <c r="A243" s="46"/>
    </row>
    <row r="244" customFormat="false" ht="12.75" hidden="false" customHeight="false" outlineLevel="0" collapsed="false">
      <c r="A244" s="46"/>
    </row>
    <row r="245" customFormat="false" ht="12.75" hidden="false" customHeight="false" outlineLevel="0" collapsed="false">
      <c r="A245" s="46"/>
    </row>
    <row r="246" customFormat="false" ht="12.75" hidden="false" customHeight="false" outlineLevel="0" collapsed="false">
      <c r="A246" s="46"/>
    </row>
    <row r="247" customFormat="false" ht="12.75" hidden="false" customHeight="false" outlineLevel="0" collapsed="false">
      <c r="A247" s="46"/>
    </row>
    <row r="248" customFormat="false" ht="12.75" hidden="false" customHeight="false" outlineLevel="0" collapsed="false">
      <c r="A248" s="46"/>
    </row>
    <row r="249" customFormat="false" ht="12.75" hidden="false" customHeight="false" outlineLevel="0" collapsed="false">
      <c r="A249" s="46"/>
    </row>
    <row r="250" customFormat="false" ht="12.75" hidden="false" customHeight="false" outlineLevel="0" collapsed="false">
      <c r="A250" s="46"/>
    </row>
    <row r="251" customFormat="false" ht="12.75" hidden="false" customHeight="false" outlineLevel="0" collapsed="false">
      <c r="A251" s="46"/>
    </row>
    <row r="252" customFormat="false" ht="12.75" hidden="false" customHeight="false" outlineLevel="0" collapsed="false">
      <c r="A252" s="46"/>
    </row>
    <row r="253" customFormat="false" ht="12.75" hidden="false" customHeight="false" outlineLevel="0" collapsed="false">
      <c r="A253" s="46"/>
    </row>
    <row r="254" customFormat="false" ht="12.75" hidden="false" customHeight="false" outlineLevel="0" collapsed="false">
      <c r="A254" s="46"/>
    </row>
    <row r="255" customFormat="false" ht="12.75" hidden="false" customHeight="false" outlineLevel="0" collapsed="false">
      <c r="A255" s="46"/>
    </row>
    <row r="256" customFormat="false" ht="12.75" hidden="false" customHeight="false" outlineLevel="0" collapsed="false">
      <c r="A256" s="46"/>
    </row>
    <row r="257" customFormat="false" ht="12.75" hidden="false" customHeight="false" outlineLevel="0" collapsed="false">
      <c r="A257" s="46"/>
    </row>
    <row r="258" customFormat="false" ht="12.75" hidden="false" customHeight="false" outlineLevel="0" collapsed="false">
      <c r="A258" s="46"/>
    </row>
    <row r="259" customFormat="false" ht="12.75" hidden="false" customHeight="false" outlineLevel="0" collapsed="false">
      <c r="A259" s="46"/>
    </row>
    <row r="260" customFormat="false" ht="12.75" hidden="false" customHeight="false" outlineLevel="0" collapsed="false">
      <c r="A260" s="46"/>
    </row>
    <row r="261" customFormat="false" ht="12.75" hidden="false" customHeight="false" outlineLevel="0" collapsed="false">
      <c r="A261" s="46"/>
    </row>
    <row r="262" customFormat="false" ht="12.75" hidden="false" customHeight="false" outlineLevel="0" collapsed="false">
      <c r="A262" s="46"/>
    </row>
    <row r="263" customFormat="false" ht="12.75" hidden="false" customHeight="false" outlineLevel="0" collapsed="false">
      <c r="A263" s="46"/>
    </row>
    <row r="264" customFormat="false" ht="12.75" hidden="false" customHeight="false" outlineLevel="0" collapsed="false">
      <c r="A264" s="46"/>
    </row>
    <row r="265" customFormat="false" ht="12.75" hidden="false" customHeight="false" outlineLevel="0" collapsed="false">
      <c r="A265" s="46"/>
    </row>
    <row r="266" customFormat="false" ht="12.75" hidden="false" customHeight="false" outlineLevel="0" collapsed="false">
      <c r="A266" s="46"/>
    </row>
    <row r="267" customFormat="false" ht="12.75" hidden="false" customHeight="false" outlineLevel="0" collapsed="false">
      <c r="A267" s="46"/>
    </row>
    <row r="268" customFormat="false" ht="12.75" hidden="false" customHeight="false" outlineLevel="0" collapsed="false">
      <c r="A268" s="46"/>
    </row>
    <row r="269" customFormat="false" ht="12.75" hidden="false" customHeight="false" outlineLevel="0" collapsed="false">
      <c r="A269" s="46"/>
    </row>
    <row r="270" customFormat="false" ht="12.75" hidden="false" customHeight="false" outlineLevel="0" collapsed="false">
      <c r="A270" s="46"/>
    </row>
    <row r="271" customFormat="false" ht="12.75" hidden="false" customHeight="false" outlineLevel="0" collapsed="false">
      <c r="A271" s="46"/>
    </row>
    <row r="272" customFormat="false" ht="12.75" hidden="false" customHeight="false" outlineLevel="0" collapsed="false">
      <c r="A272" s="46"/>
    </row>
    <row r="273" customFormat="false" ht="12.75" hidden="false" customHeight="false" outlineLevel="0" collapsed="false">
      <c r="A273" s="46"/>
    </row>
    <row r="274" customFormat="false" ht="12.75" hidden="false" customHeight="false" outlineLevel="0" collapsed="false">
      <c r="A274" s="46"/>
    </row>
    <row r="275" customFormat="false" ht="12.75" hidden="false" customHeight="false" outlineLevel="0" collapsed="false">
      <c r="A275" s="46"/>
    </row>
    <row r="276" customFormat="false" ht="12.75" hidden="false" customHeight="false" outlineLevel="0" collapsed="false">
      <c r="A276" s="46"/>
    </row>
    <row r="277" customFormat="false" ht="12.75" hidden="false" customHeight="false" outlineLevel="0" collapsed="false">
      <c r="A277" s="46"/>
    </row>
    <row r="278" customFormat="false" ht="12.75" hidden="false" customHeight="false" outlineLevel="0" collapsed="false">
      <c r="A278" s="46"/>
    </row>
    <row r="279" customFormat="false" ht="12.75" hidden="false" customHeight="false" outlineLevel="0" collapsed="false">
      <c r="A279" s="46"/>
    </row>
    <row r="280" customFormat="false" ht="12.75" hidden="false" customHeight="false" outlineLevel="0" collapsed="false">
      <c r="A280" s="46"/>
    </row>
    <row r="281" customFormat="false" ht="12.75" hidden="false" customHeight="false" outlineLevel="0" collapsed="false">
      <c r="A281" s="46"/>
    </row>
    <row r="282" customFormat="false" ht="12.75" hidden="false" customHeight="false" outlineLevel="0" collapsed="false">
      <c r="A282" s="46"/>
    </row>
    <row r="283" customFormat="false" ht="12.75" hidden="false" customHeight="false" outlineLevel="0" collapsed="false">
      <c r="A283" s="46"/>
    </row>
    <row r="284" customFormat="false" ht="12.75" hidden="false" customHeight="false" outlineLevel="0" collapsed="false">
      <c r="A284" s="46"/>
    </row>
    <row r="285" customFormat="false" ht="12.75" hidden="false" customHeight="false" outlineLevel="0" collapsed="false">
      <c r="A285" s="46"/>
    </row>
    <row r="286" customFormat="false" ht="12.75" hidden="false" customHeight="false" outlineLevel="0" collapsed="false">
      <c r="A286" s="46"/>
    </row>
    <row r="287" customFormat="false" ht="12.75" hidden="false" customHeight="false" outlineLevel="0" collapsed="false">
      <c r="A287" s="46"/>
    </row>
    <row r="288" customFormat="false" ht="12.75" hidden="false" customHeight="false" outlineLevel="0" collapsed="false">
      <c r="A288" s="46"/>
    </row>
    <row r="289" customFormat="false" ht="12.75" hidden="false" customHeight="false" outlineLevel="0" collapsed="false">
      <c r="A289" s="46"/>
    </row>
    <row r="290" customFormat="false" ht="12.75" hidden="false" customHeight="false" outlineLevel="0" collapsed="false">
      <c r="A290" s="46"/>
    </row>
    <row r="291" customFormat="false" ht="12.75" hidden="false" customHeight="false" outlineLevel="0" collapsed="false">
      <c r="A291" s="46"/>
    </row>
    <row r="292" customFormat="false" ht="12.75" hidden="false" customHeight="false" outlineLevel="0" collapsed="false">
      <c r="A292" s="46"/>
    </row>
    <row r="293" customFormat="false" ht="12.75" hidden="false" customHeight="false" outlineLevel="0" collapsed="false">
      <c r="A293" s="46"/>
    </row>
    <row r="294" customFormat="false" ht="12.75" hidden="false" customHeight="false" outlineLevel="0" collapsed="false">
      <c r="A294" s="46"/>
    </row>
    <row r="295" customFormat="false" ht="12.75" hidden="false" customHeight="false" outlineLevel="0" collapsed="false">
      <c r="A295" s="46"/>
    </row>
    <row r="296" customFormat="false" ht="12.75" hidden="false" customHeight="false" outlineLevel="0" collapsed="false">
      <c r="A296" s="46"/>
    </row>
    <row r="297" customFormat="false" ht="12.75" hidden="false" customHeight="false" outlineLevel="0" collapsed="false">
      <c r="A297" s="46"/>
    </row>
    <row r="298" customFormat="false" ht="12.75" hidden="false" customHeight="false" outlineLevel="0" collapsed="false">
      <c r="A298" s="46"/>
    </row>
    <row r="299" customFormat="false" ht="12.75" hidden="false" customHeight="false" outlineLevel="0" collapsed="false">
      <c r="A299" s="46"/>
    </row>
    <row r="300" customFormat="false" ht="12.75" hidden="false" customHeight="false" outlineLevel="0" collapsed="false">
      <c r="A300" s="46"/>
    </row>
    <row r="301" customFormat="false" ht="12.75" hidden="false" customHeight="false" outlineLevel="0" collapsed="false">
      <c r="A301" s="46"/>
    </row>
    <row r="302" customFormat="false" ht="12.75" hidden="false" customHeight="false" outlineLevel="0" collapsed="false">
      <c r="A302" s="46"/>
    </row>
    <row r="303" customFormat="false" ht="12.75" hidden="false" customHeight="false" outlineLevel="0" collapsed="false">
      <c r="A303" s="46"/>
    </row>
    <row r="304" customFormat="false" ht="12.75" hidden="false" customHeight="false" outlineLevel="0" collapsed="false">
      <c r="A304" s="46"/>
    </row>
    <row r="305" customFormat="false" ht="12.75" hidden="false" customHeight="false" outlineLevel="0" collapsed="false">
      <c r="A305" s="46"/>
    </row>
    <row r="306" customFormat="false" ht="12.75" hidden="false" customHeight="false" outlineLevel="0" collapsed="false">
      <c r="A306" s="46"/>
    </row>
    <row r="307" customFormat="false" ht="12.75" hidden="false" customHeight="false" outlineLevel="0" collapsed="false">
      <c r="A307" s="46"/>
    </row>
    <row r="308" customFormat="false" ht="12.75" hidden="false" customHeight="false" outlineLevel="0" collapsed="false">
      <c r="A308" s="46"/>
    </row>
    <row r="309" customFormat="false" ht="12.75" hidden="false" customHeight="false" outlineLevel="0" collapsed="false">
      <c r="A309" s="46"/>
    </row>
    <row r="310" customFormat="false" ht="12.75" hidden="false" customHeight="false" outlineLevel="0" collapsed="false">
      <c r="A310" s="46"/>
    </row>
    <row r="311" customFormat="false" ht="12.75" hidden="false" customHeight="false" outlineLevel="0" collapsed="false">
      <c r="A311" s="46"/>
    </row>
    <row r="312" customFormat="false" ht="12.75" hidden="false" customHeight="false" outlineLevel="0" collapsed="false">
      <c r="A312" s="46"/>
    </row>
    <row r="313" customFormat="false" ht="12.75" hidden="false" customHeight="false" outlineLevel="0" collapsed="false">
      <c r="A313" s="46"/>
    </row>
    <row r="314" customFormat="false" ht="12.75" hidden="false" customHeight="false" outlineLevel="0" collapsed="false">
      <c r="A314" s="46"/>
    </row>
    <row r="315" customFormat="false" ht="12.75" hidden="false" customHeight="false" outlineLevel="0" collapsed="false">
      <c r="A315" s="46"/>
    </row>
    <row r="316" customFormat="false" ht="12.75" hidden="false" customHeight="false" outlineLevel="0" collapsed="false">
      <c r="A316" s="46"/>
    </row>
    <row r="317" customFormat="false" ht="12.75" hidden="false" customHeight="false" outlineLevel="0" collapsed="false">
      <c r="A317" s="46"/>
    </row>
    <row r="318" customFormat="false" ht="12.75" hidden="false" customHeight="false" outlineLevel="0" collapsed="false">
      <c r="A318" s="46"/>
    </row>
    <row r="319" customFormat="false" ht="12.75" hidden="false" customHeight="false" outlineLevel="0" collapsed="false">
      <c r="A319" s="46"/>
    </row>
    <row r="320" customFormat="false" ht="12.75" hidden="false" customHeight="false" outlineLevel="0" collapsed="false">
      <c r="A320" s="46"/>
    </row>
    <row r="321" customFormat="false" ht="12.75" hidden="false" customHeight="false" outlineLevel="0" collapsed="false">
      <c r="A321" s="46"/>
    </row>
    <row r="322" customFormat="false" ht="12.75" hidden="false" customHeight="false" outlineLevel="0" collapsed="false">
      <c r="A322" s="46"/>
    </row>
    <row r="323" customFormat="false" ht="12.75" hidden="false" customHeight="false" outlineLevel="0" collapsed="false">
      <c r="A323" s="46"/>
    </row>
    <row r="324" customFormat="false" ht="12.75" hidden="false" customHeight="false" outlineLevel="0" collapsed="false">
      <c r="A324" s="46"/>
    </row>
    <row r="325" customFormat="false" ht="12.75" hidden="false" customHeight="false" outlineLevel="0" collapsed="false">
      <c r="A325" s="46"/>
    </row>
    <row r="326" customFormat="false" ht="12.75" hidden="false" customHeight="false" outlineLevel="0" collapsed="false">
      <c r="A326" s="46"/>
    </row>
    <row r="327" customFormat="false" ht="12.75" hidden="false" customHeight="false" outlineLevel="0" collapsed="false">
      <c r="A327" s="46"/>
    </row>
    <row r="328" customFormat="false" ht="12.75" hidden="false" customHeight="false" outlineLevel="0" collapsed="false">
      <c r="A328" s="46"/>
    </row>
    <row r="329" customFormat="false" ht="12.75" hidden="false" customHeight="false" outlineLevel="0" collapsed="false">
      <c r="A329" s="46"/>
    </row>
    <row r="330" customFormat="false" ht="12.75" hidden="false" customHeight="false" outlineLevel="0" collapsed="false">
      <c r="A330" s="46"/>
    </row>
    <row r="331" customFormat="false" ht="12.75" hidden="false" customHeight="false" outlineLevel="0" collapsed="false">
      <c r="A331" s="46"/>
    </row>
    <row r="332" customFormat="false" ht="12.75" hidden="false" customHeight="false" outlineLevel="0" collapsed="false">
      <c r="A332" s="46"/>
    </row>
    <row r="333" customFormat="false" ht="12.75" hidden="false" customHeight="false" outlineLevel="0" collapsed="false">
      <c r="A333" s="46"/>
    </row>
    <row r="334" customFormat="false" ht="12.75" hidden="false" customHeight="false" outlineLevel="0" collapsed="false">
      <c r="A334" s="46"/>
    </row>
    <row r="335" customFormat="false" ht="12.75" hidden="false" customHeight="false" outlineLevel="0" collapsed="false">
      <c r="A335" s="46"/>
    </row>
    <row r="336" customFormat="false" ht="12.75" hidden="false" customHeight="false" outlineLevel="0" collapsed="false">
      <c r="A336" s="46"/>
    </row>
    <row r="337" customFormat="false" ht="12.75" hidden="false" customHeight="false" outlineLevel="0" collapsed="false">
      <c r="A337" s="46"/>
    </row>
    <row r="338" customFormat="false" ht="12.75" hidden="false" customHeight="false" outlineLevel="0" collapsed="false">
      <c r="A338" s="46"/>
    </row>
    <row r="339" customFormat="false" ht="12.75" hidden="false" customHeight="false" outlineLevel="0" collapsed="false">
      <c r="A339" s="46"/>
    </row>
    <row r="340" customFormat="false" ht="12.75" hidden="false" customHeight="false" outlineLevel="0" collapsed="false">
      <c r="A340" s="46"/>
    </row>
    <row r="341" customFormat="false" ht="12.75" hidden="false" customHeight="false" outlineLevel="0" collapsed="false">
      <c r="A341" s="46"/>
    </row>
    <row r="342" customFormat="false" ht="12.75" hidden="false" customHeight="false" outlineLevel="0" collapsed="false">
      <c r="A342" s="46"/>
    </row>
    <row r="343" customFormat="false" ht="12.75" hidden="false" customHeight="false" outlineLevel="0" collapsed="false">
      <c r="A343" s="46"/>
    </row>
    <row r="344" customFormat="false" ht="12.75" hidden="false" customHeight="false" outlineLevel="0" collapsed="false">
      <c r="A344" s="46"/>
    </row>
    <row r="345" customFormat="false" ht="12.75" hidden="false" customHeight="false" outlineLevel="0" collapsed="false">
      <c r="A345" s="46"/>
    </row>
    <row r="346" customFormat="false" ht="12.75" hidden="false" customHeight="false" outlineLevel="0" collapsed="false">
      <c r="A346" s="46"/>
    </row>
    <row r="347" customFormat="false" ht="12.75" hidden="false" customHeight="false" outlineLevel="0" collapsed="false">
      <c r="A347" s="46"/>
    </row>
    <row r="348" customFormat="false" ht="12.75" hidden="false" customHeight="false" outlineLevel="0" collapsed="false">
      <c r="A348" s="46"/>
    </row>
    <row r="349" customFormat="false" ht="12.75" hidden="false" customHeight="false" outlineLevel="0" collapsed="false">
      <c r="A349" s="46"/>
    </row>
    <row r="350" customFormat="false" ht="12.75" hidden="false" customHeight="false" outlineLevel="0" collapsed="false">
      <c r="A350" s="46"/>
    </row>
    <row r="351" customFormat="false" ht="12.75" hidden="false" customHeight="false" outlineLevel="0" collapsed="false">
      <c r="A351" s="46"/>
    </row>
    <row r="352" customFormat="false" ht="12.75" hidden="false" customHeight="false" outlineLevel="0" collapsed="false">
      <c r="A352" s="46"/>
    </row>
    <row r="353" customFormat="false" ht="12.75" hidden="false" customHeight="false" outlineLevel="0" collapsed="false">
      <c r="A353" s="46"/>
    </row>
    <row r="354" customFormat="false" ht="12.75" hidden="false" customHeight="false" outlineLevel="0" collapsed="false">
      <c r="A354" s="46"/>
    </row>
    <row r="355" customFormat="false" ht="12.75" hidden="false" customHeight="false" outlineLevel="0" collapsed="false">
      <c r="A355" s="46"/>
    </row>
    <row r="356" customFormat="false" ht="12.75" hidden="false" customHeight="false" outlineLevel="0" collapsed="false">
      <c r="A356" s="46"/>
    </row>
    <row r="357" customFormat="false" ht="12.75" hidden="false" customHeight="false" outlineLevel="0" collapsed="false">
      <c r="A357" s="46"/>
    </row>
    <row r="358" customFormat="false" ht="12.75" hidden="false" customHeight="false" outlineLevel="0" collapsed="false">
      <c r="A358" s="46"/>
    </row>
    <row r="359" customFormat="false" ht="12.75" hidden="false" customHeight="false" outlineLevel="0" collapsed="false">
      <c r="A359" s="46"/>
    </row>
    <row r="360" customFormat="false" ht="12.75" hidden="false" customHeight="false" outlineLevel="0" collapsed="false">
      <c r="A360" s="46"/>
    </row>
    <row r="361" customFormat="false" ht="12.75" hidden="false" customHeight="false" outlineLevel="0" collapsed="false">
      <c r="A361" s="46"/>
    </row>
    <row r="362" customFormat="false" ht="12.75" hidden="false" customHeight="false" outlineLevel="0" collapsed="false">
      <c r="A362" s="46"/>
    </row>
    <row r="363" customFormat="false" ht="12.75" hidden="false" customHeight="false" outlineLevel="0" collapsed="false">
      <c r="A363" s="46"/>
    </row>
    <row r="364" customFormat="false" ht="12.75" hidden="false" customHeight="false" outlineLevel="0" collapsed="false">
      <c r="A364" s="46"/>
    </row>
    <row r="365" customFormat="false" ht="12.75" hidden="false" customHeight="false" outlineLevel="0" collapsed="false">
      <c r="A365" s="46"/>
    </row>
    <row r="366" customFormat="false" ht="12.75" hidden="false" customHeight="false" outlineLevel="0" collapsed="false">
      <c r="A366" s="46"/>
    </row>
    <row r="367" customFormat="false" ht="12.75" hidden="false" customHeight="false" outlineLevel="0" collapsed="false">
      <c r="A367" s="46"/>
    </row>
    <row r="368" customFormat="false" ht="12.75" hidden="false" customHeight="false" outlineLevel="0" collapsed="false">
      <c r="A368" s="46"/>
    </row>
    <row r="369" customFormat="false" ht="12.75" hidden="false" customHeight="false" outlineLevel="0" collapsed="false">
      <c r="A369" s="46"/>
    </row>
    <row r="370" customFormat="false" ht="12.75" hidden="false" customHeight="false" outlineLevel="0" collapsed="false">
      <c r="A370" s="46"/>
    </row>
    <row r="371" customFormat="false" ht="12.75" hidden="false" customHeight="false" outlineLevel="0" collapsed="false">
      <c r="A371" s="46"/>
    </row>
    <row r="372" customFormat="false" ht="12.75" hidden="false" customHeight="false" outlineLevel="0" collapsed="false">
      <c r="A372" s="46"/>
    </row>
    <row r="373" customFormat="false" ht="12.75" hidden="false" customHeight="false" outlineLevel="0" collapsed="false">
      <c r="A373" s="46"/>
    </row>
    <row r="374" customFormat="false" ht="12.75" hidden="false" customHeight="false" outlineLevel="0" collapsed="false">
      <c r="A374" s="46"/>
    </row>
    <row r="375" customFormat="false" ht="12.75" hidden="false" customHeight="false" outlineLevel="0" collapsed="false">
      <c r="A375" s="46"/>
    </row>
    <row r="376" customFormat="false" ht="12.75" hidden="false" customHeight="false" outlineLevel="0" collapsed="false">
      <c r="A376" s="46"/>
    </row>
    <row r="377" customFormat="false" ht="12.75" hidden="false" customHeight="false" outlineLevel="0" collapsed="false">
      <c r="A377" s="46"/>
    </row>
    <row r="378" customFormat="false" ht="12.75" hidden="false" customHeight="false" outlineLevel="0" collapsed="false">
      <c r="A378" s="46"/>
    </row>
    <row r="379" customFormat="false" ht="12.75" hidden="false" customHeight="false" outlineLevel="0" collapsed="false">
      <c r="A379" s="46"/>
    </row>
    <row r="380" customFormat="false" ht="12.75" hidden="false" customHeight="false" outlineLevel="0" collapsed="false">
      <c r="A380" s="46"/>
    </row>
    <row r="381" customFormat="false" ht="12.75" hidden="false" customHeight="false" outlineLevel="0" collapsed="false">
      <c r="A381" s="46"/>
    </row>
    <row r="382" customFormat="false" ht="12.75" hidden="false" customHeight="false" outlineLevel="0" collapsed="false">
      <c r="A382" s="46"/>
    </row>
    <row r="383" customFormat="false" ht="12.75" hidden="false" customHeight="false" outlineLevel="0" collapsed="false">
      <c r="A383" s="46"/>
    </row>
    <row r="384" customFormat="false" ht="12.75" hidden="false" customHeight="false" outlineLevel="0" collapsed="false">
      <c r="A384" s="46"/>
    </row>
    <row r="385" customFormat="false" ht="12.75" hidden="false" customHeight="false" outlineLevel="0" collapsed="false">
      <c r="A385" s="46"/>
    </row>
    <row r="386" customFormat="false" ht="12.75" hidden="false" customHeight="false" outlineLevel="0" collapsed="false">
      <c r="A386" s="46"/>
    </row>
    <row r="387" customFormat="false" ht="12.75" hidden="false" customHeight="false" outlineLevel="0" collapsed="false">
      <c r="A387" s="46"/>
    </row>
    <row r="388" customFormat="false" ht="12.75" hidden="false" customHeight="false" outlineLevel="0" collapsed="false">
      <c r="A388" s="46"/>
    </row>
    <row r="389" customFormat="false" ht="12.75" hidden="false" customHeight="false" outlineLevel="0" collapsed="false">
      <c r="A389" s="46"/>
    </row>
    <row r="390" customFormat="false" ht="12.75" hidden="false" customHeight="false" outlineLevel="0" collapsed="false">
      <c r="A390" s="46"/>
    </row>
    <row r="391" customFormat="false" ht="12.75" hidden="false" customHeight="false" outlineLevel="0" collapsed="false">
      <c r="A391" s="46"/>
    </row>
    <row r="392" customFormat="false" ht="12.75" hidden="false" customHeight="false" outlineLevel="0" collapsed="false">
      <c r="A392" s="46"/>
    </row>
    <row r="393" customFormat="false" ht="12.75" hidden="false" customHeight="false" outlineLevel="0" collapsed="false">
      <c r="A393" s="46"/>
    </row>
    <row r="394" customFormat="false" ht="12.75" hidden="false" customHeight="false" outlineLevel="0" collapsed="false">
      <c r="A394" s="46"/>
    </row>
    <row r="395" customFormat="false" ht="12.75" hidden="false" customHeight="false" outlineLevel="0" collapsed="false">
      <c r="A395" s="46"/>
    </row>
    <row r="396" customFormat="false" ht="12.75" hidden="false" customHeight="false" outlineLevel="0" collapsed="false">
      <c r="A396" s="46"/>
    </row>
    <row r="397" customFormat="false" ht="12.75" hidden="false" customHeight="false" outlineLevel="0" collapsed="false">
      <c r="A397" s="46"/>
    </row>
    <row r="398" customFormat="false" ht="12.75" hidden="false" customHeight="false" outlineLevel="0" collapsed="false">
      <c r="A398" s="46"/>
    </row>
    <row r="399" customFormat="false" ht="12.75" hidden="false" customHeight="false" outlineLevel="0" collapsed="false">
      <c r="A399" s="46"/>
    </row>
    <row r="400" customFormat="false" ht="12.75" hidden="false" customHeight="false" outlineLevel="0" collapsed="false">
      <c r="A400" s="46"/>
    </row>
    <row r="401" customFormat="false" ht="12.75" hidden="false" customHeight="false" outlineLevel="0" collapsed="false">
      <c r="A401" s="46"/>
    </row>
    <row r="402" customFormat="false" ht="12.75" hidden="false" customHeight="false" outlineLevel="0" collapsed="false">
      <c r="A402" s="46"/>
    </row>
    <row r="403" customFormat="false" ht="12.75" hidden="false" customHeight="false" outlineLevel="0" collapsed="false">
      <c r="A403" s="46"/>
    </row>
    <row r="404" customFormat="false" ht="12.75" hidden="false" customHeight="false" outlineLevel="0" collapsed="false">
      <c r="A404" s="46"/>
    </row>
    <row r="405" customFormat="false" ht="12.75" hidden="false" customHeight="false" outlineLevel="0" collapsed="false">
      <c r="A405" s="46"/>
    </row>
    <row r="406" customFormat="false" ht="12.75" hidden="false" customHeight="false" outlineLevel="0" collapsed="false">
      <c r="A406" s="46"/>
    </row>
    <row r="407" customFormat="false" ht="12.75" hidden="false" customHeight="false" outlineLevel="0" collapsed="false">
      <c r="A407" s="46"/>
    </row>
    <row r="408" customFormat="false" ht="12.75" hidden="false" customHeight="false" outlineLevel="0" collapsed="false">
      <c r="A408" s="46"/>
    </row>
    <row r="409" customFormat="false" ht="12.75" hidden="false" customHeight="false" outlineLevel="0" collapsed="false">
      <c r="A409" s="46"/>
    </row>
    <row r="410" customFormat="false" ht="12.75" hidden="false" customHeight="false" outlineLevel="0" collapsed="false">
      <c r="A410" s="46"/>
    </row>
    <row r="411" customFormat="false" ht="12.75" hidden="false" customHeight="false" outlineLevel="0" collapsed="false">
      <c r="A411" s="46"/>
    </row>
    <row r="412" customFormat="false" ht="12.75" hidden="false" customHeight="false" outlineLevel="0" collapsed="false">
      <c r="A412" s="46"/>
    </row>
    <row r="413" customFormat="false" ht="12.75" hidden="false" customHeight="false" outlineLevel="0" collapsed="false">
      <c r="A413" s="46"/>
    </row>
    <row r="414" customFormat="false" ht="12.75" hidden="false" customHeight="false" outlineLevel="0" collapsed="false">
      <c r="A414" s="46"/>
    </row>
    <row r="415" customFormat="false" ht="12.75" hidden="false" customHeight="false" outlineLevel="0" collapsed="false">
      <c r="A415" s="46"/>
    </row>
    <row r="416" customFormat="false" ht="12.75" hidden="false" customHeight="false" outlineLevel="0" collapsed="false">
      <c r="A416" s="46"/>
    </row>
    <row r="417" customFormat="false" ht="12.75" hidden="false" customHeight="false" outlineLevel="0" collapsed="false">
      <c r="A417" s="46"/>
    </row>
    <row r="418" customFormat="false" ht="12.75" hidden="false" customHeight="false" outlineLevel="0" collapsed="false">
      <c r="A418" s="46"/>
    </row>
    <row r="419" customFormat="false" ht="12.75" hidden="false" customHeight="false" outlineLevel="0" collapsed="false">
      <c r="A419" s="46"/>
    </row>
    <row r="420" customFormat="false" ht="12.75" hidden="false" customHeight="false" outlineLevel="0" collapsed="false">
      <c r="A420" s="46"/>
    </row>
    <row r="421" customFormat="false" ht="12.75" hidden="false" customHeight="false" outlineLevel="0" collapsed="false">
      <c r="A421" s="46"/>
    </row>
    <row r="422" customFormat="false" ht="12.75" hidden="false" customHeight="false" outlineLevel="0" collapsed="false">
      <c r="A422" s="46"/>
    </row>
    <row r="423" customFormat="false" ht="12.75" hidden="false" customHeight="false" outlineLevel="0" collapsed="false">
      <c r="A423" s="46"/>
    </row>
    <row r="424" customFormat="false" ht="12.75" hidden="false" customHeight="false" outlineLevel="0" collapsed="false">
      <c r="A424" s="46"/>
    </row>
    <row r="425" customFormat="false" ht="12.75" hidden="false" customHeight="false" outlineLevel="0" collapsed="false">
      <c r="A425" s="46"/>
    </row>
    <row r="426" customFormat="false" ht="12.75" hidden="false" customHeight="false" outlineLevel="0" collapsed="false">
      <c r="A426" s="46"/>
    </row>
    <row r="427" customFormat="false" ht="12.75" hidden="false" customHeight="false" outlineLevel="0" collapsed="false">
      <c r="A427" s="46"/>
    </row>
    <row r="428" customFormat="false" ht="12.75" hidden="false" customHeight="false" outlineLevel="0" collapsed="false">
      <c r="A428" s="46"/>
    </row>
    <row r="429" customFormat="false" ht="12.75" hidden="false" customHeight="false" outlineLevel="0" collapsed="false">
      <c r="A429" s="46"/>
    </row>
    <row r="430" customFormat="false" ht="12.75" hidden="false" customHeight="false" outlineLevel="0" collapsed="false">
      <c r="A430" s="46"/>
    </row>
    <row r="431" customFormat="false" ht="12.75" hidden="false" customHeight="false" outlineLevel="0" collapsed="false">
      <c r="A431" s="46"/>
    </row>
    <row r="432" customFormat="false" ht="12.75" hidden="false" customHeight="false" outlineLevel="0" collapsed="false">
      <c r="A432" s="46"/>
    </row>
    <row r="433" customFormat="false" ht="12.75" hidden="false" customHeight="false" outlineLevel="0" collapsed="false">
      <c r="A433" s="46"/>
    </row>
    <row r="434" customFormat="false" ht="12.75" hidden="false" customHeight="false" outlineLevel="0" collapsed="false">
      <c r="A434" s="46"/>
    </row>
    <row r="435" customFormat="false" ht="12.75" hidden="false" customHeight="false" outlineLevel="0" collapsed="false">
      <c r="A435" s="46"/>
    </row>
    <row r="436" customFormat="false" ht="12.75" hidden="false" customHeight="false" outlineLevel="0" collapsed="false">
      <c r="A436" s="46"/>
    </row>
    <row r="437" customFormat="false" ht="12.75" hidden="false" customHeight="false" outlineLevel="0" collapsed="false">
      <c r="A437" s="46"/>
    </row>
    <row r="438" customFormat="false" ht="12.75" hidden="false" customHeight="false" outlineLevel="0" collapsed="false">
      <c r="A438" s="46"/>
    </row>
    <row r="439" customFormat="false" ht="12.75" hidden="false" customHeight="false" outlineLevel="0" collapsed="false">
      <c r="A439" s="46"/>
    </row>
    <row r="440" customFormat="false" ht="12.75" hidden="false" customHeight="false" outlineLevel="0" collapsed="false">
      <c r="A440" s="46"/>
    </row>
    <row r="441" customFormat="false" ht="12.75" hidden="false" customHeight="false" outlineLevel="0" collapsed="false">
      <c r="A441" s="46"/>
    </row>
    <row r="442" customFormat="false" ht="12.75" hidden="false" customHeight="false" outlineLevel="0" collapsed="false">
      <c r="A442" s="46"/>
    </row>
    <row r="443" customFormat="false" ht="12.75" hidden="false" customHeight="false" outlineLevel="0" collapsed="false">
      <c r="A443" s="46"/>
    </row>
    <row r="444" customFormat="false" ht="12.75" hidden="false" customHeight="false" outlineLevel="0" collapsed="false">
      <c r="A444" s="46"/>
    </row>
    <row r="445" customFormat="false" ht="12.75" hidden="false" customHeight="false" outlineLevel="0" collapsed="false">
      <c r="A445" s="46"/>
    </row>
    <row r="446" customFormat="false" ht="12.75" hidden="false" customHeight="false" outlineLevel="0" collapsed="false">
      <c r="A446" s="46"/>
    </row>
    <row r="447" customFormat="false" ht="12.75" hidden="false" customHeight="false" outlineLevel="0" collapsed="false">
      <c r="A447" s="46"/>
    </row>
    <row r="448" customFormat="false" ht="12.75" hidden="false" customHeight="false" outlineLevel="0" collapsed="false">
      <c r="A448" s="46"/>
    </row>
    <row r="449" customFormat="false" ht="12.75" hidden="false" customHeight="false" outlineLevel="0" collapsed="false">
      <c r="A449" s="46"/>
    </row>
    <row r="450" customFormat="false" ht="12.75" hidden="false" customHeight="false" outlineLevel="0" collapsed="false">
      <c r="A450" s="46"/>
    </row>
    <row r="451" customFormat="false" ht="12.75" hidden="false" customHeight="false" outlineLevel="0" collapsed="false">
      <c r="A451" s="46"/>
    </row>
    <row r="452" customFormat="false" ht="12.75" hidden="false" customHeight="false" outlineLevel="0" collapsed="false">
      <c r="A452" s="46"/>
    </row>
    <row r="453" customFormat="false" ht="12.75" hidden="false" customHeight="false" outlineLevel="0" collapsed="false">
      <c r="A453" s="46"/>
    </row>
    <row r="454" customFormat="false" ht="12.75" hidden="false" customHeight="false" outlineLevel="0" collapsed="false">
      <c r="A454" s="46"/>
    </row>
    <row r="455" customFormat="false" ht="12.75" hidden="false" customHeight="false" outlineLevel="0" collapsed="false">
      <c r="A455" s="46"/>
    </row>
    <row r="456" customFormat="false" ht="12.75" hidden="false" customHeight="false" outlineLevel="0" collapsed="false">
      <c r="A456" s="46"/>
    </row>
    <row r="457" customFormat="false" ht="12.75" hidden="false" customHeight="false" outlineLevel="0" collapsed="false">
      <c r="A457" s="46"/>
    </row>
    <row r="458" customFormat="false" ht="12.75" hidden="false" customHeight="false" outlineLevel="0" collapsed="false">
      <c r="A458" s="46"/>
    </row>
    <row r="459" customFormat="false" ht="12.75" hidden="false" customHeight="false" outlineLevel="0" collapsed="false">
      <c r="A459" s="46"/>
    </row>
    <row r="460" customFormat="false" ht="12.75" hidden="false" customHeight="false" outlineLevel="0" collapsed="false">
      <c r="A460" s="46"/>
    </row>
    <row r="461" customFormat="false" ht="12.75" hidden="false" customHeight="false" outlineLevel="0" collapsed="false">
      <c r="A461" s="46"/>
    </row>
    <row r="462" customFormat="false" ht="12.75" hidden="false" customHeight="false" outlineLevel="0" collapsed="false">
      <c r="A462" s="46"/>
    </row>
    <row r="463" customFormat="false" ht="12.75" hidden="false" customHeight="false" outlineLevel="0" collapsed="false">
      <c r="A463" s="46"/>
    </row>
    <row r="464" customFormat="false" ht="12.75" hidden="false" customHeight="false" outlineLevel="0" collapsed="false">
      <c r="A464" s="46"/>
    </row>
    <row r="465" customFormat="false" ht="12.75" hidden="false" customHeight="false" outlineLevel="0" collapsed="false">
      <c r="A465" s="46"/>
    </row>
    <row r="466" customFormat="false" ht="12.75" hidden="false" customHeight="false" outlineLevel="0" collapsed="false">
      <c r="A466" s="46"/>
    </row>
    <row r="467" customFormat="false" ht="12.75" hidden="false" customHeight="false" outlineLevel="0" collapsed="false">
      <c r="A467" s="46"/>
    </row>
    <row r="468" customFormat="false" ht="12.75" hidden="false" customHeight="false" outlineLevel="0" collapsed="false">
      <c r="A468" s="46"/>
    </row>
    <row r="469" customFormat="false" ht="12.75" hidden="false" customHeight="false" outlineLevel="0" collapsed="false">
      <c r="A469" s="46"/>
    </row>
    <row r="470" customFormat="false" ht="12.75" hidden="false" customHeight="false" outlineLevel="0" collapsed="false">
      <c r="A470" s="46"/>
    </row>
    <row r="471" customFormat="false" ht="12.75" hidden="false" customHeight="false" outlineLevel="0" collapsed="false">
      <c r="A471" s="46"/>
    </row>
    <row r="472" customFormat="false" ht="12.75" hidden="false" customHeight="false" outlineLevel="0" collapsed="false">
      <c r="A472" s="46"/>
    </row>
    <row r="473" customFormat="false" ht="12.75" hidden="false" customHeight="false" outlineLevel="0" collapsed="false">
      <c r="A473" s="46"/>
    </row>
    <row r="474" customFormat="false" ht="12.75" hidden="false" customHeight="false" outlineLevel="0" collapsed="false">
      <c r="A474" s="46"/>
    </row>
    <row r="475" customFormat="false" ht="12.75" hidden="false" customHeight="false" outlineLevel="0" collapsed="false">
      <c r="A475" s="46"/>
    </row>
    <row r="476" customFormat="false" ht="12.75" hidden="false" customHeight="false" outlineLevel="0" collapsed="false">
      <c r="A476" s="46"/>
    </row>
    <row r="477" customFormat="false" ht="12.75" hidden="false" customHeight="false" outlineLevel="0" collapsed="false">
      <c r="A477" s="46"/>
    </row>
    <row r="478" customFormat="false" ht="12.75" hidden="false" customHeight="false" outlineLevel="0" collapsed="false">
      <c r="A478" s="46"/>
    </row>
    <row r="479" customFormat="false" ht="12.75" hidden="false" customHeight="false" outlineLevel="0" collapsed="false">
      <c r="A479" s="46"/>
    </row>
    <row r="480" customFormat="false" ht="12.75" hidden="false" customHeight="false" outlineLevel="0" collapsed="false">
      <c r="A480" s="46"/>
    </row>
    <row r="481" customFormat="false" ht="12.75" hidden="false" customHeight="false" outlineLevel="0" collapsed="false">
      <c r="A481" s="46"/>
    </row>
    <row r="482" customFormat="false" ht="12.75" hidden="false" customHeight="false" outlineLevel="0" collapsed="false">
      <c r="A482" s="46"/>
    </row>
    <row r="483" customFormat="false" ht="12.75" hidden="false" customHeight="false" outlineLevel="0" collapsed="false">
      <c r="A483" s="46"/>
    </row>
    <row r="484" customFormat="false" ht="12.75" hidden="false" customHeight="false" outlineLevel="0" collapsed="false">
      <c r="A484" s="46"/>
    </row>
    <row r="485" customFormat="false" ht="12.75" hidden="false" customHeight="false" outlineLevel="0" collapsed="false">
      <c r="A485" s="46"/>
    </row>
    <row r="486" customFormat="false" ht="12.75" hidden="false" customHeight="false" outlineLevel="0" collapsed="false">
      <c r="A486" s="46"/>
    </row>
    <row r="487" customFormat="false" ht="12.75" hidden="false" customHeight="false" outlineLevel="0" collapsed="false">
      <c r="A487" s="46"/>
    </row>
    <row r="488" customFormat="false" ht="12.75" hidden="false" customHeight="false" outlineLevel="0" collapsed="false">
      <c r="A488" s="46"/>
    </row>
    <row r="489" customFormat="false" ht="12.75" hidden="false" customHeight="false" outlineLevel="0" collapsed="false">
      <c r="A489" s="46"/>
    </row>
    <row r="490" customFormat="false" ht="12.75" hidden="false" customHeight="false" outlineLevel="0" collapsed="false">
      <c r="A490" s="46"/>
    </row>
    <row r="491" customFormat="false" ht="12.75" hidden="false" customHeight="false" outlineLevel="0" collapsed="false">
      <c r="A491" s="46"/>
    </row>
    <row r="492" customFormat="false" ht="12.75" hidden="false" customHeight="false" outlineLevel="0" collapsed="false">
      <c r="A492" s="46"/>
    </row>
    <row r="493" customFormat="false" ht="12.75" hidden="false" customHeight="false" outlineLevel="0" collapsed="false">
      <c r="A493" s="46"/>
    </row>
    <row r="494" customFormat="false" ht="12.75" hidden="false" customHeight="false" outlineLevel="0" collapsed="false">
      <c r="A494" s="46"/>
    </row>
    <row r="495" customFormat="false" ht="12.75" hidden="false" customHeight="false" outlineLevel="0" collapsed="false">
      <c r="A495" s="46"/>
    </row>
    <row r="496" customFormat="false" ht="12.75" hidden="false" customHeight="false" outlineLevel="0" collapsed="false">
      <c r="A496" s="46"/>
    </row>
    <row r="497" customFormat="false" ht="12.75" hidden="false" customHeight="false" outlineLevel="0" collapsed="false">
      <c r="A497" s="46"/>
    </row>
    <row r="498" customFormat="false" ht="12.75" hidden="false" customHeight="false" outlineLevel="0" collapsed="false">
      <c r="A498" s="46"/>
    </row>
    <row r="499" customFormat="false" ht="12.75" hidden="false" customHeight="false" outlineLevel="0" collapsed="false">
      <c r="A499" s="46"/>
    </row>
    <row r="500" customFormat="false" ht="12.75" hidden="false" customHeight="false" outlineLevel="0" collapsed="false">
      <c r="A500" s="46"/>
    </row>
    <row r="501" customFormat="false" ht="12.75" hidden="false" customHeight="false" outlineLevel="0" collapsed="false">
      <c r="A501" s="46"/>
    </row>
    <row r="502" customFormat="false" ht="12.75" hidden="false" customHeight="false" outlineLevel="0" collapsed="false">
      <c r="A502" s="46"/>
    </row>
    <row r="503" customFormat="false" ht="12.75" hidden="false" customHeight="false" outlineLevel="0" collapsed="false">
      <c r="A503" s="46"/>
    </row>
    <row r="504" customFormat="false" ht="12.75" hidden="false" customHeight="false" outlineLevel="0" collapsed="false">
      <c r="A504" s="46"/>
    </row>
    <row r="505" customFormat="false" ht="12.75" hidden="false" customHeight="false" outlineLevel="0" collapsed="false">
      <c r="A505" s="46"/>
    </row>
    <row r="506" customFormat="false" ht="12.75" hidden="false" customHeight="false" outlineLevel="0" collapsed="false">
      <c r="A506" s="46"/>
    </row>
    <row r="507" customFormat="false" ht="12.75" hidden="false" customHeight="false" outlineLevel="0" collapsed="false">
      <c r="A507" s="46"/>
    </row>
    <row r="508" customFormat="false" ht="12.75" hidden="false" customHeight="false" outlineLevel="0" collapsed="false">
      <c r="A508" s="46"/>
    </row>
    <row r="509" customFormat="false" ht="12.75" hidden="false" customHeight="false" outlineLevel="0" collapsed="false">
      <c r="A509" s="46"/>
    </row>
    <row r="510" customFormat="false" ht="12.75" hidden="false" customHeight="false" outlineLevel="0" collapsed="false">
      <c r="A510" s="46"/>
    </row>
    <row r="511" customFormat="false" ht="12.75" hidden="false" customHeight="false" outlineLevel="0" collapsed="false">
      <c r="A511" s="46"/>
    </row>
    <row r="512" customFormat="false" ht="12.75" hidden="false" customHeight="false" outlineLevel="0" collapsed="false">
      <c r="A512" s="46"/>
    </row>
    <row r="513" customFormat="false" ht="12.75" hidden="false" customHeight="false" outlineLevel="0" collapsed="false">
      <c r="A513" s="46"/>
    </row>
    <row r="514" customFormat="false" ht="12.75" hidden="false" customHeight="false" outlineLevel="0" collapsed="false">
      <c r="A514" s="46"/>
    </row>
    <row r="515" customFormat="false" ht="12.75" hidden="false" customHeight="false" outlineLevel="0" collapsed="false">
      <c r="A515" s="46"/>
    </row>
  </sheetData>
  <printOptions headings="false" gridLines="true" gridLinesSet="true" horizontalCentered="true" verticalCentered="true"/>
  <pageMargins left="0" right="0" top="0" bottom="0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4" topLeftCell="AH11" activePane="bottomRight" state="frozen"/>
      <selection pane="topLeft" activeCell="A1" activeCellId="0" sqref="A1"/>
      <selection pane="topRight" activeCell="AH1" activeCellId="0" sqref="AH1"/>
      <selection pane="bottomLeft" activeCell="A11" activeCellId="0" sqref="A11"/>
      <selection pane="bottomRight" activeCell="AM35" activeCellId="0" sqref="AM35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1" min="1" style="176" width="9.32"/>
    <col collapsed="false" customWidth="true" hidden="false" outlineLevel="0" max="2" min="2" style="176" width="1.32"/>
    <col collapsed="false" customWidth="true" hidden="false" outlineLevel="0" max="3" min="3" style="177" width="12.82"/>
    <col collapsed="false" customWidth="true" hidden="false" outlineLevel="0" max="4" min="4" style="178" width="22.65"/>
    <col collapsed="false" customWidth="true" hidden="false" outlineLevel="0" max="5" min="5" style="178" width="20.15"/>
    <col collapsed="false" customWidth="true" hidden="false" outlineLevel="0" max="6" min="6" style="178" width="21.65"/>
    <col collapsed="false" customWidth="true" hidden="false" outlineLevel="0" max="7" min="7" style="178" width="14.99"/>
    <col collapsed="false" customWidth="true" hidden="false" outlineLevel="0" max="9" min="8" style="178" width="11.99"/>
    <col collapsed="false" customWidth="true" hidden="false" outlineLevel="0" max="12" min="10" style="177" width="16.49"/>
    <col collapsed="false" customWidth="true" hidden="false" outlineLevel="0" max="13" min="13" style="179" width="15.82"/>
    <col collapsed="false" customWidth="true" hidden="false" outlineLevel="0" max="14" min="14" style="177" width="26.32"/>
    <col collapsed="false" customWidth="true" hidden="false" outlineLevel="0" max="15" min="15" style="177" width="15.32"/>
    <col collapsed="false" customWidth="true" hidden="false" outlineLevel="0" max="16" min="16" style="177" width="26.49"/>
    <col collapsed="false" customWidth="true" hidden="false" outlineLevel="0" max="17" min="17" style="177" width="11.99"/>
    <col collapsed="false" customWidth="true" hidden="false" outlineLevel="0" max="18" min="18" style="177" width="13.82"/>
    <col collapsed="false" customWidth="true" hidden="false" outlineLevel="0" max="19" min="19" style="177" width="11.99"/>
    <col collapsed="false" customWidth="true" hidden="false" outlineLevel="0" max="20" min="20" style="177" width="15.49"/>
    <col collapsed="false" customWidth="true" hidden="false" outlineLevel="0" max="23" min="21" style="177" width="11.99"/>
    <col collapsed="false" customWidth="true" hidden="false" outlineLevel="0" max="24" min="24" style="177" width="15.99"/>
    <col collapsed="false" customWidth="true" hidden="false" outlineLevel="0" max="39" min="25" style="177" width="11.99"/>
    <col collapsed="false" customWidth="true" hidden="false" outlineLevel="0" max="40" min="40" style="177" width="12.99"/>
    <col collapsed="false" customWidth="true" hidden="false" outlineLevel="0" max="41" min="41" style="178" width="14.82"/>
    <col collapsed="false" customWidth="true" hidden="false" outlineLevel="0" max="42" min="42" style="176" width="5.65"/>
    <col collapsed="false" customWidth="false" hidden="false" outlineLevel="0" max="44" min="43" style="176" width="9.32"/>
    <col collapsed="false" customWidth="true" hidden="false" outlineLevel="0" max="45" min="45" style="176" width="11.49"/>
    <col collapsed="false" customWidth="true" hidden="false" outlineLevel="0" max="46" min="46" style="176" width="9.65"/>
    <col collapsed="false" customWidth="false" hidden="false" outlineLevel="0" max="48" min="47" style="176" width="9.32"/>
    <col collapsed="false" customWidth="true" hidden="false" outlineLevel="0" max="49" min="49" style="176" width="10.15"/>
    <col collapsed="false" customWidth="false" hidden="false" outlineLevel="0" max="52" min="50" style="176" width="9.32"/>
    <col collapsed="false" customWidth="true" hidden="false" outlineLevel="0" max="53" min="53" style="176" width="11.15"/>
    <col collapsed="false" customWidth="false" hidden="false" outlineLevel="0" max="257" min="54" style="176" width="9.32"/>
  </cols>
  <sheetData>
    <row r="1" customFormat="false" ht="20.1" hidden="false" customHeight="true" outlineLevel="0" collapsed="false">
      <c r="A1" s="180" t="s">
        <v>142</v>
      </c>
      <c r="B1" s="180"/>
      <c r="C1" s="181"/>
      <c r="D1" s="182"/>
      <c r="E1" s="7" t="n">
        <f aca="false">+BaseloadMarkets!B1</f>
        <v>36708</v>
      </c>
      <c r="F1" s="183"/>
      <c r="G1" s="184"/>
      <c r="H1" s="184"/>
      <c r="I1" s="184"/>
      <c r="J1" s="185"/>
      <c r="K1" s="184"/>
      <c r="L1" s="184"/>
      <c r="M1" s="186"/>
      <c r="N1" s="185"/>
      <c r="O1" s="11"/>
      <c r="P1" s="11"/>
      <c r="Q1" s="11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1"/>
      <c r="AN1" s="181"/>
      <c r="AO1" s="182"/>
      <c r="AP1" s="180"/>
      <c r="AQ1" s="180"/>
      <c r="AR1" s="180"/>
      <c r="AS1" s="180"/>
      <c r="AT1" s="180"/>
      <c r="AU1" s="180"/>
      <c r="AV1" s="180"/>
      <c r="AW1" s="187"/>
      <c r="AX1" s="187"/>
      <c r="AY1" s="180"/>
      <c r="AZ1" s="181"/>
      <c r="BA1" s="181"/>
      <c r="BB1" s="180"/>
      <c r="BC1" s="181"/>
      <c r="BD1" s="181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  <c r="DP1" s="180"/>
      <c r="DQ1" s="180"/>
      <c r="DR1" s="180"/>
      <c r="DS1" s="180"/>
      <c r="DT1" s="180"/>
      <c r="DU1" s="180"/>
      <c r="DV1" s="180"/>
      <c r="DW1" s="180"/>
      <c r="DX1" s="180"/>
      <c r="DY1" s="180"/>
      <c r="DZ1" s="180"/>
      <c r="EA1" s="180"/>
      <c r="EB1" s="180"/>
      <c r="EC1" s="180"/>
      <c r="ED1" s="180"/>
      <c r="EE1" s="180"/>
      <c r="EF1" s="180"/>
      <c r="EG1" s="180"/>
      <c r="EH1" s="180"/>
      <c r="EI1" s="180"/>
      <c r="EJ1" s="180"/>
      <c r="EK1" s="180"/>
      <c r="EL1" s="180"/>
      <c r="EM1" s="180"/>
      <c r="EN1" s="180"/>
      <c r="EO1" s="180"/>
      <c r="EP1" s="180"/>
      <c r="EQ1" s="180"/>
      <c r="ER1" s="180"/>
      <c r="ES1" s="180"/>
      <c r="ET1" s="180"/>
      <c r="EU1" s="180"/>
      <c r="EV1" s="180"/>
      <c r="EW1" s="180"/>
      <c r="EX1" s="180"/>
      <c r="EY1" s="180"/>
      <c r="EZ1" s="180"/>
      <c r="FA1" s="180"/>
      <c r="FB1" s="180"/>
      <c r="FC1" s="180"/>
      <c r="FD1" s="180"/>
      <c r="FE1" s="180"/>
      <c r="FF1" s="180"/>
      <c r="FG1" s="180"/>
      <c r="FH1" s="180"/>
      <c r="FI1" s="180"/>
      <c r="FJ1" s="180"/>
      <c r="FK1" s="180"/>
      <c r="FL1" s="180"/>
      <c r="FM1" s="180"/>
      <c r="FN1" s="180"/>
      <c r="FO1" s="180"/>
      <c r="FP1" s="180"/>
      <c r="FQ1" s="180"/>
      <c r="FR1" s="180"/>
      <c r="FS1" s="180"/>
      <c r="FT1" s="180"/>
      <c r="FU1" s="180"/>
      <c r="FV1" s="180"/>
      <c r="FW1" s="180"/>
      <c r="FX1" s="180"/>
      <c r="FY1" s="180"/>
      <c r="FZ1" s="180"/>
      <c r="GA1" s="180"/>
      <c r="GB1" s="180"/>
      <c r="GC1" s="180"/>
      <c r="GD1" s="180"/>
      <c r="GE1" s="180"/>
      <c r="GF1" s="180"/>
      <c r="GG1" s="180"/>
      <c r="GH1" s="180"/>
      <c r="GI1" s="180"/>
      <c r="GJ1" s="180"/>
      <c r="GK1" s="180"/>
      <c r="GL1" s="180"/>
      <c r="GM1" s="180"/>
      <c r="GN1" s="180"/>
      <c r="GO1" s="180"/>
      <c r="GP1" s="180"/>
      <c r="GQ1" s="180"/>
      <c r="GR1" s="180"/>
      <c r="GS1" s="180"/>
      <c r="GT1" s="180"/>
      <c r="GU1" s="180"/>
      <c r="GV1" s="180"/>
      <c r="GW1" s="180"/>
      <c r="GX1" s="180"/>
      <c r="GY1" s="180"/>
      <c r="GZ1" s="180"/>
      <c r="HA1" s="180"/>
      <c r="HB1" s="180"/>
      <c r="HC1" s="180"/>
      <c r="HD1" s="180"/>
      <c r="HE1" s="180"/>
      <c r="HF1" s="180"/>
      <c r="HG1" s="180"/>
      <c r="HH1" s="180"/>
      <c r="HI1" s="180"/>
      <c r="HJ1" s="180"/>
      <c r="HK1" s="180"/>
      <c r="HL1" s="180"/>
      <c r="HM1" s="180"/>
      <c r="HN1" s="180"/>
      <c r="HO1" s="180"/>
      <c r="HP1" s="180"/>
      <c r="HQ1" s="180"/>
      <c r="HR1" s="180"/>
      <c r="HS1" s="180"/>
      <c r="HT1" s="180"/>
      <c r="HU1" s="180"/>
      <c r="HV1" s="180"/>
      <c r="HW1" s="180"/>
      <c r="HX1" s="180"/>
      <c r="HY1" s="180"/>
      <c r="HZ1" s="180"/>
      <c r="IA1" s="180"/>
      <c r="IB1" s="180"/>
      <c r="IC1" s="180"/>
      <c r="ID1" s="180"/>
      <c r="IE1" s="180"/>
      <c r="IF1" s="180"/>
      <c r="IG1" s="180"/>
      <c r="IH1" s="180"/>
      <c r="II1" s="180"/>
      <c r="IJ1" s="180"/>
      <c r="IK1" s="180"/>
      <c r="IL1" s="180"/>
      <c r="IM1" s="180"/>
      <c r="IN1" s="180"/>
      <c r="IO1" s="180"/>
      <c r="IP1" s="180"/>
      <c r="IQ1" s="180"/>
      <c r="IR1" s="180"/>
      <c r="IS1" s="180"/>
      <c r="IT1" s="180"/>
      <c r="IU1" s="180"/>
      <c r="IV1" s="180"/>
      <c r="IW1" s="180"/>
    </row>
    <row r="2" customFormat="false" ht="12.75" hidden="false" customHeight="false" outlineLevel="0" collapsed="false">
      <c r="A2" s="188"/>
      <c r="B2" s="188"/>
      <c r="C2" s="185"/>
      <c r="D2" s="184" t="s">
        <v>76</v>
      </c>
      <c r="E2" s="184" t="s">
        <v>76</v>
      </c>
      <c r="F2" s="184" t="s">
        <v>76</v>
      </c>
      <c r="G2" s="185" t="s">
        <v>9</v>
      </c>
      <c r="H2" s="184" t="s">
        <v>16</v>
      </c>
      <c r="I2" s="184" t="s">
        <v>29</v>
      </c>
      <c r="J2" s="184" t="s">
        <v>29</v>
      </c>
      <c r="K2" s="184" t="s">
        <v>29</v>
      </c>
      <c r="L2" s="184" t="s">
        <v>143</v>
      </c>
      <c r="M2" s="189"/>
      <c r="N2" s="184" t="s">
        <v>32</v>
      </c>
      <c r="O2" s="11" t="s">
        <v>9</v>
      </c>
      <c r="P2" s="11" t="s">
        <v>18</v>
      </c>
      <c r="Q2" s="11" t="s">
        <v>98</v>
      </c>
      <c r="R2" s="184" t="s">
        <v>144</v>
      </c>
      <c r="S2" s="184" t="s">
        <v>14</v>
      </c>
      <c r="T2" s="185" t="s">
        <v>19</v>
      </c>
      <c r="U2" s="185" t="s">
        <v>22</v>
      </c>
      <c r="V2" s="185" t="s">
        <v>107</v>
      </c>
      <c r="W2" s="185" t="s">
        <v>24</v>
      </c>
      <c r="X2" s="190" t="s">
        <v>25</v>
      </c>
      <c r="Y2" s="185" t="s">
        <v>18</v>
      </c>
      <c r="Z2" s="185" t="s">
        <v>20</v>
      </c>
      <c r="AA2" s="185" t="s">
        <v>10</v>
      </c>
      <c r="AB2" s="185" t="s">
        <v>27</v>
      </c>
      <c r="AC2" s="185" t="s">
        <v>145</v>
      </c>
      <c r="AD2" s="185" t="s">
        <v>13</v>
      </c>
      <c r="AE2" s="185" t="s">
        <v>21</v>
      </c>
      <c r="AF2" s="185" t="s">
        <v>28</v>
      </c>
      <c r="AG2" s="185" t="s">
        <v>146</v>
      </c>
      <c r="AH2" s="185" t="s">
        <v>147</v>
      </c>
      <c r="AI2" s="185" t="s">
        <v>30</v>
      </c>
      <c r="AJ2" s="185" t="s">
        <v>99</v>
      </c>
      <c r="AK2" s="185" t="s">
        <v>11</v>
      </c>
      <c r="AL2" s="185" t="s">
        <v>12</v>
      </c>
      <c r="AM2" s="185"/>
      <c r="AN2" s="185" t="s">
        <v>120</v>
      </c>
      <c r="AO2" s="184"/>
      <c r="AP2" s="185"/>
      <c r="AQ2" s="188"/>
      <c r="AR2" s="188"/>
      <c r="AS2" s="188"/>
      <c r="AT2" s="185"/>
      <c r="AU2" s="185" t="s">
        <v>45</v>
      </c>
      <c r="AV2" s="188"/>
      <c r="AW2" s="185"/>
      <c r="AX2" s="185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188"/>
      <c r="DH2" s="188"/>
      <c r="DI2" s="188"/>
      <c r="DJ2" s="188"/>
      <c r="DK2" s="188"/>
      <c r="DL2" s="188"/>
      <c r="DM2" s="188"/>
      <c r="DN2" s="188"/>
      <c r="DO2" s="188"/>
      <c r="DP2" s="188"/>
      <c r="DQ2" s="188"/>
      <c r="DR2" s="188"/>
      <c r="DS2" s="188"/>
      <c r="DT2" s="188"/>
      <c r="DU2" s="188"/>
      <c r="DV2" s="188"/>
      <c r="DW2" s="188"/>
      <c r="DX2" s="188"/>
      <c r="DY2" s="188"/>
      <c r="DZ2" s="188"/>
      <c r="EA2" s="188"/>
      <c r="EB2" s="188"/>
      <c r="EC2" s="188"/>
      <c r="ED2" s="188"/>
      <c r="EE2" s="188"/>
      <c r="EF2" s="188"/>
      <c r="EG2" s="188"/>
      <c r="EH2" s="188"/>
      <c r="EI2" s="188"/>
      <c r="EJ2" s="188"/>
      <c r="EK2" s="188"/>
      <c r="EL2" s="188"/>
      <c r="EM2" s="188"/>
      <c r="EN2" s="188"/>
      <c r="EO2" s="188"/>
      <c r="EP2" s="188"/>
      <c r="EQ2" s="188"/>
      <c r="ER2" s="188"/>
      <c r="ES2" s="188"/>
      <c r="ET2" s="188"/>
      <c r="EU2" s="188"/>
      <c r="EV2" s="188"/>
      <c r="EW2" s="188"/>
      <c r="EX2" s="188"/>
      <c r="EY2" s="188"/>
      <c r="EZ2" s="188"/>
      <c r="FA2" s="188"/>
      <c r="FB2" s="188"/>
      <c r="FC2" s="188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  <c r="GG2" s="188"/>
      <c r="GH2" s="188"/>
      <c r="GI2" s="188"/>
      <c r="GJ2" s="188"/>
      <c r="GK2" s="188"/>
      <c r="GL2" s="188"/>
      <c r="GM2" s="188"/>
      <c r="GN2" s="188"/>
      <c r="GO2" s="188"/>
      <c r="GP2" s="188"/>
      <c r="GQ2" s="188"/>
      <c r="GR2" s="188"/>
      <c r="GS2" s="188"/>
      <c r="GT2" s="188"/>
      <c r="GU2" s="188"/>
      <c r="GV2" s="188"/>
      <c r="GW2" s="188"/>
      <c r="GX2" s="188"/>
      <c r="GY2" s="188"/>
      <c r="GZ2" s="188"/>
      <c r="HA2" s="188"/>
      <c r="HB2" s="188"/>
      <c r="HC2" s="188"/>
      <c r="HD2" s="188"/>
      <c r="HE2" s="188"/>
      <c r="HF2" s="188"/>
      <c r="HG2" s="188"/>
      <c r="HH2" s="188"/>
      <c r="HI2" s="188"/>
      <c r="HJ2" s="188"/>
      <c r="HK2" s="188"/>
      <c r="HL2" s="188"/>
      <c r="HM2" s="188"/>
      <c r="HN2" s="188"/>
      <c r="HO2" s="188"/>
      <c r="HP2" s="188"/>
      <c r="HQ2" s="188"/>
      <c r="HR2" s="188"/>
      <c r="HS2" s="188"/>
      <c r="HT2" s="188"/>
      <c r="HU2" s="188"/>
      <c r="HV2" s="188"/>
      <c r="HW2" s="188"/>
      <c r="HX2" s="188"/>
      <c r="HY2" s="188"/>
      <c r="HZ2" s="188"/>
      <c r="IA2" s="188"/>
      <c r="IB2" s="188"/>
      <c r="IC2" s="188"/>
      <c r="ID2" s="188"/>
      <c r="IE2" s="188"/>
      <c r="IF2" s="188"/>
      <c r="IG2" s="188"/>
      <c r="IH2" s="188"/>
      <c r="II2" s="188"/>
      <c r="IJ2" s="188"/>
      <c r="IK2" s="188"/>
      <c r="IL2" s="188"/>
      <c r="IM2" s="188"/>
      <c r="IN2" s="188"/>
      <c r="IO2" s="188"/>
      <c r="IP2" s="188"/>
      <c r="IQ2" s="188"/>
      <c r="IR2" s="188"/>
      <c r="IS2" s="188"/>
      <c r="IT2" s="188"/>
      <c r="IU2" s="188"/>
      <c r="IV2" s="188"/>
      <c r="IW2" s="188"/>
    </row>
    <row r="3" customFormat="false" ht="25.5" hidden="false" customHeight="false" outlineLevel="0" collapsed="false">
      <c r="A3" s="191" t="s">
        <v>148</v>
      </c>
      <c r="B3" s="191"/>
      <c r="C3" s="192"/>
      <c r="D3" s="192" t="s">
        <v>144</v>
      </c>
      <c r="E3" s="192" t="s">
        <v>144</v>
      </c>
      <c r="F3" s="192" t="s">
        <v>27</v>
      </c>
      <c r="G3" s="192" t="s">
        <v>149</v>
      </c>
      <c r="H3" s="192" t="n">
        <v>314599</v>
      </c>
      <c r="I3" s="192" t="n">
        <v>168003</v>
      </c>
      <c r="J3" s="192" t="n">
        <v>168093</v>
      </c>
      <c r="K3" s="192" t="s">
        <v>150</v>
      </c>
      <c r="L3" s="192"/>
      <c r="M3" s="193"/>
      <c r="N3" s="194" t="s">
        <v>151</v>
      </c>
      <c r="O3" s="195" t="n">
        <v>319609</v>
      </c>
      <c r="P3" s="195" t="n">
        <v>319957</v>
      </c>
      <c r="Q3" s="195"/>
      <c r="R3" s="192"/>
      <c r="S3" s="192"/>
      <c r="T3" s="192"/>
      <c r="U3" s="192"/>
      <c r="V3" s="192"/>
      <c r="W3" s="192"/>
      <c r="X3" s="192"/>
      <c r="Y3" s="192"/>
      <c r="Z3" s="192" t="s">
        <v>152</v>
      </c>
      <c r="AA3" s="192"/>
      <c r="AB3" s="192"/>
      <c r="AC3" s="192" t="s">
        <v>153</v>
      </c>
      <c r="AD3" s="192"/>
      <c r="AE3" s="192"/>
      <c r="AF3" s="192" t="s">
        <v>154</v>
      </c>
      <c r="AG3" s="192" t="s">
        <v>155</v>
      </c>
      <c r="AH3" s="192"/>
      <c r="AI3" s="192"/>
      <c r="AJ3" s="192"/>
      <c r="AK3" s="192"/>
      <c r="AL3" s="192"/>
      <c r="AM3" s="192" t="s">
        <v>45</v>
      </c>
      <c r="AN3" s="192" t="s">
        <v>156</v>
      </c>
      <c r="AO3" s="192"/>
      <c r="AP3" s="192"/>
      <c r="AQ3" s="191"/>
      <c r="AR3" s="191"/>
      <c r="AS3" s="191"/>
      <c r="AT3" s="192"/>
      <c r="AU3" s="192" t="s">
        <v>157</v>
      </c>
      <c r="AV3" s="191"/>
      <c r="AW3" s="192"/>
      <c r="AX3" s="192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  <c r="IF3" s="191"/>
      <c r="IG3" s="191"/>
      <c r="IH3" s="191"/>
      <c r="II3" s="191"/>
      <c r="IJ3" s="191"/>
      <c r="IK3" s="191"/>
      <c r="IL3" s="191"/>
      <c r="IM3" s="191"/>
      <c r="IN3" s="191"/>
      <c r="IO3" s="191"/>
      <c r="IP3" s="191"/>
      <c r="IQ3" s="191"/>
      <c r="IR3" s="191"/>
      <c r="IS3" s="191"/>
      <c r="IT3" s="191"/>
      <c r="IU3" s="191"/>
      <c r="IV3" s="191"/>
      <c r="IW3" s="191"/>
    </row>
    <row r="4" customFormat="false" ht="12.75" hidden="false" customHeight="false" outlineLevel="0" collapsed="false">
      <c r="A4" s="196" t="s">
        <v>158</v>
      </c>
      <c r="B4" s="197"/>
      <c r="C4" s="197" t="s">
        <v>159</v>
      </c>
      <c r="D4" s="198" t="s">
        <v>160</v>
      </c>
      <c r="E4" s="198" t="s">
        <v>161</v>
      </c>
      <c r="F4" s="198" t="s">
        <v>162</v>
      </c>
      <c r="G4" s="196" t="s">
        <v>48</v>
      </c>
      <c r="H4" s="198" t="s">
        <v>49</v>
      </c>
      <c r="I4" s="198" t="s">
        <v>163</v>
      </c>
      <c r="J4" s="198" t="s">
        <v>163</v>
      </c>
      <c r="K4" s="198" t="s">
        <v>163</v>
      </c>
      <c r="L4" s="198" t="s">
        <v>164</v>
      </c>
      <c r="M4" s="140" t="s">
        <v>132</v>
      </c>
      <c r="N4" s="198" t="s">
        <v>49</v>
      </c>
      <c r="O4" s="22" t="s">
        <v>165</v>
      </c>
      <c r="P4" s="199" t="s">
        <v>166</v>
      </c>
      <c r="Q4" s="22" t="s">
        <v>61</v>
      </c>
      <c r="R4" s="196"/>
      <c r="S4" s="198" t="s">
        <v>61</v>
      </c>
      <c r="T4" s="196" t="s">
        <v>61</v>
      </c>
      <c r="U4" s="196" t="s">
        <v>53</v>
      </c>
      <c r="V4" s="196" t="s">
        <v>101</v>
      </c>
      <c r="W4" s="196" t="s">
        <v>57</v>
      </c>
      <c r="X4" s="196" t="s">
        <v>57</v>
      </c>
      <c r="Y4" s="196"/>
      <c r="Z4" s="196" t="s">
        <v>167</v>
      </c>
      <c r="AA4" s="196"/>
      <c r="AB4" s="196"/>
      <c r="AC4" s="196" t="s">
        <v>53</v>
      </c>
      <c r="AD4" s="196"/>
      <c r="AE4" s="196"/>
      <c r="AF4" s="196" t="s">
        <v>61</v>
      </c>
      <c r="AG4" s="196" t="s">
        <v>61</v>
      </c>
      <c r="AH4" s="196"/>
      <c r="AI4" s="196"/>
      <c r="AJ4" s="196"/>
      <c r="AK4" s="196" t="s">
        <v>61</v>
      </c>
      <c r="AL4" s="196" t="s">
        <v>60</v>
      </c>
      <c r="AM4" s="196" t="s">
        <v>133</v>
      </c>
      <c r="AN4" s="196" t="s">
        <v>168</v>
      </c>
      <c r="AO4" s="198" t="s">
        <v>169</v>
      </c>
      <c r="AP4" s="196"/>
      <c r="AQ4" s="200"/>
      <c r="AR4" s="201"/>
      <c r="AS4" s="201"/>
      <c r="AT4" s="197"/>
      <c r="AU4" s="197" t="s">
        <v>78</v>
      </c>
      <c r="AV4" s="201"/>
      <c r="AW4" s="197"/>
      <c r="AX4" s="197"/>
      <c r="AY4" s="201"/>
      <c r="AZ4" s="197"/>
      <c r="BA4" s="197"/>
      <c r="BB4" s="197"/>
      <c r="BC4" s="197"/>
      <c r="BD4" s="197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  <c r="CU4" s="201"/>
      <c r="CV4" s="201"/>
      <c r="CW4" s="201"/>
      <c r="CX4" s="201"/>
      <c r="CY4" s="201"/>
      <c r="CZ4" s="201"/>
      <c r="DA4" s="201"/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1"/>
      <c r="EE4" s="201"/>
      <c r="EF4" s="201"/>
      <c r="EG4" s="201"/>
      <c r="EH4" s="201"/>
      <c r="EI4" s="201"/>
      <c r="EJ4" s="201"/>
      <c r="EK4" s="201"/>
      <c r="EL4" s="201"/>
      <c r="EM4" s="201"/>
      <c r="EN4" s="201"/>
      <c r="EO4" s="201"/>
      <c r="EP4" s="201"/>
      <c r="EQ4" s="201"/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1"/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1"/>
      <c r="GS4" s="201"/>
      <c r="GT4" s="201"/>
      <c r="GU4" s="201"/>
      <c r="GV4" s="201"/>
      <c r="GW4" s="201"/>
      <c r="GX4" s="201"/>
      <c r="GY4" s="201"/>
      <c r="GZ4" s="201"/>
      <c r="HA4" s="201"/>
      <c r="HB4" s="201"/>
      <c r="HC4" s="201"/>
      <c r="HD4" s="201"/>
      <c r="HE4" s="201"/>
      <c r="HF4" s="201"/>
      <c r="HG4" s="201"/>
      <c r="HH4" s="201"/>
      <c r="HI4" s="201"/>
      <c r="HJ4" s="201"/>
      <c r="HK4" s="201"/>
      <c r="HL4" s="201"/>
      <c r="HM4" s="201"/>
      <c r="HN4" s="201"/>
      <c r="HO4" s="201"/>
      <c r="HP4" s="201"/>
      <c r="HQ4" s="201"/>
      <c r="HR4" s="201"/>
      <c r="HS4" s="201"/>
      <c r="HT4" s="201"/>
      <c r="HU4" s="201"/>
      <c r="HV4" s="201"/>
      <c r="HW4" s="201"/>
      <c r="HX4" s="201"/>
      <c r="HY4" s="201"/>
      <c r="HZ4" s="201"/>
      <c r="IA4" s="201"/>
      <c r="IB4" s="201"/>
      <c r="IC4" s="201"/>
      <c r="ID4" s="201"/>
      <c r="IE4" s="201"/>
      <c r="IF4" s="201"/>
      <c r="IG4" s="201"/>
      <c r="IH4" s="201"/>
      <c r="II4" s="201"/>
      <c r="IJ4" s="201"/>
      <c r="IK4" s="201"/>
      <c r="IL4" s="201"/>
      <c r="IM4" s="201"/>
      <c r="IN4" s="201"/>
      <c r="IO4" s="201"/>
      <c r="IP4" s="201"/>
      <c r="IQ4" s="201"/>
      <c r="IR4" s="201"/>
      <c r="IS4" s="201"/>
      <c r="IT4" s="201"/>
      <c r="IU4" s="201"/>
      <c r="IV4" s="201"/>
      <c r="IW4" s="201"/>
    </row>
    <row r="5" customFormat="false" ht="12.75" hidden="false" customHeight="false" outlineLevel="0" collapsed="false">
      <c r="A5" s="202" t="n">
        <f aca="false">+BaseloadMarkets!A6</f>
        <v>36708</v>
      </c>
      <c r="B5" s="202"/>
      <c r="C5" s="203" t="n">
        <v>70000</v>
      </c>
      <c r="G5" s="178" t="n">
        <v>30000</v>
      </c>
      <c r="H5" s="178" t="n">
        <v>4420</v>
      </c>
      <c r="I5" s="178" t="n">
        <v>968</v>
      </c>
      <c r="J5" s="178" t="n">
        <v>3193</v>
      </c>
      <c r="K5" s="178"/>
      <c r="L5" s="178"/>
      <c r="M5" s="204" t="n">
        <f aca="false">+Border!AD4</f>
        <v>0</v>
      </c>
      <c r="N5" s="178" t="n">
        <f aca="false">2557+2557+2557</f>
        <v>7671</v>
      </c>
      <c r="O5" s="178" t="n">
        <v>14000</v>
      </c>
      <c r="P5" s="178" t="n">
        <f aca="false">698+4757+2855</f>
        <v>8310</v>
      </c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205" t="n">
        <f aca="false">SUM(D5:AL5)</f>
        <v>68562</v>
      </c>
      <c r="AN5" s="205" t="n">
        <f aca="false">C5</f>
        <v>70000</v>
      </c>
      <c r="AO5" s="203" t="n">
        <f aca="false">+AM5-AN5</f>
        <v>-1438</v>
      </c>
      <c r="AP5" s="206"/>
      <c r="AQ5" s="202" t="n">
        <f aca="false">A5</f>
        <v>36708</v>
      </c>
      <c r="AR5" s="207"/>
      <c r="AS5" s="208" t="n">
        <f aca="false">AO5</f>
        <v>-1438</v>
      </c>
      <c r="AT5" s="209"/>
      <c r="AU5" s="209" t="n">
        <f aca="false">+AM5-D5-E5-F5</f>
        <v>68562</v>
      </c>
      <c r="AV5" s="207"/>
      <c r="AW5" s="209"/>
      <c r="AX5" s="209"/>
      <c r="AY5" s="207"/>
      <c r="AZ5" s="209"/>
      <c r="BA5" s="209"/>
      <c r="BC5" s="210"/>
      <c r="BD5" s="210"/>
      <c r="BF5" s="206"/>
    </row>
    <row r="6" customFormat="false" ht="12.75" hidden="false" customHeight="false" outlineLevel="0" collapsed="false">
      <c r="A6" s="202" t="n">
        <f aca="false">+BaseloadMarkets!A7</f>
        <v>36709</v>
      </c>
      <c r="B6" s="202"/>
      <c r="C6" s="203" t="n">
        <v>70000</v>
      </c>
      <c r="H6" s="178" t="n">
        <v>3705</v>
      </c>
      <c r="I6" s="178" t="n">
        <v>968</v>
      </c>
      <c r="J6" s="178" t="n">
        <v>3193</v>
      </c>
      <c r="K6" s="178"/>
      <c r="L6" s="178"/>
      <c r="M6" s="204" t="n">
        <f aca="false">+Border!AD5</f>
        <v>0</v>
      </c>
      <c r="N6" s="178" t="n">
        <f aca="false">2320+2320+2321</f>
        <v>6961</v>
      </c>
      <c r="O6" s="178" t="n">
        <v>14000</v>
      </c>
      <c r="P6" s="178" t="n">
        <f aca="false">663+4518+2711</f>
        <v>7892</v>
      </c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205" t="n">
        <f aca="false">SUM(D6:AL6)</f>
        <v>36719</v>
      </c>
      <c r="AN6" s="205" t="n">
        <f aca="false">C6</f>
        <v>70000</v>
      </c>
      <c r="AO6" s="203" t="n">
        <f aca="false">+AM6-AN6</f>
        <v>-33281</v>
      </c>
      <c r="AP6" s="206"/>
      <c r="AQ6" s="202" t="n">
        <f aca="false">A6</f>
        <v>36709</v>
      </c>
      <c r="AS6" s="208" t="n">
        <f aca="false">AS5+AO6</f>
        <v>-34719</v>
      </c>
      <c r="AT6" s="209"/>
      <c r="AU6" s="209" t="n">
        <f aca="false">+AM6-D6-E6-F6</f>
        <v>36719</v>
      </c>
      <c r="AW6" s="209"/>
      <c r="AX6" s="209"/>
      <c r="AZ6" s="210"/>
      <c r="BA6" s="210"/>
      <c r="BC6" s="210"/>
      <c r="BD6" s="210"/>
      <c r="BF6" s="206"/>
    </row>
    <row r="7" customFormat="false" ht="12.75" hidden="false" customHeight="false" outlineLevel="0" collapsed="false">
      <c r="A7" s="202" t="n">
        <f aca="false">+BaseloadMarkets!A8</f>
        <v>36710</v>
      </c>
      <c r="B7" s="202"/>
      <c r="C7" s="203" t="n">
        <v>70000</v>
      </c>
      <c r="G7" s="178" t="n">
        <v>25000</v>
      </c>
      <c r="H7" s="178" t="n">
        <v>4125</v>
      </c>
      <c r="I7" s="178" t="n">
        <v>965</v>
      </c>
      <c r="J7" s="178" t="n">
        <v>3182</v>
      </c>
      <c r="K7" s="178" t="n">
        <v>2491</v>
      </c>
      <c r="L7" s="178"/>
      <c r="M7" s="204" t="n">
        <f aca="false">+Border!AD6</f>
        <v>0</v>
      </c>
      <c r="N7" s="178" t="n">
        <f aca="false">2445+2445+2444</f>
        <v>7334</v>
      </c>
      <c r="O7" s="178" t="n">
        <v>14000</v>
      </c>
      <c r="P7" s="178" t="n">
        <f aca="false">626+4270+2561</f>
        <v>7457</v>
      </c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205" t="n">
        <f aca="false">SUM(D7:AL7)</f>
        <v>64554</v>
      </c>
      <c r="AN7" s="205" t="n">
        <f aca="false">C7</f>
        <v>70000</v>
      </c>
      <c r="AO7" s="203" t="n">
        <f aca="false">+AM7-AN7</f>
        <v>-5446</v>
      </c>
      <c r="AP7" s="206"/>
      <c r="AQ7" s="202" t="n">
        <f aca="false">A7</f>
        <v>36710</v>
      </c>
      <c r="AS7" s="208" t="n">
        <f aca="false">AS6+AO7</f>
        <v>-40165</v>
      </c>
      <c r="AT7" s="209"/>
      <c r="AU7" s="209" t="n">
        <f aca="false">+AM7-D7-E7-F7</f>
        <v>64554</v>
      </c>
      <c r="AW7" s="209"/>
      <c r="AX7" s="209"/>
      <c r="AZ7" s="210"/>
      <c r="BA7" s="210"/>
      <c r="BC7" s="210"/>
      <c r="BD7" s="210"/>
      <c r="BF7" s="206"/>
    </row>
    <row r="8" customFormat="false" ht="12.75" hidden="false" customHeight="false" outlineLevel="0" collapsed="false">
      <c r="A8" s="202" t="n">
        <f aca="false">+BaseloadMarkets!A9</f>
        <v>36711</v>
      </c>
      <c r="B8" s="202"/>
      <c r="C8" s="203" t="n">
        <v>70000</v>
      </c>
      <c r="H8" s="178" t="n">
        <v>3552</v>
      </c>
      <c r="I8" s="178" t="n">
        <v>968</v>
      </c>
      <c r="J8" s="178" t="n">
        <v>3193</v>
      </c>
      <c r="K8" s="178"/>
      <c r="L8" s="178"/>
      <c r="M8" s="204" t="n">
        <f aca="false">+Border!AD7</f>
        <v>0</v>
      </c>
      <c r="N8" s="178" t="n">
        <v>6762</v>
      </c>
      <c r="O8" s="178" t="n">
        <v>14000</v>
      </c>
      <c r="P8" s="178" t="n">
        <f aca="false">631+4222+2585</f>
        <v>7438</v>
      </c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211" t="n">
        <f aca="false">SUM(D8:AL8)</f>
        <v>35913</v>
      </c>
      <c r="AN8" s="205" t="n">
        <f aca="false">C8</f>
        <v>70000</v>
      </c>
      <c r="AO8" s="203" t="n">
        <f aca="false">+AM8-AN8</f>
        <v>-34087</v>
      </c>
      <c r="AP8" s="206"/>
      <c r="AQ8" s="202" t="n">
        <f aca="false">A8</f>
        <v>36711</v>
      </c>
      <c r="AS8" s="208" t="n">
        <f aca="false">AS7+AO8</f>
        <v>-74252</v>
      </c>
      <c r="AT8" s="209"/>
      <c r="AU8" s="209" t="n">
        <f aca="false">+AM8-D8-E8-F8</f>
        <v>35913</v>
      </c>
      <c r="AW8" s="209"/>
      <c r="AX8" s="209"/>
      <c r="AZ8" s="210"/>
      <c r="BA8" s="210"/>
      <c r="BC8" s="210"/>
      <c r="BD8" s="210"/>
      <c r="BF8" s="206"/>
    </row>
    <row r="9" customFormat="false" ht="12.75" hidden="false" customHeight="false" outlineLevel="0" collapsed="false">
      <c r="A9" s="202" t="n">
        <f aca="false">+BaseloadMarkets!A10</f>
        <v>36712</v>
      </c>
      <c r="B9" s="202"/>
      <c r="C9" s="203" t="n">
        <v>70000</v>
      </c>
      <c r="G9" s="178" t="n">
        <v>30000</v>
      </c>
      <c r="H9" s="178" t="n">
        <v>3240</v>
      </c>
      <c r="I9" s="178" t="n">
        <v>968</v>
      </c>
      <c r="J9" s="178" t="n">
        <v>3193</v>
      </c>
      <c r="K9" s="178" t="n">
        <v>2500</v>
      </c>
      <c r="L9" s="178"/>
      <c r="M9" s="204" t="n">
        <f aca="false">+Border!AD8</f>
        <v>0</v>
      </c>
      <c r="N9" s="178" t="n">
        <f aca="false">2892+2893+2893</f>
        <v>8678</v>
      </c>
      <c r="O9" s="178"/>
      <c r="P9" s="178" t="n">
        <f aca="false">648+4075+2658</f>
        <v>7381</v>
      </c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205" t="n">
        <f aca="false">SUM(D9:AL9)</f>
        <v>55960</v>
      </c>
      <c r="AN9" s="205" t="n">
        <f aca="false">C9</f>
        <v>70000</v>
      </c>
      <c r="AO9" s="203" t="n">
        <f aca="false">+AM9-AN9</f>
        <v>-14040</v>
      </c>
      <c r="AP9" s="206"/>
      <c r="AQ9" s="202" t="n">
        <f aca="false">A9</f>
        <v>36712</v>
      </c>
      <c r="AS9" s="208" t="n">
        <f aca="false">AS8+AO9</f>
        <v>-88292</v>
      </c>
      <c r="AT9" s="209"/>
      <c r="AU9" s="209" t="n">
        <f aca="false">+AM9-D9-E9-F9</f>
        <v>55960</v>
      </c>
      <c r="AW9" s="209"/>
      <c r="AX9" s="209"/>
      <c r="AZ9" s="210"/>
      <c r="BA9" s="210"/>
      <c r="BC9" s="210"/>
      <c r="BD9" s="210"/>
      <c r="BF9" s="206"/>
    </row>
    <row r="10" customFormat="false" ht="12.75" hidden="false" customHeight="false" outlineLevel="0" collapsed="false">
      <c r="A10" s="202" t="n">
        <f aca="false">+BaseloadMarkets!A11</f>
        <v>36713</v>
      </c>
      <c r="B10" s="202"/>
      <c r="C10" s="203" t="n">
        <v>70000</v>
      </c>
      <c r="H10" s="178" t="n">
        <v>6350</v>
      </c>
      <c r="I10" s="178" t="n">
        <v>887</v>
      </c>
      <c r="J10" s="178" t="n">
        <v>2926</v>
      </c>
      <c r="K10" s="178" t="n">
        <v>2290</v>
      </c>
      <c r="L10" s="178"/>
      <c r="M10" s="204" t="n">
        <f aca="false">+Border!AD9</f>
        <v>0</v>
      </c>
      <c r="N10" s="178"/>
      <c r="O10" s="178"/>
      <c r="P10" s="178"/>
      <c r="Q10" s="178" t="n">
        <f aca="false">8535+8536+7289+7289+7289</f>
        <v>38938</v>
      </c>
      <c r="R10" s="178" t="n">
        <f aca="false">6091+6091+6091+6091+12179</f>
        <v>36543</v>
      </c>
      <c r="S10" s="178" t="n">
        <f aca="false">5946+5946+5719+2860</f>
        <v>20471</v>
      </c>
      <c r="T10" s="178" t="n">
        <v>5946</v>
      </c>
      <c r="U10" s="178" t="n">
        <v>10000</v>
      </c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205" t="n">
        <f aca="false">SUM(D10:AL10)</f>
        <v>124351</v>
      </c>
      <c r="AN10" s="205" t="n">
        <f aca="false">C10</f>
        <v>70000</v>
      </c>
      <c r="AO10" s="203" t="n">
        <f aca="false">+AM10-AN10</f>
        <v>54351</v>
      </c>
      <c r="AP10" s="206"/>
      <c r="AQ10" s="202" t="n">
        <f aca="false">A10</f>
        <v>36713</v>
      </c>
      <c r="AS10" s="208" t="n">
        <f aca="false">AS9+AO10</f>
        <v>-33941</v>
      </c>
      <c r="AT10" s="209"/>
      <c r="AU10" s="209" t="n">
        <f aca="false">+AM10-D10-E10-F10</f>
        <v>124351</v>
      </c>
      <c r="AW10" s="209"/>
      <c r="AX10" s="209"/>
      <c r="AZ10" s="210"/>
      <c r="BA10" s="210"/>
      <c r="BC10" s="210"/>
      <c r="BD10" s="210"/>
      <c r="BF10" s="206"/>
    </row>
    <row r="11" customFormat="false" ht="12.75" hidden="false" customHeight="false" outlineLevel="0" collapsed="false">
      <c r="A11" s="202" t="n">
        <f aca="false">+BaseloadMarkets!A12</f>
        <v>36714</v>
      </c>
      <c r="B11" s="202"/>
      <c r="C11" s="203" t="n">
        <v>70000</v>
      </c>
      <c r="D11" s="178" t="n">
        <v>7946</v>
      </c>
      <c r="H11" s="178" t="n">
        <v>2922</v>
      </c>
      <c r="I11" s="178" t="n">
        <v>968</v>
      </c>
      <c r="J11" s="178" t="n">
        <v>3189</v>
      </c>
      <c r="K11" s="178" t="n">
        <f aca="false">6777+2497</f>
        <v>9274</v>
      </c>
      <c r="L11" s="178"/>
      <c r="M11" s="204" t="n">
        <f aca="false">+Border!AD10</f>
        <v>0</v>
      </c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205" t="n">
        <f aca="false">SUM(D11:AL11)</f>
        <v>24299</v>
      </c>
      <c r="AN11" s="205" t="n">
        <f aca="false">C11</f>
        <v>70000</v>
      </c>
      <c r="AO11" s="203" t="n">
        <f aca="false">+AM11-AN11</f>
        <v>-45701</v>
      </c>
      <c r="AP11" s="206"/>
      <c r="AQ11" s="202" t="n">
        <f aca="false">A11</f>
        <v>36714</v>
      </c>
      <c r="AS11" s="208" t="n">
        <f aca="false">AS10+AO11</f>
        <v>-79642</v>
      </c>
      <c r="AT11" s="209"/>
      <c r="AU11" s="209" t="n">
        <f aca="false">+AM11-D11-E11-F11</f>
        <v>16353</v>
      </c>
      <c r="AW11" s="209"/>
      <c r="AX11" s="209"/>
      <c r="AZ11" s="210"/>
      <c r="BA11" s="210"/>
      <c r="BC11" s="210"/>
      <c r="BD11" s="210"/>
      <c r="BF11" s="206"/>
    </row>
    <row r="12" customFormat="false" ht="12.75" hidden="false" customHeight="false" outlineLevel="0" collapsed="false">
      <c r="A12" s="202" t="n">
        <f aca="false">+BaseloadMarkets!A13</f>
        <v>36715</v>
      </c>
      <c r="B12" s="202"/>
      <c r="C12" s="203" t="n">
        <v>70000</v>
      </c>
      <c r="D12" s="178" t="n">
        <f aca="false">4117+5346</f>
        <v>9463</v>
      </c>
      <c r="H12" s="178" t="n">
        <v>6229</v>
      </c>
      <c r="I12" s="178" t="n">
        <v>876</v>
      </c>
      <c r="J12" s="178" t="n">
        <v>2890</v>
      </c>
      <c r="K12" s="178" t="n">
        <v>6140</v>
      </c>
      <c r="L12" s="178"/>
      <c r="M12" s="204" t="n">
        <f aca="false">+Border!AD11</f>
        <v>0</v>
      </c>
      <c r="N12" s="178" t="n">
        <f aca="false">3503+3503</f>
        <v>7006</v>
      </c>
      <c r="O12" s="178"/>
      <c r="P12" s="178"/>
      <c r="Q12" s="178"/>
      <c r="R12" s="178"/>
      <c r="S12" s="178"/>
      <c r="T12" s="178"/>
      <c r="U12" s="178"/>
      <c r="V12" s="178" t="n">
        <v>2675</v>
      </c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205" t="n">
        <f aca="false">SUM(D12:AL12)</f>
        <v>35279</v>
      </c>
      <c r="AN12" s="205" t="n">
        <f aca="false">C12</f>
        <v>70000</v>
      </c>
      <c r="AO12" s="203" t="n">
        <f aca="false">+AM12-AN12</f>
        <v>-34721</v>
      </c>
      <c r="AP12" s="206"/>
      <c r="AQ12" s="202" t="n">
        <f aca="false">A12</f>
        <v>36715</v>
      </c>
      <c r="AS12" s="208" t="n">
        <f aca="false">AS11+AO12</f>
        <v>-114363</v>
      </c>
      <c r="AT12" s="209"/>
      <c r="AU12" s="209" t="n">
        <f aca="false">+AM12-D12-E12-F12</f>
        <v>25816</v>
      </c>
      <c r="AW12" s="209"/>
      <c r="AX12" s="209"/>
      <c r="AZ12" s="210"/>
      <c r="BA12" s="210"/>
      <c r="BC12" s="210"/>
      <c r="BD12" s="210"/>
      <c r="BF12" s="206"/>
    </row>
    <row r="13" customFormat="false" ht="12.75" hidden="false" customHeight="false" outlineLevel="0" collapsed="false">
      <c r="A13" s="202" t="n">
        <f aca="false">+BaseloadMarkets!A14</f>
        <v>36716</v>
      </c>
      <c r="B13" s="202"/>
      <c r="C13" s="203" t="n">
        <v>70000</v>
      </c>
      <c r="D13" s="178" t="n">
        <f aca="false">52+4219</f>
        <v>4271</v>
      </c>
      <c r="H13" s="178" t="n">
        <v>6515</v>
      </c>
      <c r="I13" s="178" t="n">
        <v>968</v>
      </c>
      <c r="J13" s="178" t="n">
        <v>3193</v>
      </c>
      <c r="K13" s="178" t="n">
        <v>6785</v>
      </c>
      <c r="L13" s="178"/>
      <c r="M13" s="204" t="n">
        <f aca="false">+Border!AD12</f>
        <v>0</v>
      </c>
      <c r="N13" s="178" t="n">
        <v>0</v>
      </c>
      <c r="O13" s="178"/>
      <c r="P13" s="178"/>
      <c r="Q13" s="178"/>
      <c r="R13" s="178"/>
      <c r="S13" s="178"/>
      <c r="T13" s="178"/>
      <c r="U13" s="178"/>
      <c r="V13" s="178" t="n">
        <v>2955</v>
      </c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205" t="n">
        <f aca="false">SUM(D13:AL13)</f>
        <v>24687</v>
      </c>
      <c r="AN13" s="205" t="n">
        <f aca="false">C13</f>
        <v>70000</v>
      </c>
      <c r="AO13" s="203" t="n">
        <f aca="false">+AM13-AN13</f>
        <v>-45313</v>
      </c>
      <c r="AP13" s="206"/>
      <c r="AQ13" s="202" t="n">
        <f aca="false">A13</f>
        <v>36716</v>
      </c>
      <c r="AS13" s="208" t="n">
        <f aca="false">AS12+AO13</f>
        <v>-159676</v>
      </c>
      <c r="AT13" s="209"/>
      <c r="AU13" s="209" t="n">
        <f aca="false">+AM13-D13-E13-F13</f>
        <v>20416</v>
      </c>
      <c r="AW13" s="209"/>
      <c r="AX13" s="209"/>
      <c r="AZ13" s="210"/>
      <c r="BA13" s="210"/>
      <c r="BC13" s="210"/>
      <c r="BD13" s="210"/>
      <c r="BF13" s="206"/>
    </row>
    <row r="14" customFormat="false" ht="12.75" hidden="false" customHeight="false" outlineLevel="0" collapsed="false">
      <c r="A14" s="202" t="n">
        <f aca="false">+BaseloadMarkets!A15</f>
        <v>36717</v>
      </c>
      <c r="B14" s="212"/>
      <c r="C14" s="203" t="n">
        <v>70000</v>
      </c>
      <c r="D14" s="178" t="n">
        <v>3728</v>
      </c>
      <c r="G14" s="178" t="n">
        <v>30000</v>
      </c>
      <c r="H14" s="178" t="n">
        <v>4668</v>
      </c>
      <c r="I14" s="178" t="n">
        <v>968</v>
      </c>
      <c r="J14" s="178" t="n">
        <v>3193</v>
      </c>
      <c r="K14" s="178" t="n">
        <f aca="false">2500+6785</f>
        <v>9285</v>
      </c>
      <c r="L14" s="178"/>
      <c r="M14" s="204" t="n">
        <f aca="false">+Border!AD13</f>
        <v>0</v>
      </c>
      <c r="N14" s="178" t="n">
        <v>6104</v>
      </c>
      <c r="O14" s="178"/>
      <c r="P14" s="178"/>
      <c r="Q14" s="178"/>
      <c r="R14" s="178"/>
      <c r="S14" s="178"/>
      <c r="T14" s="87"/>
      <c r="U14" s="178"/>
      <c r="V14" s="178" t="n">
        <v>2955</v>
      </c>
      <c r="W14" s="178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205" t="n">
        <f aca="false">SUM(D14:AL14)</f>
        <v>60901</v>
      </c>
      <c r="AN14" s="211" t="n">
        <f aca="false">C14</f>
        <v>70000</v>
      </c>
      <c r="AO14" s="81" t="n">
        <f aca="false">+AM14-AN14</f>
        <v>-9099</v>
      </c>
      <c r="AP14" s="213"/>
      <c r="AQ14" s="212" t="n">
        <f aca="false">A14</f>
        <v>36717</v>
      </c>
      <c r="AR14" s="1"/>
      <c r="AS14" s="157" t="n">
        <f aca="false">AS13+AO14</f>
        <v>-168775</v>
      </c>
      <c r="AT14" s="214"/>
      <c r="AU14" s="209" t="n">
        <f aca="false">+AM14-D14-E14-F14</f>
        <v>57173</v>
      </c>
      <c r="AV14" s="1"/>
      <c r="AW14" s="214"/>
      <c r="AX14" s="214"/>
      <c r="AY14" s="1"/>
      <c r="AZ14" s="30"/>
      <c r="BA14" s="30"/>
      <c r="BB14" s="1"/>
      <c r="BC14" s="30"/>
      <c r="BD14" s="30"/>
      <c r="BE14" s="1"/>
      <c r="BF14" s="213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02" t="n">
        <f aca="false">+BaseloadMarkets!A16</f>
        <v>36718</v>
      </c>
      <c r="B15" s="202"/>
      <c r="C15" s="203" t="n">
        <v>70000</v>
      </c>
      <c r="D15" s="178" t="n">
        <v>3421</v>
      </c>
      <c r="H15" s="178" t="n">
        <v>5859</v>
      </c>
      <c r="I15" s="178" t="n">
        <v>968</v>
      </c>
      <c r="J15" s="178" t="n">
        <v>3193</v>
      </c>
      <c r="K15" s="178" t="n">
        <f aca="false">6785+2500</f>
        <v>9285</v>
      </c>
      <c r="L15" s="178"/>
      <c r="M15" s="204" t="n">
        <f aca="false">+Border!AD14</f>
        <v>0</v>
      </c>
      <c r="N15" s="178"/>
      <c r="O15" s="178"/>
      <c r="P15" s="178"/>
      <c r="Q15" s="178"/>
      <c r="R15" s="178"/>
      <c r="S15" s="178"/>
      <c r="T15" s="178"/>
      <c r="U15" s="178"/>
      <c r="V15" s="178" t="n">
        <v>0</v>
      </c>
      <c r="W15" s="178" t="n">
        <v>0</v>
      </c>
      <c r="X15" s="87" t="n">
        <v>10000</v>
      </c>
      <c r="Y15" s="87" t="n">
        <v>20000</v>
      </c>
      <c r="Z15" s="87" t="n">
        <v>10000</v>
      </c>
      <c r="AA15" s="178" t="n">
        <v>18000</v>
      </c>
      <c r="AB15" s="178"/>
      <c r="AC15" s="87"/>
      <c r="AD15" s="178"/>
      <c r="AE15" s="178"/>
      <c r="AF15" s="178"/>
      <c r="AG15" s="178"/>
      <c r="AH15" s="178"/>
      <c r="AI15" s="178"/>
      <c r="AJ15" s="178"/>
      <c r="AK15" s="178"/>
      <c r="AL15" s="178"/>
      <c r="AM15" s="211" t="n">
        <f aca="false">SUM(D15:AL15)</f>
        <v>80726</v>
      </c>
      <c r="AN15" s="205" t="n">
        <f aca="false">C15</f>
        <v>70000</v>
      </c>
      <c r="AO15" s="203" t="n">
        <f aca="false">+AM15-AN15</f>
        <v>10726</v>
      </c>
      <c r="AP15" s="206"/>
      <c r="AQ15" s="202" t="n">
        <f aca="false">A15</f>
        <v>36718</v>
      </c>
      <c r="AS15" s="208" t="n">
        <f aca="false">AS14+AO15</f>
        <v>-158049</v>
      </c>
      <c r="AT15" s="209"/>
      <c r="AU15" s="209" t="n">
        <f aca="false">+AM15-D15-E15-F15</f>
        <v>77305</v>
      </c>
      <c r="AW15" s="209"/>
      <c r="AX15" s="209"/>
      <c r="AZ15" s="210"/>
      <c r="BA15" s="210"/>
      <c r="BC15" s="210"/>
      <c r="BD15" s="210"/>
      <c r="BF15" s="206"/>
    </row>
    <row r="16" customFormat="false" ht="12.75" hidden="false" customHeight="false" outlineLevel="0" collapsed="false">
      <c r="A16" s="202" t="n">
        <f aca="false">+BaseloadMarkets!A17</f>
        <v>36719</v>
      </c>
      <c r="B16" s="202"/>
      <c r="C16" s="203" t="n">
        <v>70000</v>
      </c>
      <c r="D16" s="178" t="n">
        <f aca="false">10782+3379</f>
        <v>14161</v>
      </c>
      <c r="H16" s="178" t="n">
        <v>4730</v>
      </c>
      <c r="J16" s="178"/>
      <c r="K16" s="178"/>
      <c r="L16" s="178"/>
      <c r="M16" s="204" t="n">
        <f aca="false">+Border!AD15</f>
        <v>0</v>
      </c>
      <c r="N16" s="178"/>
      <c r="O16" s="178"/>
      <c r="P16" s="178"/>
      <c r="Q16" s="178"/>
      <c r="R16" s="178" t="n">
        <v>2793</v>
      </c>
      <c r="S16" s="178"/>
      <c r="T16" s="178"/>
      <c r="U16" s="178"/>
      <c r="V16" s="178" t="n">
        <v>2955</v>
      </c>
      <c r="W16" s="178"/>
      <c r="X16" s="87"/>
      <c r="Y16" s="178" t="n">
        <v>1204</v>
      </c>
      <c r="Z16" s="178"/>
      <c r="AA16" s="178"/>
      <c r="AB16" s="178" t="n">
        <v>8010</v>
      </c>
      <c r="AC16" s="87" t="n">
        <v>3033</v>
      </c>
      <c r="AD16" s="178"/>
      <c r="AE16" s="178"/>
      <c r="AF16" s="178" t="n">
        <v>0</v>
      </c>
      <c r="AG16" s="178" t="n">
        <v>9981</v>
      </c>
      <c r="AH16" s="178"/>
      <c r="AI16" s="178"/>
      <c r="AJ16" s="178"/>
      <c r="AK16" s="178"/>
      <c r="AL16" s="178"/>
      <c r="AM16" s="211" t="n">
        <f aca="false">SUM(D16:AL16)</f>
        <v>46867</v>
      </c>
      <c r="AN16" s="205" t="n">
        <f aca="false">C16</f>
        <v>70000</v>
      </c>
      <c r="AO16" s="203" t="n">
        <f aca="false">+AM16-AN16</f>
        <v>-23133</v>
      </c>
      <c r="AP16" s="206"/>
      <c r="AQ16" s="202" t="n">
        <f aca="false">A16</f>
        <v>36719</v>
      </c>
      <c r="AS16" s="208" t="n">
        <f aca="false">AS15+AO16</f>
        <v>-181182</v>
      </c>
      <c r="AT16" s="209"/>
      <c r="AU16" s="209" t="n">
        <f aca="false">+AM16-D16-E16-F16</f>
        <v>32706</v>
      </c>
      <c r="AW16" s="209"/>
      <c r="AX16" s="209"/>
      <c r="AZ16" s="210"/>
      <c r="BA16" s="210"/>
      <c r="BC16" s="210"/>
      <c r="BD16" s="210"/>
      <c r="BF16" s="206"/>
    </row>
    <row r="17" customFormat="false" ht="12.75" hidden="false" customHeight="false" outlineLevel="0" collapsed="false">
      <c r="A17" s="202" t="n">
        <f aca="false">+BaseloadMarkets!A18</f>
        <v>36720</v>
      </c>
      <c r="B17" s="202"/>
      <c r="C17" s="203" t="n">
        <v>70000</v>
      </c>
      <c r="D17" s="178" t="n">
        <v>5487</v>
      </c>
      <c r="H17" s="178" t="n">
        <v>5822</v>
      </c>
      <c r="I17" s="178" t="n">
        <v>968</v>
      </c>
      <c r="J17" s="178" t="n">
        <v>3193</v>
      </c>
      <c r="K17" s="178" t="n">
        <f aca="false">6785+2500</f>
        <v>9285</v>
      </c>
      <c r="L17" s="178"/>
      <c r="M17" s="204" t="n">
        <f aca="false">+Border!AD16</f>
        <v>0</v>
      </c>
      <c r="N17" s="178"/>
      <c r="O17" s="178"/>
      <c r="P17" s="178" t="n">
        <v>15000</v>
      </c>
      <c r="Q17" s="178"/>
      <c r="R17" s="178" t="n">
        <v>2942</v>
      </c>
      <c r="S17" s="178"/>
      <c r="T17" s="178" t="n">
        <v>9796</v>
      </c>
      <c r="U17" s="178"/>
      <c r="V17" s="178" t="n">
        <v>2955</v>
      </c>
      <c r="W17" s="178" t="n">
        <v>5461</v>
      </c>
      <c r="X17" s="178"/>
      <c r="Y17" s="178" t="n">
        <v>1158</v>
      </c>
      <c r="Z17" s="178"/>
      <c r="AA17" s="178"/>
      <c r="AB17" s="178" t="n">
        <v>10000</v>
      </c>
      <c r="AC17" s="178"/>
      <c r="AD17" s="178"/>
      <c r="AE17" s="178" t="n">
        <v>20000</v>
      </c>
      <c r="AF17" s="178"/>
      <c r="AG17" s="178"/>
      <c r="AH17" s="178"/>
      <c r="AI17" s="178"/>
      <c r="AJ17" s="178"/>
      <c r="AK17" s="178"/>
      <c r="AL17" s="178"/>
      <c r="AM17" s="211" t="n">
        <f aca="false">SUM(D17:AL17)</f>
        <v>92067</v>
      </c>
      <c r="AN17" s="205" t="n">
        <f aca="false">C17</f>
        <v>70000</v>
      </c>
      <c r="AO17" s="203" t="n">
        <f aca="false">+AM17-AN17</f>
        <v>22067</v>
      </c>
      <c r="AP17" s="206"/>
      <c r="AQ17" s="202" t="n">
        <f aca="false">A17</f>
        <v>36720</v>
      </c>
      <c r="AS17" s="208" t="n">
        <f aca="false">AS16+AO17</f>
        <v>-159115</v>
      </c>
      <c r="AT17" s="209"/>
      <c r="AU17" s="209" t="n">
        <f aca="false">+AM17-D17-E17-F17</f>
        <v>86580</v>
      </c>
      <c r="AW17" s="209"/>
      <c r="AX17" s="209"/>
      <c r="AZ17" s="210"/>
      <c r="BA17" s="210"/>
      <c r="BC17" s="210"/>
      <c r="BD17" s="210"/>
      <c r="BF17" s="206"/>
    </row>
    <row r="18" customFormat="false" ht="12.75" hidden="false" customHeight="false" outlineLevel="0" collapsed="false">
      <c r="A18" s="202" t="n">
        <f aca="false">+BaseloadMarkets!A19</f>
        <v>36721</v>
      </c>
      <c r="B18" s="202"/>
      <c r="C18" s="203" t="n">
        <v>70000</v>
      </c>
      <c r="D18" s="178" t="n">
        <f aca="false">2972+8091</f>
        <v>11063</v>
      </c>
      <c r="H18" s="178" t="n">
        <v>6582</v>
      </c>
      <c r="I18" s="178" t="n">
        <v>968</v>
      </c>
      <c r="J18" s="178" t="n">
        <v>3193</v>
      </c>
      <c r="K18" s="178" t="n">
        <f aca="false">2500+6785</f>
        <v>9285</v>
      </c>
      <c r="L18" s="178"/>
      <c r="M18" s="204" t="n">
        <f aca="false">+Border!AD17</f>
        <v>0</v>
      </c>
      <c r="N18" s="178"/>
      <c r="O18" s="178"/>
      <c r="P18" s="178"/>
      <c r="Q18" s="178"/>
      <c r="R18" s="178" t="n">
        <f aca="false">2561+4658</f>
        <v>7219</v>
      </c>
      <c r="S18" s="178" t="n">
        <v>6492</v>
      </c>
      <c r="T18" s="178"/>
      <c r="U18" s="178"/>
      <c r="V18" s="178"/>
      <c r="W18" s="178" t="n">
        <v>5461</v>
      </c>
      <c r="X18" s="178"/>
      <c r="Y18" s="178" t="n">
        <v>1196</v>
      </c>
      <c r="Z18" s="178" t="n">
        <v>0</v>
      </c>
      <c r="AA18" s="178" t="n">
        <v>0</v>
      </c>
      <c r="AB18" s="178"/>
      <c r="AC18" s="178"/>
      <c r="AD18" s="178" t="n">
        <f aca="false">3740+2990</f>
        <v>6730</v>
      </c>
      <c r="AE18" s="178"/>
      <c r="AF18" s="178"/>
      <c r="AG18" s="178"/>
      <c r="AH18" s="178"/>
      <c r="AI18" s="178"/>
      <c r="AJ18" s="178"/>
      <c r="AK18" s="178"/>
      <c r="AL18" s="178" t="n">
        <v>31000</v>
      </c>
      <c r="AM18" s="205" t="n">
        <f aca="false">SUM(D18:AL18)</f>
        <v>89189</v>
      </c>
      <c r="AN18" s="205" t="n">
        <f aca="false">C18</f>
        <v>70000</v>
      </c>
      <c r="AO18" s="203" t="n">
        <f aca="false">+AM18-AN18</f>
        <v>19189</v>
      </c>
      <c r="AP18" s="206"/>
      <c r="AQ18" s="202" t="n">
        <f aca="false">A18</f>
        <v>36721</v>
      </c>
      <c r="AS18" s="208" t="n">
        <f aca="false">AS17+AO18</f>
        <v>-139926</v>
      </c>
      <c r="AT18" s="209"/>
      <c r="AU18" s="209" t="n">
        <f aca="false">+AM18-D18-E18-F18</f>
        <v>78126</v>
      </c>
      <c r="AW18" s="210"/>
      <c r="AX18" s="210"/>
      <c r="AZ18" s="210"/>
      <c r="BA18" s="210"/>
      <c r="BC18" s="210"/>
      <c r="BD18" s="210"/>
      <c r="BF18" s="206"/>
    </row>
    <row r="19" customFormat="false" ht="12.75" hidden="false" customHeight="false" outlineLevel="0" collapsed="false">
      <c r="A19" s="202" t="n">
        <f aca="false">+BaseloadMarkets!A20</f>
        <v>36722</v>
      </c>
      <c r="B19" s="202"/>
      <c r="C19" s="203" t="n">
        <v>70000</v>
      </c>
      <c r="D19" s="178" t="n">
        <f aca="false">11029+8648</f>
        <v>19677</v>
      </c>
      <c r="H19" s="178" t="n">
        <v>3551</v>
      </c>
      <c r="I19" s="178" t="n">
        <v>968</v>
      </c>
      <c r="J19" s="178" t="n">
        <v>3193</v>
      </c>
      <c r="K19" s="178" t="n">
        <v>6785</v>
      </c>
      <c r="L19" s="178"/>
      <c r="M19" s="204" t="n">
        <f aca="false">+Border!AD18</f>
        <v>0</v>
      </c>
      <c r="N19" s="178"/>
      <c r="O19" s="178"/>
      <c r="P19" s="178"/>
      <c r="Q19" s="178"/>
      <c r="R19" s="178" t="n">
        <v>2658</v>
      </c>
      <c r="S19" s="178"/>
      <c r="T19" s="178"/>
      <c r="U19" s="178"/>
      <c r="V19" s="178" t="n">
        <v>2955</v>
      </c>
      <c r="W19" s="178"/>
      <c r="X19" s="178"/>
      <c r="Y19" s="178" t="n">
        <v>1254</v>
      </c>
      <c r="Z19" s="178"/>
      <c r="AA19" s="178"/>
      <c r="AB19" s="178"/>
      <c r="AC19" s="178"/>
      <c r="AD19" s="178" t="n">
        <f aca="false">6488+3379</f>
        <v>9867</v>
      </c>
      <c r="AE19" s="178"/>
      <c r="AF19" s="178"/>
      <c r="AG19" s="178"/>
      <c r="AH19" s="178"/>
      <c r="AI19" s="178"/>
      <c r="AJ19" s="178"/>
      <c r="AK19" s="178"/>
      <c r="AL19" s="178"/>
      <c r="AM19" s="205" t="n">
        <f aca="false">SUM(D19:AL19)</f>
        <v>50908</v>
      </c>
      <c r="AN19" s="205" t="n">
        <f aca="false">C19</f>
        <v>70000</v>
      </c>
      <c r="AO19" s="203" t="n">
        <f aca="false">+AM19-AN19</f>
        <v>-19092</v>
      </c>
      <c r="AP19" s="206"/>
      <c r="AQ19" s="202" t="n">
        <f aca="false">A19</f>
        <v>36722</v>
      </c>
      <c r="AS19" s="208" t="n">
        <f aca="false">AS18+AO19</f>
        <v>-159018</v>
      </c>
      <c r="AT19" s="209"/>
      <c r="AU19" s="209" t="n">
        <f aca="false">+AM19-D19-E19-F19</f>
        <v>31231</v>
      </c>
      <c r="AW19" s="210"/>
      <c r="AX19" s="210"/>
      <c r="AZ19" s="210"/>
      <c r="BA19" s="210"/>
      <c r="BC19" s="210"/>
      <c r="BD19" s="210"/>
      <c r="BF19" s="206"/>
      <c r="BG19" s="176" t="s">
        <v>33</v>
      </c>
    </row>
    <row r="20" customFormat="false" ht="12.75" hidden="false" customHeight="false" outlineLevel="0" collapsed="false">
      <c r="A20" s="202" t="n">
        <f aca="false">+BaseloadMarkets!A21</f>
        <v>36723</v>
      </c>
      <c r="B20" s="202"/>
      <c r="C20" s="203" t="n">
        <v>70000</v>
      </c>
      <c r="D20" s="178" t="n">
        <f aca="false">10441+8648</f>
        <v>19089</v>
      </c>
      <c r="H20" s="178" t="n">
        <v>3376</v>
      </c>
      <c r="I20" s="178" t="n">
        <v>968</v>
      </c>
      <c r="J20" s="178" t="n">
        <v>3193</v>
      </c>
      <c r="K20" s="178" t="n">
        <v>6785</v>
      </c>
      <c r="L20" s="178"/>
      <c r="M20" s="204" t="n">
        <f aca="false">+Border!AD19</f>
        <v>0</v>
      </c>
      <c r="N20" s="178"/>
      <c r="O20" s="178"/>
      <c r="P20" s="178"/>
      <c r="Q20" s="178"/>
      <c r="R20" s="178" t="n">
        <v>2527</v>
      </c>
      <c r="S20" s="178"/>
      <c r="T20" s="178"/>
      <c r="U20" s="178"/>
      <c r="V20" s="178" t="n">
        <v>2955</v>
      </c>
      <c r="W20" s="178"/>
      <c r="X20" s="178"/>
      <c r="Y20" s="178" t="n">
        <v>1291</v>
      </c>
      <c r="Z20" s="178"/>
      <c r="AA20" s="178"/>
      <c r="AB20" s="178"/>
      <c r="AC20" s="178"/>
      <c r="AD20" s="178" t="n">
        <f aca="false">2432+6141</f>
        <v>8573</v>
      </c>
      <c r="AE20" s="178"/>
      <c r="AF20" s="178"/>
      <c r="AG20" s="178"/>
      <c r="AH20" s="178"/>
      <c r="AI20" s="178"/>
      <c r="AJ20" s="178"/>
      <c r="AK20" s="178"/>
      <c r="AL20" s="178"/>
      <c r="AM20" s="205" t="n">
        <f aca="false">SUM(D20:AL20)</f>
        <v>48757</v>
      </c>
      <c r="AN20" s="205" t="n">
        <f aca="false">C20</f>
        <v>70000</v>
      </c>
      <c r="AO20" s="203" t="n">
        <f aca="false">+AM20-AN20</f>
        <v>-21243</v>
      </c>
      <c r="AP20" s="206"/>
      <c r="AQ20" s="202" t="n">
        <f aca="false">A20</f>
        <v>36723</v>
      </c>
      <c r="AS20" s="208" t="n">
        <f aca="false">AS19+AO20</f>
        <v>-180261</v>
      </c>
      <c r="AT20" s="209"/>
      <c r="AU20" s="209" t="n">
        <f aca="false">+AM20-D20-E20-F20</f>
        <v>29668</v>
      </c>
      <c r="AW20" s="210"/>
      <c r="AX20" s="210"/>
      <c r="AZ20" s="210"/>
      <c r="BA20" s="210"/>
      <c r="BC20" s="210"/>
      <c r="BD20" s="210"/>
      <c r="BF20" s="206"/>
    </row>
    <row r="21" customFormat="false" ht="12.75" hidden="false" customHeight="false" outlineLevel="0" collapsed="false">
      <c r="A21" s="202" t="n">
        <f aca="false">+BaseloadMarkets!A22</f>
        <v>36724</v>
      </c>
      <c r="B21" s="202"/>
      <c r="C21" s="203" t="n">
        <v>70000</v>
      </c>
      <c r="D21" s="178" t="n">
        <f aca="false">10114+8648</f>
        <v>18762</v>
      </c>
      <c r="G21" s="178" t="n">
        <v>30000</v>
      </c>
      <c r="H21" s="178" t="n">
        <v>3332</v>
      </c>
      <c r="I21" s="178" t="n">
        <v>968</v>
      </c>
      <c r="J21" s="178" t="n">
        <v>3193</v>
      </c>
      <c r="K21" s="178" t="n">
        <f aca="false">6785</f>
        <v>6785</v>
      </c>
      <c r="L21" s="178"/>
      <c r="M21" s="204" t="n">
        <f aca="false">+Border!AD20</f>
        <v>0</v>
      </c>
      <c r="N21" s="178"/>
      <c r="O21" s="178"/>
      <c r="P21" s="178"/>
      <c r="Q21" s="178"/>
      <c r="R21" s="178" t="n">
        <v>2623</v>
      </c>
      <c r="S21" s="178"/>
      <c r="T21" s="178"/>
      <c r="U21" s="178"/>
      <c r="V21" s="178" t="n">
        <v>2955</v>
      </c>
      <c r="W21" s="178"/>
      <c r="X21" s="178"/>
      <c r="Y21" s="178" t="n">
        <v>1210</v>
      </c>
      <c r="Z21" s="178"/>
      <c r="AA21" s="178"/>
      <c r="AB21" s="178"/>
      <c r="AC21" s="178"/>
      <c r="AD21" s="178" t="n">
        <f aca="false">3270+5808</f>
        <v>9078</v>
      </c>
      <c r="AE21" s="178"/>
      <c r="AF21" s="178"/>
      <c r="AG21" s="178"/>
      <c r="AH21" s="178"/>
      <c r="AI21" s="178"/>
      <c r="AJ21" s="178"/>
      <c r="AK21" s="178"/>
      <c r="AL21" s="178" t="n">
        <v>14000</v>
      </c>
      <c r="AM21" s="211" t="n">
        <f aca="false">SUM(D21:AL21)</f>
        <v>92906</v>
      </c>
      <c r="AN21" s="205" t="n">
        <f aca="false">C21</f>
        <v>70000</v>
      </c>
      <c r="AO21" s="203" t="n">
        <f aca="false">+AM21-AN21</f>
        <v>22906</v>
      </c>
      <c r="AP21" s="206"/>
      <c r="AQ21" s="202" t="n">
        <f aca="false">A21</f>
        <v>36724</v>
      </c>
      <c r="AS21" s="208" t="n">
        <f aca="false">AS20+AO21</f>
        <v>-157355</v>
      </c>
      <c r="AT21" s="209"/>
      <c r="AU21" s="209" t="n">
        <f aca="false">+AM21-D21-E21-F21</f>
        <v>74144</v>
      </c>
      <c r="AW21" s="210"/>
      <c r="AX21" s="210"/>
      <c r="AZ21" s="210"/>
      <c r="BA21" s="210"/>
      <c r="BC21" s="210"/>
      <c r="BD21" s="210"/>
      <c r="BF21" s="206"/>
    </row>
    <row r="22" customFormat="false" ht="12.75" hidden="false" customHeight="false" outlineLevel="0" collapsed="false">
      <c r="A22" s="202" t="n">
        <f aca="false">+BaseloadMarkets!A23</f>
        <v>36725</v>
      </c>
      <c r="B22" s="202"/>
      <c r="C22" s="203" t="n">
        <v>70000</v>
      </c>
      <c r="D22" s="178" t="n">
        <f aca="false">10000+14352</f>
        <v>24352</v>
      </c>
      <c r="G22" s="178" t="n">
        <v>30000</v>
      </c>
      <c r="H22" s="178" t="n">
        <v>4252</v>
      </c>
      <c r="I22" s="178" t="n">
        <v>968</v>
      </c>
      <c r="J22" s="178" t="n">
        <v>3193</v>
      </c>
      <c r="K22" s="178" t="n">
        <f aca="false">2500+14715</f>
        <v>17215</v>
      </c>
      <c r="L22" s="178"/>
      <c r="M22" s="204" t="n">
        <f aca="false">+Border!AD21</f>
        <v>0</v>
      </c>
      <c r="N22" s="178"/>
      <c r="O22" s="178"/>
      <c r="P22" s="178"/>
      <c r="Q22" s="178"/>
      <c r="R22" s="178" t="n">
        <v>2408</v>
      </c>
      <c r="S22" s="178" t="n">
        <f aca="false">5893+5390</f>
        <v>11283</v>
      </c>
      <c r="T22" s="178" t="n">
        <v>12860</v>
      </c>
      <c r="U22" s="178"/>
      <c r="V22" s="178"/>
      <c r="W22" s="178"/>
      <c r="X22" s="178"/>
      <c r="Y22" s="178" t="n">
        <v>1167</v>
      </c>
      <c r="Z22" s="178"/>
      <c r="AA22" s="178" t="n">
        <v>3150</v>
      </c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 t="n">
        <v>14000</v>
      </c>
      <c r="AM22" s="205" t="n">
        <f aca="false">SUM(D22:AL22)</f>
        <v>124848</v>
      </c>
      <c r="AN22" s="205" t="n">
        <f aca="false">C22</f>
        <v>70000</v>
      </c>
      <c r="AO22" s="203" t="n">
        <f aca="false">+AM22-AN22</f>
        <v>54848</v>
      </c>
      <c r="AP22" s="206"/>
      <c r="AQ22" s="202" t="n">
        <f aca="false">A22</f>
        <v>36725</v>
      </c>
      <c r="AS22" s="208" t="n">
        <f aca="false">AS21+AO22</f>
        <v>-102507</v>
      </c>
      <c r="AT22" s="209"/>
      <c r="AU22" s="209" t="n">
        <f aca="false">+AM22-D22-E22-F22</f>
        <v>100496</v>
      </c>
      <c r="AW22" s="210"/>
      <c r="AX22" s="210"/>
      <c r="AZ22" s="210"/>
      <c r="BA22" s="210"/>
      <c r="BC22" s="210"/>
      <c r="BD22" s="210"/>
      <c r="BF22" s="206"/>
    </row>
    <row r="23" customFormat="false" ht="12.75" hidden="false" customHeight="false" outlineLevel="0" collapsed="false">
      <c r="A23" s="202" t="n">
        <f aca="false">+BaseloadMarkets!A24</f>
        <v>36726</v>
      </c>
      <c r="B23" s="202"/>
      <c r="C23" s="203" t="n">
        <v>70000</v>
      </c>
      <c r="D23" s="178" t="n">
        <f aca="false">10000+5828</f>
        <v>15828</v>
      </c>
      <c r="H23" s="178" t="n">
        <v>6260</v>
      </c>
      <c r="I23" s="178" t="n">
        <v>968</v>
      </c>
      <c r="J23" s="178" t="n">
        <v>3193</v>
      </c>
      <c r="K23" s="178" t="n">
        <f aca="false">14715+2500</f>
        <v>17215</v>
      </c>
      <c r="L23" s="178"/>
      <c r="M23" s="204" t="n">
        <f aca="false">+Border!AD22</f>
        <v>0</v>
      </c>
      <c r="N23" s="178" t="n">
        <v>11108</v>
      </c>
      <c r="O23" s="178"/>
      <c r="P23" s="178"/>
      <c r="Q23" s="178"/>
      <c r="R23" s="178" t="n">
        <v>2261</v>
      </c>
      <c r="S23" s="178" t="n">
        <f aca="false">5586+5586+7902</f>
        <v>19074</v>
      </c>
      <c r="T23" s="178"/>
      <c r="U23" s="178"/>
      <c r="V23" s="178"/>
      <c r="W23" s="178"/>
      <c r="X23" s="178"/>
      <c r="Y23" s="178" t="n">
        <v>1150</v>
      </c>
      <c r="Z23" s="178" t="n">
        <f aca="false">13231+18292</f>
        <v>31523</v>
      </c>
      <c r="AA23" s="178" t="n">
        <v>9878</v>
      </c>
      <c r="AB23" s="178"/>
      <c r="AC23" s="178" t="n">
        <v>4975</v>
      </c>
      <c r="AD23" s="178" t="n">
        <f aca="false">29145+3052+2991+2991+11657</f>
        <v>49836</v>
      </c>
      <c r="AE23" s="178"/>
      <c r="AF23" s="178"/>
      <c r="AG23" s="178" t="n">
        <f aca="false">5292+11329</f>
        <v>16621</v>
      </c>
      <c r="AH23" s="178"/>
      <c r="AI23" s="178"/>
      <c r="AJ23" s="178"/>
      <c r="AK23" s="178" t="n">
        <v>2646</v>
      </c>
      <c r="AL23" s="178" t="n">
        <v>14000</v>
      </c>
      <c r="AM23" s="211" t="n">
        <f aca="false">SUM(D23:AL23)</f>
        <v>206536</v>
      </c>
      <c r="AN23" s="205" t="n">
        <f aca="false">C23</f>
        <v>70000</v>
      </c>
      <c r="AO23" s="203" t="n">
        <f aca="false">+AM23-AN23</f>
        <v>136536</v>
      </c>
      <c r="AP23" s="206"/>
      <c r="AQ23" s="202" t="n">
        <f aca="false">A23</f>
        <v>36726</v>
      </c>
      <c r="AS23" s="208" t="n">
        <f aca="false">AS22+AO23</f>
        <v>34029</v>
      </c>
      <c r="AT23" s="209"/>
      <c r="AU23" s="209" t="n">
        <f aca="false">+AM23-D23-E23-F23</f>
        <v>190708</v>
      </c>
      <c r="AW23" s="210"/>
      <c r="AX23" s="210"/>
      <c r="AZ23" s="210"/>
      <c r="BA23" s="210"/>
      <c r="BC23" s="210"/>
      <c r="BD23" s="210"/>
      <c r="BF23" s="206"/>
    </row>
    <row r="24" customFormat="false" ht="12.75" hidden="false" customHeight="false" outlineLevel="0" collapsed="false">
      <c r="A24" s="202" t="n">
        <f aca="false">+BaseloadMarkets!A25</f>
        <v>36727</v>
      </c>
      <c r="B24" s="202"/>
      <c r="C24" s="203" t="n">
        <v>70000</v>
      </c>
      <c r="D24" s="178" t="n">
        <f aca="false">6060+6060</f>
        <v>12120</v>
      </c>
      <c r="G24" s="178" t="n">
        <v>30000</v>
      </c>
      <c r="H24" s="178" t="n">
        <v>6851</v>
      </c>
      <c r="I24" s="178" t="n">
        <v>968</v>
      </c>
      <c r="J24" s="178" t="n">
        <v>3193</v>
      </c>
      <c r="K24" s="178" t="n">
        <f aca="false">14715+2500</f>
        <v>17215</v>
      </c>
      <c r="L24" s="178"/>
      <c r="M24" s="204" t="n">
        <f aca="false">+Border!AD23</f>
        <v>0</v>
      </c>
      <c r="N24" s="178" t="n">
        <v>15128</v>
      </c>
      <c r="O24" s="178"/>
      <c r="P24" s="178" t="n">
        <v>5000</v>
      </c>
      <c r="Q24" s="178"/>
      <c r="R24" s="178" t="n">
        <v>2806</v>
      </c>
      <c r="S24" s="178"/>
      <c r="T24" s="178"/>
      <c r="U24" s="178"/>
      <c r="V24" s="178"/>
      <c r="W24" s="178"/>
      <c r="X24" s="178"/>
      <c r="Y24" s="178" t="n">
        <v>1177</v>
      </c>
      <c r="Z24" s="178"/>
      <c r="AA24" s="178"/>
      <c r="AB24" s="178" t="n">
        <v>10000</v>
      </c>
      <c r="AC24" s="178"/>
      <c r="AD24" s="178" t="n">
        <f aca="false">6387+3264</f>
        <v>9651</v>
      </c>
      <c r="AE24" s="178"/>
      <c r="AF24" s="178"/>
      <c r="AG24" s="178"/>
      <c r="AH24" s="178"/>
      <c r="AI24" s="178"/>
      <c r="AJ24" s="178"/>
      <c r="AK24" s="178"/>
      <c r="AL24" s="178" t="n">
        <v>14000</v>
      </c>
      <c r="AM24" s="205" t="n">
        <f aca="false">SUM(D24:AL24)</f>
        <v>128109</v>
      </c>
      <c r="AN24" s="205" t="n">
        <f aca="false">C24</f>
        <v>70000</v>
      </c>
      <c r="AO24" s="203" t="n">
        <f aca="false">+AM24-AN24</f>
        <v>58109</v>
      </c>
      <c r="AP24" s="206"/>
      <c r="AQ24" s="202" t="n">
        <f aca="false">A24</f>
        <v>36727</v>
      </c>
      <c r="AS24" s="208" t="n">
        <f aca="false">AS23+AO24</f>
        <v>92138</v>
      </c>
      <c r="AT24" s="209"/>
      <c r="AU24" s="209" t="n">
        <f aca="false">+AM24-D24-E24-F24</f>
        <v>115989</v>
      </c>
      <c r="AW24" s="210"/>
      <c r="AX24" s="210"/>
      <c r="AZ24" s="210"/>
      <c r="BA24" s="210"/>
      <c r="BC24" s="210"/>
      <c r="BD24" s="210"/>
      <c r="BF24" s="206"/>
    </row>
    <row r="25" customFormat="false" ht="12.75" hidden="false" customHeight="false" outlineLevel="0" collapsed="false">
      <c r="A25" s="202" t="n">
        <f aca="false">+BaseloadMarkets!A26</f>
        <v>36728</v>
      </c>
      <c r="B25" s="202"/>
      <c r="C25" s="203" t="n">
        <v>70000</v>
      </c>
      <c r="G25" s="178" t="n">
        <v>30000</v>
      </c>
      <c r="H25" s="178" t="n">
        <v>6920</v>
      </c>
      <c r="I25" s="178" t="n">
        <v>968</v>
      </c>
      <c r="J25" s="178" t="n">
        <v>3193</v>
      </c>
      <c r="K25" s="178" t="n">
        <v>17215</v>
      </c>
      <c r="L25" s="178"/>
      <c r="M25" s="204" t="n">
        <f aca="false">+Border!AD24</f>
        <v>0</v>
      </c>
      <c r="N25" s="178"/>
      <c r="O25" s="178"/>
      <c r="P25" s="178" t="n">
        <v>5000</v>
      </c>
      <c r="Q25" s="178"/>
      <c r="R25" s="178" t="n">
        <v>2970</v>
      </c>
      <c r="S25" s="178"/>
      <c r="T25" s="178"/>
      <c r="U25" s="178"/>
      <c r="V25" s="178"/>
      <c r="W25" s="178"/>
      <c r="X25" s="178"/>
      <c r="Y25" s="178" t="n">
        <f aca="false">9432+1177</f>
        <v>10609</v>
      </c>
      <c r="Z25" s="178"/>
      <c r="AA25" s="178"/>
      <c r="AB25" s="178"/>
      <c r="AC25" s="178"/>
      <c r="AD25" s="178"/>
      <c r="AE25" s="178"/>
      <c r="AF25" s="178" t="n">
        <v>6448</v>
      </c>
      <c r="AG25" s="178"/>
      <c r="AH25" s="178"/>
      <c r="AI25" s="178"/>
      <c r="AJ25" s="178"/>
      <c r="AK25" s="178"/>
      <c r="AL25" s="178" t="n">
        <v>14000</v>
      </c>
      <c r="AM25" s="205" t="n">
        <f aca="false">SUM(D25:AL25)</f>
        <v>97323</v>
      </c>
      <c r="AN25" s="205" t="n">
        <f aca="false">C25</f>
        <v>70000</v>
      </c>
      <c r="AO25" s="203" t="n">
        <f aca="false">+AM25-AN25</f>
        <v>27323</v>
      </c>
      <c r="AP25" s="206"/>
      <c r="AQ25" s="202" t="n">
        <f aca="false">A25</f>
        <v>36728</v>
      </c>
      <c r="AS25" s="208" t="n">
        <f aca="false">AS24+AO25</f>
        <v>119461</v>
      </c>
      <c r="AT25" s="209"/>
      <c r="AU25" s="209" t="n">
        <f aca="false">+AM25-D25-E25-F25</f>
        <v>97323</v>
      </c>
      <c r="AW25" s="210"/>
      <c r="AX25" s="210"/>
      <c r="AZ25" s="210"/>
      <c r="BA25" s="210"/>
      <c r="BC25" s="210"/>
      <c r="BD25" s="210"/>
      <c r="BF25" s="206"/>
    </row>
    <row r="26" customFormat="false" ht="12.75" hidden="false" customHeight="false" outlineLevel="0" collapsed="false">
      <c r="A26" s="202" t="n">
        <f aca="false">+BaseloadMarkets!A27</f>
        <v>36729</v>
      </c>
      <c r="B26" s="202"/>
      <c r="C26" s="203" t="n">
        <v>70000</v>
      </c>
      <c r="I26" s="178" t="n">
        <v>876</v>
      </c>
      <c r="J26" s="178"/>
      <c r="K26" s="178"/>
      <c r="L26" s="178"/>
      <c r="M26" s="204" t="n">
        <f aca="false">+Border!AD25</f>
        <v>0</v>
      </c>
      <c r="N26" s="178"/>
      <c r="O26" s="178"/>
      <c r="P26" s="178" t="n">
        <v>5000</v>
      </c>
      <c r="Q26" s="178"/>
      <c r="R26" s="178"/>
      <c r="S26" s="178"/>
      <c r="T26" s="178"/>
      <c r="U26" s="178"/>
      <c r="V26" s="178"/>
      <c r="W26" s="178"/>
      <c r="X26" s="178"/>
      <c r="Y26" s="178" t="n">
        <v>993</v>
      </c>
      <c r="Z26" s="178"/>
      <c r="AA26" s="178"/>
      <c r="AB26" s="178" t="n">
        <v>10000</v>
      </c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205" t="n">
        <f aca="false">SUM(D26:AL26)</f>
        <v>16869</v>
      </c>
      <c r="AN26" s="205" t="n">
        <f aca="false">C26</f>
        <v>70000</v>
      </c>
      <c r="AO26" s="203" t="n">
        <f aca="false">+AM26-AN26</f>
        <v>-53131</v>
      </c>
      <c r="AP26" s="206"/>
      <c r="AQ26" s="202" t="n">
        <f aca="false">A26</f>
        <v>36729</v>
      </c>
      <c r="AS26" s="208" t="n">
        <f aca="false">AS25+AO26</f>
        <v>66330</v>
      </c>
      <c r="AT26" s="209"/>
      <c r="AU26" s="209" t="n">
        <f aca="false">+AM26-D26-E26-F26</f>
        <v>16869</v>
      </c>
      <c r="AW26" s="210"/>
      <c r="AX26" s="210"/>
      <c r="AZ26" s="210"/>
      <c r="BA26" s="210"/>
      <c r="BC26" s="210"/>
      <c r="BD26" s="210"/>
      <c r="BF26" s="206"/>
    </row>
    <row r="27" customFormat="false" ht="12.75" hidden="false" customHeight="false" outlineLevel="0" collapsed="false">
      <c r="A27" s="202" t="n">
        <f aca="false">+BaseloadMarkets!A28</f>
        <v>36730</v>
      </c>
      <c r="B27" s="202"/>
      <c r="C27" s="203" t="n">
        <v>70000</v>
      </c>
      <c r="I27" s="178" t="n">
        <v>876</v>
      </c>
      <c r="J27" s="178"/>
      <c r="K27" s="178"/>
      <c r="L27" s="178"/>
      <c r="M27" s="204" t="n">
        <v>0</v>
      </c>
      <c r="N27" s="178"/>
      <c r="O27" s="178"/>
      <c r="P27" s="178" t="n">
        <v>5000</v>
      </c>
      <c r="Q27" s="178"/>
      <c r="R27" s="178"/>
      <c r="S27" s="178"/>
      <c r="T27" s="178"/>
      <c r="U27" s="178"/>
      <c r="V27" s="178"/>
      <c r="W27" s="178"/>
      <c r="X27" s="178"/>
      <c r="Y27" s="178" t="n">
        <v>383</v>
      </c>
      <c r="Z27" s="178"/>
      <c r="AA27" s="178"/>
      <c r="AB27" s="178" t="n">
        <v>10000</v>
      </c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205" t="n">
        <f aca="false">SUM(D27:AL27)</f>
        <v>16259</v>
      </c>
      <c r="AN27" s="205" t="n">
        <f aca="false">C27</f>
        <v>70000</v>
      </c>
      <c r="AO27" s="203" t="n">
        <f aca="false">+AM27-AN27</f>
        <v>-53741</v>
      </c>
      <c r="AP27" s="206"/>
      <c r="AQ27" s="202" t="n">
        <f aca="false">A27</f>
        <v>36730</v>
      </c>
      <c r="AS27" s="208" t="n">
        <f aca="false">AS26+AO27</f>
        <v>12589</v>
      </c>
      <c r="AT27" s="209"/>
      <c r="AU27" s="209" t="n">
        <f aca="false">+AM27-D27-E27-F27</f>
        <v>16259</v>
      </c>
      <c r="AW27" s="210"/>
      <c r="AX27" s="210"/>
      <c r="AZ27" s="210"/>
      <c r="BA27" s="210"/>
      <c r="BC27" s="210"/>
      <c r="BD27" s="210"/>
      <c r="BF27" s="206"/>
    </row>
    <row r="28" customFormat="false" ht="12.75" hidden="false" customHeight="false" outlineLevel="0" collapsed="false">
      <c r="A28" s="202" t="n">
        <f aca="false">+BaseloadMarkets!A29</f>
        <v>36731</v>
      </c>
      <c r="B28" s="202"/>
      <c r="C28" s="203" t="n">
        <v>70000</v>
      </c>
      <c r="G28" s="178" t="n">
        <v>20000</v>
      </c>
      <c r="I28" s="178" t="n">
        <f aca="false">876-45</f>
        <v>831</v>
      </c>
      <c r="J28" s="178"/>
      <c r="K28" s="178" t="n">
        <v>2500</v>
      </c>
      <c r="L28" s="178"/>
      <c r="M28" s="204" t="n">
        <v>0</v>
      </c>
      <c r="N28" s="178"/>
      <c r="O28" s="178"/>
      <c r="P28" s="178" t="n">
        <v>5000</v>
      </c>
      <c r="Q28" s="178"/>
      <c r="R28" s="178"/>
      <c r="S28" s="178"/>
      <c r="T28" s="178"/>
      <c r="U28" s="178"/>
      <c r="V28" s="178"/>
      <c r="W28" s="178"/>
      <c r="X28" s="178"/>
      <c r="Y28" s="178" t="n">
        <v>1015</v>
      </c>
      <c r="Z28" s="178"/>
      <c r="AA28" s="178"/>
      <c r="AB28" s="178" t="n">
        <v>20000</v>
      </c>
      <c r="AC28" s="178"/>
      <c r="AD28" s="178"/>
      <c r="AE28" s="178"/>
      <c r="AF28" s="178"/>
      <c r="AG28" s="178"/>
      <c r="AH28" s="178"/>
      <c r="AI28" s="178"/>
      <c r="AJ28" s="178"/>
      <c r="AK28" s="178"/>
      <c r="AL28" s="178" t="n">
        <v>14000</v>
      </c>
      <c r="AM28" s="205" t="n">
        <f aca="false">SUM(D28:AL28)</f>
        <v>63346</v>
      </c>
      <c r="AN28" s="205" t="n">
        <f aca="false">C28</f>
        <v>70000</v>
      </c>
      <c r="AO28" s="203" t="n">
        <f aca="false">+AM28-AN28</f>
        <v>-6654</v>
      </c>
      <c r="AP28" s="206"/>
      <c r="AQ28" s="202" t="n">
        <f aca="false">A28</f>
        <v>36731</v>
      </c>
      <c r="AS28" s="208" t="n">
        <f aca="false">AS27+AO28</f>
        <v>5935</v>
      </c>
      <c r="AT28" s="209"/>
      <c r="AU28" s="209" t="n">
        <f aca="false">+AM28-D28-E28-F28</f>
        <v>63346</v>
      </c>
      <c r="AW28" s="210"/>
      <c r="AX28" s="210"/>
      <c r="AZ28" s="210"/>
      <c r="BA28" s="210"/>
      <c r="BC28" s="210"/>
      <c r="BD28" s="210"/>
      <c r="BF28" s="206"/>
    </row>
    <row r="29" customFormat="false" ht="12.75" hidden="false" customHeight="false" outlineLevel="0" collapsed="false">
      <c r="A29" s="202" t="n">
        <f aca="false">+BaseloadMarkets!A30</f>
        <v>36732</v>
      </c>
      <c r="B29" s="202"/>
      <c r="C29" s="203" t="n">
        <v>70000</v>
      </c>
      <c r="H29" s="215" t="n">
        <v>4992</v>
      </c>
      <c r="I29" s="178" t="n">
        <f aca="false">968</f>
        <v>968</v>
      </c>
      <c r="J29" s="178" t="n">
        <v>408</v>
      </c>
      <c r="K29" s="178"/>
      <c r="L29" s="178"/>
      <c r="M29" s="204" t="n">
        <v>0</v>
      </c>
      <c r="N29" s="178"/>
      <c r="O29" s="178"/>
      <c r="P29" s="178"/>
      <c r="Q29" s="178"/>
      <c r="R29" s="178" t="n">
        <v>2984</v>
      </c>
      <c r="S29" s="178"/>
      <c r="T29" s="178"/>
      <c r="U29" s="178"/>
      <c r="V29" s="178"/>
      <c r="W29" s="178"/>
      <c r="X29" s="178"/>
      <c r="Y29" s="178" t="n">
        <v>1182</v>
      </c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205" t="n">
        <f aca="false">SUM(D29:AL29)</f>
        <v>10534</v>
      </c>
      <c r="AN29" s="205" t="n">
        <f aca="false">C29</f>
        <v>70000</v>
      </c>
      <c r="AO29" s="203" t="n">
        <f aca="false">+AM29-AN29</f>
        <v>-59466</v>
      </c>
      <c r="AP29" s="206"/>
      <c r="AQ29" s="202" t="n">
        <f aca="false">A29</f>
        <v>36732</v>
      </c>
      <c r="AS29" s="208" t="n">
        <f aca="false">AS28+AO29</f>
        <v>-53531</v>
      </c>
      <c r="AT29" s="209"/>
      <c r="AU29" s="209" t="n">
        <f aca="false">+AM29-D29-E29-F29</f>
        <v>10534</v>
      </c>
      <c r="AW29" s="210"/>
      <c r="AX29" s="210"/>
      <c r="AZ29" s="210"/>
      <c r="BA29" s="210"/>
      <c r="BC29" s="210"/>
      <c r="BD29" s="210"/>
      <c r="BF29" s="206"/>
    </row>
    <row r="30" customFormat="false" ht="12.75" hidden="false" customHeight="false" outlineLevel="0" collapsed="false">
      <c r="A30" s="202" t="n">
        <f aca="false">+BaseloadMarkets!A31</f>
        <v>36733</v>
      </c>
      <c r="B30" s="202"/>
      <c r="C30" s="203" t="n">
        <v>70000</v>
      </c>
      <c r="H30" s="215" t="n">
        <v>5750</v>
      </c>
      <c r="I30" s="178" t="n">
        <v>968</v>
      </c>
      <c r="J30" s="178" t="n">
        <v>408</v>
      </c>
      <c r="K30" s="178"/>
      <c r="L30" s="178"/>
      <c r="M30" s="204" t="n">
        <v>0</v>
      </c>
      <c r="N30" s="178"/>
      <c r="O30" s="178"/>
      <c r="P30" s="178"/>
      <c r="Q30" s="178"/>
      <c r="R30" s="178" t="n">
        <f aca="false">2654+5443</f>
        <v>8097</v>
      </c>
      <c r="S30" s="178" t="n">
        <f aca="false">5434+5434</f>
        <v>10868</v>
      </c>
      <c r="T30" s="178" t="n">
        <f aca="false">5434+10868</f>
        <v>16302</v>
      </c>
      <c r="U30" s="178"/>
      <c r="V30" s="178"/>
      <c r="W30" s="178"/>
      <c r="X30" s="178"/>
      <c r="Y30" s="178" t="n">
        <v>1226</v>
      </c>
      <c r="Z30" s="178" t="n">
        <f aca="false">2722+5434+2709+2707+5206+5418+2709</f>
        <v>26905</v>
      </c>
      <c r="AA30" s="178"/>
      <c r="AB30" s="178"/>
      <c r="AC30" s="178"/>
      <c r="AD30" s="178" t="n">
        <f aca="false">2709+27171</f>
        <v>29880</v>
      </c>
      <c r="AE30" s="178"/>
      <c r="AF30" s="178"/>
      <c r="AG30" s="178"/>
      <c r="AH30" s="178" t="n">
        <v>10868</v>
      </c>
      <c r="AI30" s="178" t="n">
        <v>10868</v>
      </c>
      <c r="AJ30" s="178" t="n">
        <v>8151</v>
      </c>
      <c r="AK30" s="178"/>
      <c r="AL30" s="178" t="n">
        <v>4000</v>
      </c>
      <c r="AM30" s="205" t="n">
        <f aca="false">SUM(D30:AL30)</f>
        <v>134291</v>
      </c>
      <c r="AN30" s="205" t="n">
        <f aca="false">C30</f>
        <v>70000</v>
      </c>
      <c r="AO30" s="203" t="n">
        <f aca="false">+AM30-AN30</f>
        <v>64291</v>
      </c>
      <c r="AP30" s="206"/>
      <c r="AQ30" s="202" t="n">
        <f aca="false">A30</f>
        <v>36733</v>
      </c>
      <c r="AS30" s="208" t="n">
        <f aca="false">AS29+AO30</f>
        <v>10760</v>
      </c>
      <c r="AT30" s="209"/>
      <c r="AU30" s="209" t="n">
        <f aca="false">+AM30-D30-E30-F30</f>
        <v>134291</v>
      </c>
      <c r="AW30" s="210"/>
      <c r="AX30" s="210"/>
      <c r="AZ30" s="210"/>
      <c r="BA30" s="210"/>
      <c r="BC30" s="210"/>
      <c r="BD30" s="210"/>
      <c r="BF30" s="206"/>
    </row>
    <row r="31" customFormat="false" ht="12.75" hidden="false" customHeight="false" outlineLevel="0" collapsed="false">
      <c r="A31" s="202" t="n">
        <f aca="false">+BaseloadMarkets!A32</f>
        <v>36734</v>
      </c>
      <c r="B31" s="202"/>
      <c r="C31" s="203" t="n">
        <v>70000</v>
      </c>
      <c r="D31" s="215" t="n">
        <v>5825</v>
      </c>
      <c r="G31" s="178" t="n">
        <v>30000</v>
      </c>
      <c r="H31" s="215" t="n">
        <v>6092</v>
      </c>
      <c r="I31" s="178" t="n">
        <v>950</v>
      </c>
      <c r="J31" s="178" t="n">
        <v>408</v>
      </c>
      <c r="K31" s="178"/>
      <c r="L31" s="178"/>
      <c r="M31" s="204" t="n">
        <v>0</v>
      </c>
      <c r="N31" s="178"/>
      <c r="O31" s="178"/>
      <c r="P31" s="178"/>
      <c r="Q31" s="178"/>
      <c r="R31" s="178" t="n">
        <v>2655</v>
      </c>
      <c r="S31" s="178"/>
      <c r="T31" s="178"/>
      <c r="U31" s="178"/>
      <c r="V31" s="178"/>
      <c r="W31" s="178"/>
      <c r="X31" s="178"/>
      <c r="Y31" s="178" t="n">
        <v>3946</v>
      </c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 t="n">
        <v>14000</v>
      </c>
      <c r="AM31" s="205" t="n">
        <f aca="false">SUM(D31:AL31)</f>
        <v>63876</v>
      </c>
      <c r="AN31" s="205" t="n">
        <f aca="false">C31</f>
        <v>70000</v>
      </c>
      <c r="AO31" s="203" t="n">
        <f aca="false">+AM31-AN31</f>
        <v>-6124</v>
      </c>
      <c r="AP31" s="206"/>
      <c r="AQ31" s="202" t="n">
        <f aca="false">A31</f>
        <v>36734</v>
      </c>
      <c r="AS31" s="208" t="n">
        <f aca="false">AS30+AO31</f>
        <v>4636</v>
      </c>
      <c r="AT31" s="209"/>
      <c r="AU31" s="209" t="n">
        <f aca="false">+AM31-D31-E31-F31</f>
        <v>58051</v>
      </c>
      <c r="AW31" s="210"/>
      <c r="AX31" s="210"/>
      <c r="AZ31" s="210"/>
      <c r="BA31" s="210"/>
      <c r="BC31" s="210"/>
      <c r="BD31" s="210"/>
      <c r="BF31" s="206"/>
    </row>
    <row r="32" customFormat="false" ht="12.75" hidden="false" customHeight="false" outlineLevel="0" collapsed="false">
      <c r="A32" s="202" t="n">
        <f aca="false">+BaseloadMarkets!A33</f>
        <v>36735</v>
      </c>
      <c r="B32" s="202"/>
      <c r="C32" s="203" t="n">
        <v>70000</v>
      </c>
      <c r="D32" s="178" t="n">
        <v>0</v>
      </c>
      <c r="F32" s="178" t="n">
        <v>5100</v>
      </c>
      <c r="G32" s="178" t="n">
        <v>10000</v>
      </c>
      <c r="H32" s="215" t="n">
        <v>8519</v>
      </c>
      <c r="I32" s="178" t="n">
        <v>968</v>
      </c>
      <c r="J32" s="178" t="n">
        <v>3193</v>
      </c>
      <c r="K32" s="178" t="n">
        <v>17215</v>
      </c>
      <c r="L32" s="178" t="n">
        <v>10000</v>
      </c>
      <c r="M32" s="204" t="n">
        <f aca="false">+Border!AD31</f>
        <v>0</v>
      </c>
      <c r="N32" s="178"/>
      <c r="O32" s="178"/>
      <c r="P32" s="178"/>
      <c r="Q32" s="178"/>
      <c r="R32" s="178" t="n">
        <v>9651</v>
      </c>
      <c r="S32" s="178"/>
      <c r="T32" s="178"/>
      <c r="U32" s="178"/>
      <c r="V32" s="178"/>
      <c r="W32" s="178"/>
      <c r="X32" s="178"/>
      <c r="Y32" s="178"/>
      <c r="Z32" s="178"/>
      <c r="AA32" s="178" t="n">
        <v>6949</v>
      </c>
      <c r="AB32" s="178"/>
      <c r="AC32" s="178"/>
      <c r="AD32" s="178" t="n">
        <v>31046</v>
      </c>
      <c r="AE32" s="178"/>
      <c r="AF32" s="178"/>
      <c r="AG32" s="178"/>
      <c r="AH32" s="178" t="n">
        <v>0</v>
      </c>
      <c r="AI32" s="178"/>
      <c r="AJ32" s="178"/>
      <c r="AK32" s="178"/>
      <c r="AL32" s="178" t="n">
        <v>9500</v>
      </c>
      <c r="AM32" s="205" t="n">
        <f aca="false">SUM(D32:AL32)</f>
        <v>112141</v>
      </c>
      <c r="AN32" s="205" t="n">
        <f aca="false">C32</f>
        <v>70000</v>
      </c>
      <c r="AO32" s="203" t="n">
        <f aca="false">+AM32-AN32</f>
        <v>42141</v>
      </c>
      <c r="AP32" s="206"/>
      <c r="AQ32" s="202" t="n">
        <f aca="false">A32</f>
        <v>36735</v>
      </c>
      <c r="AS32" s="208" t="n">
        <f aca="false">AS31+AO32</f>
        <v>46777</v>
      </c>
      <c r="AT32" s="209"/>
      <c r="AU32" s="209" t="n">
        <f aca="false">+AM32-D32-E32-F32</f>
        <v>107041</v>
      </c>
      <c r="AW32" s="210"/>
      <c r="AX32" s="210"/>
      <c r="AZ32" s="210"/>
      <c r="BA32" s="210"/>
      <c r="BC32" s="210"/>
      <c r="BD32" s="210"/>
      <c r="BF32" s="206"/>
    </row>
    <row r="33" customFormat="false" ht="12.75" hidden="false" customHeight="false" outlineLevel="0" collapsed="false">
      <c r="A33" s="202" t="n">
        <f aca="false">+BaseloadMarkets!A34</f>
        <v>36736</v>
      </c>
      <c r="B33" s="202"/>
      <c r="C33" s="203" t="n">
        <v>70000</v>
      </c>
      <c r="D33" s="178" t="n">
        <v>0</v>
      </c>
      <c r="F33" s="178" t="n">
        <v>78</v>
      </c>
      <c r="G33" s="178" t="n">
        <v>5000</v>
      </c>
      <c r="H33" s="215" t="n">
        <v>372</v>
      </c>
      <c r="I33" s="178" t="n">
        <v>968</v>
      </c>
      <c r="J33" s="178" t="n">
        <v>3193</v>
      </c>
      <c r="K33" s="178" t="n">
        <v>12963</v>
      </c>
      <c r="L33" s="178"/>
      <c r="M33" s="204" t="n">
        <f aca="false">+Border!AD32</f>
        <v>0</v>
      </c>
      <c r="N33" s="178"/>
      <c r="O33" s="178"/>
      <c r="P33" s="178" t="n">
        <f aca="false">3043+1175</f>
        <v>4218</v>
      </c>
      <c r="Q33" s="178"/>
      <c r="R33" s="178" t="n">
        <v>2821</v>
      </c>
      <c r="S33" s="178"/>
      <c r="T33" s="178"/>
      <c r="U33" s="178"/>
      <c r="V33" s="178"/>
      <c r="W33" s="178"/>
      <c r="X33" s="178"/>
      <c r="Y33" s="178" t="n">
        <v>1338</v>
      </c>
      <c r="Z33" s="178"/>
      <c r="AA33" s="178"/>
      <c r="AB33" s="178" t="n">
        <v>24133</v>
      </c>
      <c r="AC33" s="178"/>
      <c r="AD33" s="178" t="n">
        <v>3870</v>
      </c>
      <c r="AE33" s="178"/>
      <c r="AF33" s="178"/>
      <c r="AG33" s="178"/>
      <c r="AH33" s="178"/>
      <c r="AI33" s="178"/>
      <c r="AJ33" s="178"/>
      <c r="AK33" s="178"/>
      <c r="AL33" s="178"/>
      <c r="AM33" s="205" t="n">
        <f aca="false">SUM(D33:AL33)</f>
        <v>58954</v>
      </c>
      <c r="AN33" s="205" t="n">
        <f aca="false">C33</f>
        <v>70000</v>
      </c>
      <c r="AO33" s="203" t="n">
        <f aca="false">+AM33-AN33</f>
        <v>-11046</v>
      </c>
      <c r="AP33" s="206"/>
      <c r="AQ33" s="202" t="n">
        <f aca="false">A33</f>
        <v>36736</v>
      </c>
      <c r="AS33" s="208" t="n">
        <f aca="false">AS32+AO33</f>
        <v>35731</v>
      </c>
      <c r="AT33" s="209"/>
      <c r="AU33" s="209" t="n">
        <f aca="false">+AM33-D33-E33-F33</f>
        <v>58876</v>
      </c>
      <c r="AW33" s="210"/>
      <c r="AX33" s="210"/>
      <c r="AZ33" s="210"/>
      <c r="BA33" s="210"/>
      <c r="BC33" s="210"/>
      <c r="BD33" s="210"/>
      <c r="BF33" s="206"/>
    </row>
    <row r="34" customFormat="false" ht="12.75" hidden="false" customHeight="false" outlineLevel="0" collapsed="false">
      <c r="A34" s="202" t="n">
        <f aca="false">+BaseloadMarkets!A35</f>
        <v>36737</v>
      </c>
      <c r="B34" s="202"/>
      <c r="C34" s="203" t="n">
        <v>70000</v>
      </c>
      <c r="D34" s="178" t="n">
        <v>0</v>
      </c>
      <c r="G34" s="178" t="n">
        <v>1675</v>
      </c>
      <c r="H34" s="215" t="n">
        <v>342</v>
      </c>
      <c r="I34" s="178" t="n">
        <v>968</v>
      </c>
      <c r="J34" s="178" t="n">
        <v>3193</v>
      </c>
      <c r="K34" s="178" t="n">
        <v>14715</v>
      </c>
      <c r="L34" s="178"/>
      <c r="M34" s="204" t="n">
        <f aca="false">+Border!AD33</f>
        <v>0</v>
      </c>
      <c r="N34" s="178"/>
      <c r="O34" s="178"/>
      <c r="P34" s="178" t="n">
        <v>4193</v>
      </c>
      <c r="Q34" s="178"/>
      <c r="R34" s="178" t="n">
        <v>2758</v>
      </c>
      <c r="S34" s="178"/>
      <c r="T34" s="178"/>
      <c r="U34" s="178"/>
      <c r="V34" s="178"/>
      <c r="W34" s="178"/>
      <c r="X34" s="178"/>
      <c r="Y34" s="178" t="n">
        <v>1338</v>
      </c>
      <c r="Z34" s="178"/>
      <c r="AA34" s="178"/>
      <c r="AB34" s="178" t="n">
        <v>21903</v>
      </c>
      <c r="AC34" s="178"/>
      <c r="AD34" s="178" t="n">
        <v>3681</v>
      </c>
      <c r="AE34" s="178"/>
      <c r="AF34" s="178"/>
      <c r="AG34" s="178"/>
      <c r="AH34" s="178"/>
      <c r="AI34" s="178"/>
      <c r="AJ34" s="178"/>
      <c r="AK34" s="178"/>
      <c r="AL34" s="178"/>
      <c r="AM34" s="205" t="n">
        <f aca="false">SUM(D34:AL34)</f>
        <v>54766</v>
      </c>
      <c r="AN34" s="205" t="n">
        <f aca="false">C34</f>
        <v>70000</v>
      </c>
      <c r="AO34" s="203" t="n">
        <f aca="false">+AM34-AN34</f>
        <v>-15234</v>
      </c>
      <c r="AP34" s="206"/>
      <c r="AQ34" s="202" t="n">
        <f aca="false">A34</f>
        <v>36737</v>
      </c>
      <c r="AS34" s="208" t="n">
        <f aca="false">AS33+AO34</f>
        <v>20497</v>
      </c>
      <c r="AT34" s="209"/>
      <c r="AU34" s="209" t="n">
        <f aca="false">+AM34-D34-E34-F34</f>
        <v>54766</v>
      </c>
      <c r="AW34" s="210"/>
      <c r="AX34" s="210"/>
      <c r="AZ34" s="210"/>
      <c r="BA34" s="210"/>
      <c r="BC34" s="210"/>
      <c r="BD34" s="210"/>
      <c r="BF34" s="206"/>
    </row>
    <row r="35" customFormat="false" ht="12.75" hidden="false" customHeight="false" outlineLevel="0" collapsed="false">
      <c r="A35" s="202" t="n">
        <f aca="false">+BaseloadMarkets!A36</f>
        <v>36738</v>
      </c>
      <c r="B35" s="202"/>
      <c r="C35" s="203" t="n">
        <v>70000</v>
      </c>
      <c r="D35" s="178" t="n">
        <v>0</v>
      </c>
      <c r="G35" s="178" t="n">
        <v>0</v>
      </c>
      <c r="H35" s="215" t="n">
        <v>246</v>
      </c>
      <c r="I35" s="178" t="n">
        <v>968</v>
      </c>
      <c r="J35" s="178" t="n">
        <v>3193</v>
      </c>
      <c r="K35" s="178" t="n">
        <v>18124</v>
      </c>
      <c r="L35" s="178"/>
      <c r="M35" s="204" t="n">
        <f aca="false">+Border!AD34</f>
        <v>0</v>
      </c>
      <c r="N35" s="178"/>
      <c r="O35" s="178"/>
      <c r="P35" s="178" t="n">
        <v>4127</v>
      </c>
      <c r="Q35" s="178"/>
      <c r="R35" s="178" t="n">
        <v>2380</v>
      </c>
      <c r="S35" s="178"/>
      <c r="T35" s="178"/>
      <c r="U35" s="178"/>
      <c r="V35" s="178"/>
      <c r="W35" s="178"/>
      <c r="X35" s="178"/>
      <c r="Y35" s="178" t="n">
        <v>1338</v>
      </c>
      <c r="Z35" s="178"/>
      <c r="AA35" s="178"/>
      <c r="AB35" s="178" t="n">
        <v>11246</v>
      </c>
      <c r="AC35" s="178"/>
      <c r="AD35" s="178" t="n">
        <v>2805</v>
      </c>
      <c r="AE35" s="178"/>
      <c r="AF35" s="178"/>
      <c r="AG35" s="178"/>
      <c r="AH35" s="178"/>
      <c r="AI35" s="178"/>
      <c r="AJ35" s="178"/>
      <c r="AK35" s="178"/>
      <c r="AL35" s="178"/>
      <c r="AM35" s="205" t="n">
        <f aca="false">SUM(D35:AL35)</f>
        <v>44427</v>
      </c>
      <c r="AN35" s="205" t="n">
        <f aca="false">C35</f>
        <v>70000</v>
      </c>
      <c r="AO35" s="203" t="n">
        <f aca="false">+AM35-AN35</f>
        <v>-25573</v>
      </c>
      <c r="AP35" s="206"/>
      <c r="AQ35" s="202" t="n">
        <f aca="false">A35</f>
        <v>36738</v>
      </c>
      <c r="AS35" s="208" t="n">
        <f aca="false">AS34+AO35</f>
        <v>-5076</v>
      </c>
      <c r="AT35" s="209"/>
      <c r="AU35" s="209" t="n">
        <f aca="false">+AM35-D35-E35-F35</f>
        <v>44427</v>
      </c>
      <c r="AW35" s="210"/>
      <c r="AX35" s="210"/>
      <c r="AZ35" s="210"/>
      <c r="BA35" s="210"/>
      <c r="BC35" s="210"/>
      <c r="BD35" s="210"/>
      <c r="BF35" s="206"/>
    </row>
    <row r="36" customFormat="false" ht="12.75" hidden="false" customHeight="false" outlineLevel="0" collapsed="false">
      <c r="A36" s="216" t="s">
        <v>62</v>
      </c>
      <c r="C36" s="217" t="n">
        <f aca="false">SUM(C5:C35)</f>
        <v>2170000</v>
      </c>
      <c r="D36" s="216" t="n">
        <f aca="false">SUM(D5:D35)</f>
        <v>175193</v>
      </c>
      <c r="E36" s="216" t="n">
        <f aca="false">SUM(E5:E35)</f>
        <v>0</v>
      </c>
      <c r="F36" s="216" t="n">
        <f aca="false">SUM(F5:F35)</f>
        <v>5178</v>
      </c>
      <c r="G36" s="216" t="n">
        <f aca="false">SUM(G5:G35)</f>
        <v>301675</v>
      </c>
      <c r="H36" s="216" t="n">
        <f aca="false">SUM(H5:H35)</f>
        <v>129574</v>
      </c>
      <c r="I36" s="216" t="n">
        <f aca="false">SUM(I5:I35)</f>
        <v>28525</v>
      </c>
      <c r="J36" s="216" t="n">
        <f aca="false">SUM(J5:J35)</f>
        <v>77271</v>
      </c>
      <c r="K36" s="216" t="n">
        <f aca="false">SUM(K5:K35)</f>
        <v>221352</v>
      </c>
      <c r="L36" s="216" t="n">
        <f aca="false">SUM(L5:L35)</f>
        <v>10000</v>
      </c>
      <c r="M36" s="216" t="n">
        <f aca="false">SUM(M5:M35)</f>
        <v>0</v>
      </c>
      <c r="N36" s="216" t="n">
        <f aca="false">SUM(N5:N35)</f>
        <v>76752</v>
      </c>
      <c r="O36" s="216" t="n">
        <f aca="false">SUM(O5:O35)</f>
        <v>56000</v>
      </c>
      <c r="P36" s="216" t="n">
        <f aca="false">SUM(P5:P35)</f>
        <v>91016</v>
      </c>
      <c r="Q36" s="216" t="n">
        <f aca="false">SUM(Q5:Q35)</f>
        <v>38938</v>
      </c>
      <c r="R36" s="216" t="n">
        <f aca="false">SUM(R5:R35)</f>
        <v>99096</v>
      </c>
      <c r="S36" s="216" t="n">
        <f aca="false">SUM(S5:S35)</f>
        <v>68188</v>
      </c>
      <c r="T36" s="216" t="n">
        <f aca="false">SUM(T5:T35)</f>
        <v>44904</v>
      </c>
      <c r="U36" s="216" t="n">
        <f aca="false">SUM(U5:U35)</f>
        <v>10000</v>
      </c>
      <c r="V36" s="216" t="n">
        <f aca="false">SUM(V5:V35)</f>
        <v>23360</v>
      </c>
      <c r="W36" s="216" t="n">
        <f aca="false">SUM(W5:W35)</f>
        <v>10922</v>
      </c>
      <c r="X36" s="216" t="n">
        <f aca="false">SUM(X5:X35)</f>
        <v>10000</v>
      </c>
      <c r="Y36" s="216" t="n">
        <f aca="false">SUM(Y5:Y35)</f>
        <v>54175</v>
      </c>
      <c r="Z36" s="216" t="n">
        <f aca="false">SUM(Z5:Z35)</f>
        <v>68428</v>
      </c>
      <c r="AA36" s="216" t="n">
        <f aca="false">SUM(AA5:AA35)</f>
        <v>37977</v>
      </c>
      <c r="AB36" s="216" t="n">
        <f aca="false">SUM(AB5:AB35)</f>
        <v>125292</v>
      </c>
      <c r="AC36" s="216" t="n">
        <f aca="false">SUM(AC5:AC35)</f>
        <v>8008</v>
      </c>
      <c r="AD36" s="216" t="n">
        <f aca="false">SUM(AD5:AD35)</f>
        <v>165017</v>
      </c>
      <c r="AE36" s="216" t="n">
        <f aca="false">SUM(AE5:AE35)</f>
        <v>20000</v>
      </c>
      <c r="AF36" s="216" t="n">
        <f aca="false">SUM(AF5:AF35)</f>
        <v>6448</v>
      </c>
      <c r="AG36" s="216" t="n">
        <f aca="false">SUM(AG5:AG35)</f>
        <v>26602</v>
      </c>
      <c r="AH36" s="216" t="n">
        <f aca="false">SUM(AH5:AH35)</f>
        <v>10868</v>
      </c>
      <c r="AI36" s="216" t="n">
        <f aca="false">SUM(AI5:AI35)</f>
        <v>10868</v>
      </c>
      <c r="AJ36" s="216" t="n">
        <f aca="false">SUM(AJ5:AJ35)</f>
        <v>8151</v>
      </c>
      <c r="AK36" s="216" t="n">
        <f aca="false">SUM(AK5:AK35)</f>
        <v>2646</v>
      </c>
      <c r="AL36" s="216" t="n">
        <f aca="false">SUM(AL5:AL35)</f>
        <v>142500</v>
      </c>
      <c r="AM36" s="216" t="n">
        <f aca="false">SUM(AM5:AM35)</f>
        <v>2164924</v>
      </c>
      <c r="AN36" s="216" t="n">
        <f aca="false">SUM(AN5:AN35)</f>
        <v>2170000</v>
      </c>
      <c r="AO36" s="217" t="n">
        <f aca="false">SUM(AO5:AO35)</f>
        <v>-5076</v>
      </c>
      <c r="AR36" s="218"/>
      <c r="AS36" s="20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  <c r="IW36" s="219"/>
    </row>
    <row r="37" customFormat="false" ht="12.75" hidden="false" customHeight="false" outlineLevel="0" collapsed="false">
      <c r="J37" s="205"/>
      <c r="K37" s="205"/>
      <c r="L37" s="205"/>
      <c r="M37" s="220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IU37" s="207"/>
      <c r="IV37" s="207"/>
    </row>
    <row r="38" customFormat="false" ht="12.75" hidden="false" customHeight="false" outlineLevel="0" collapsed="false">
      <c r="A38" s="104" t="n">
        <v>1</v>
      </c>
      <c r="B38" s="42" t="n">
        <f aca="false">+A38+1</f>
        <v>2</v>
      </c>
      <c r="C38" s="42" t="n">
        <f aca="false">+B38+1</f>
        <v>3</v>
      </c>
      <c r="D38" s="42" t="n">
        <f aca="false">+C38+1</f>
        <v>4</v>
      </c>
      <c r="E38" s="42" t="n">
        <f aca="false">+D38+1</f>
        <v>5</v>
      </c>
      <c r="F38" s="42" t="n">
        <f aca="false">+E38+1</f>
        <v>6</v>
      </c>
      <c r="G38" s="42" t="n">
        <f aca="false">+F38+1</f>
        <v>7</v>
      </c>
      <c r="H38" s="42" t="n">
        <f aca="false">+G38+1</f>
        <v>8</v>
      </c>
      <c r="I38" s="42" t="n">
        <f aca="false">+H38+1</f>
        <v>9</v>
      </c>
      <c r="J38" s="42" t="n">
        <f aca="false">+I38+1</f>
        <v>10</v>
      </c>
      <c r="K38" s="42" t="n">
        <f aca="false">+J38+1</f>
        <v>11</v>
      </c>
      <c r="L38" s="42" t="n">
        <f aca="false">+K38+1</f>
        <v>12</v>
      </c>
      <c r="M38" s="42" t="n">
        <f aca="false">+L38+1</f>
        <v>13</v>
      </c>
      <c r="N38" s="42" t="n">
        <f aca="false">+M38+1</f>
        <v>14</v>
      </c>
      <c r="O38" s="42" t="n">
        <f aca="false">+N38+1</f>
        <v>15</v>
      </c>
      <c r="P38" s="42" t="n">
        <f aca="false">+O38+1</f>
        <v>16</v>
      </c>
      <c r="Q38" s="42" t="n">
        <f aca="false">+P38+1</f>
        <v>17</v>
      </c>
      <c r="R38" s="42" t="n">
        <f aca="false">+Q38+1</f>
        <v>18</v>
      </c>
      <c r="S38" s="42" t="n">
        <f aca="false">+R38+1</f>
        <v>19</v>
      </c>
      <c r="T38" s="42" t="n">
        <f aca="false">+S38+1</f>
        <v>20</v>
      </c>
      <c r="U38" s="42" t="n">
        <f aca="false">+T38+1</f>
        <v>21</v>
      </c>
      <c r="V38" s="42" t="n">
        <f aca="false">+U38+1</f>
        <v>22</v>
      </c>
      <c r="W38" s="42" t="n">
        <f aca="false">+V38+1</f>
        <v>23</v>
      </c>
      <c r="X38" s="42" t="n">
        <f aca="false">+W38+1</f>
        <v>24</v>
      </c>
      <c r="Y38" s="42" t="n">
        <f aca="false">+X38+1</f>
        <v>25</v>
      </c>
      <c r="Z38" s="42" t="n">
        <f aca="false">+Y38+1</f>
        <v>26</v>
      </c>
      <c r="AA38" s="42" t="n">
        <f aca="false">+Z38+1</f>
        <v>27</v>
      </c>
      <c r="AB38" s="42" t="n">
        <f aca="false">+AA38+1</f>
        <v>28</v>
      </c>
      <c r="AC38" s="42" t="n">
        <f aca="false">+AB38+1</f>
        <v>29</v>
      </c>
      <c r="AD38" s="42" t="n">
        <f aca="false">+AC38+1</f>
        <v>30</v>
      </c>
      <c r="AE38" s="42" t="n">
        <f aca="false">+AD38+1</f>
        <v>31</v>
      </c>
      <c r="AF38" s="42" t="n">
        <f aca="false">+AE38+1</f>
        <v>32</v>
      </c>
      <c r="AG38" s="42" t="n">
        <f aca="false">+AF38+1</f>
        <v>33</v>
      </c>
      <c r="AH38" s="42" t="n">
        <f aca="false">+AG38+1</f>
        <v>34</v>
      </c>
      <c r="AI38" s="42" t="n">
        <f aca="false">+AH38+1</f>
        <v>35</v>
      </c>
      <c r="AJ38" s="42" t="n">
        <f aca="false">+AI38+1</f>
        <v>36</v>
      </c>
      <c r="AK38" s="42" t="n">
        <f aca="false">+AJ38+1</f>
        <v>37</v>
      </c>
      <c r="AL38" s="42" t="n">
        <f aca="false">+AK38+1</f>
        <v>38</v>
      </c>
      <c r="AM38" s="42" t="n">
        <f aca="false">+AL38+1</f>
        <v>39</v>
      </c>
      <c r="AN38" s="42" t="n">
        <f aca="false">+AM38+1</f>
        <v>40</v>
      </c>
      <c r="AO38" s="42" t="n">
        <f aca="false">+AN38+1</f>
        <v>41</v>
      </c>
      <c r="AP38" s="42" t="n">
        <f aca="false">+AO38+1</f>
        <v>42</v>
      </c>
      <c r="AQ38" s="42" t="n">
        <f aca="false">+AP38+1</f>
        <v>43</v>
      </c>
      <c r="AR38" s="42" t="n">
        <f aca="false">+AQ38+1</f>
        <v>44</v>
      </c>
      <c r="AS38" s="42" t="n">
        <f aca="false">+AR38+1</f>
        <v>45</v>
      </c>
      <c r="AT38" s="42" t="n">
        <f aca="false">+AS38+1</f>
        <v>46</v>
      </c>
      <c r="AU38" s="42" t="n">
        <f aca="false">+AT38+1</f>
        <v>47</v>
      </c>
      <c r="IV38" s="207"/>
    </row>
  </sheetData>
  <printOptions headings="false" gridLines="tru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3" topLeftCell="K12" activePane="bottomRight" state="frozen"/>
      <selection pane="topLeft" activeCell="A1" activeCellId="0" sqref="A1"/>
      <selection pane="topRight" activeCell="K1" activeCellId="0" sqref="K1"/>
      <selection pane="bottomLeft" activeCell="A12" activeCellId="0" sqref="A12"/>
      <selection pane="bottomRight" activeCell="L34" activeCellId="0" sqref="L3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77" width="16.99"/>
    <col collapsed="false" customWidth="true" hidden="false" outlineLevel="0" max="2" min="2" style="176" width="17.99"/>
    <col collapsed="false" customWidth="true" hidden="false" outlineLevel="0" max="3" min="3" style="176" width="13.99"/>
    <col collapsed="false" customWidth="true" hidden="false" outlineLevel="0" max="4" min="4" style="210" width="15.32"/>
    <col collapsed="false" customWidth="true" hidden="false" outlineLevel="0" max="5" min="5" style="176" width="13.65"/>
    <col collapsed="false" customWidth="true" hidden="false" outlineLevel="0" max="6" min="6" style="176" width="13.32"/>
    <col collapsed="false" customWidth="true" hidden="false" outlineLevel="0" max="7" min="7" style="176" width="13.65"/>
    <col collapsed="false" customWidth="true" hidden="false" outlineLevel="0" max="8" min="8" style="221" width="14.49"/>
    <col collapsed="false" customWidth="true" hidden="true" outlineLevel="0" max="9" min="9" style="0" width="13.32"/>
    <col collapsed="false" customWidth="true" hidden="false" outlineLevel="0" max="10" min="10" style="214" width="16.32"/>
    <col collapsed="false" customWidth="true" hidden="false" outlineLevel="0" max="11" min="11" style="86" width="14.49"/>
    <col collapsed="false" customWidth="true" hidden="false" outlineLevel="0" max="12" min="12" style="210" width="15.32"/>
    <col collapsed="false" customWidth="true" hidden="false" outlineLevel="0" max="13" min="13" style="221" width="15.32"/>
    <col collapsed="false" customWidth="true" hidden="true" outlineLevel="0" max="14" min="14" style="176" width="0.99"/>
    <col collapsed="false" customWidth="true" hidden="false" outlineLevel="0" max="15" min="15" style="176" width="13.82"/>
    <col collapsed="false" customWidth="true" hidden="false" outlineLevel="0" max="16" min="16" style="177" width="10.82"/>
    <col collapsed="false" customWidth="true" hidden="false" outlineLevel="0" max="17" min="17" style="222" width="2.65"/>
    <col collapsed="false" customWidth="true" hidden="false" outlineLevel="0" max="18" min="18" style="223" width="16.65"/>
    <col collapsed="false" customWidth="true" hidden="false" outlineLevel="0" max="19" min="19" style="206" width="16.65"/>
    <col collapsed="false" customWidth="true" hidden="false" outlineLevel="0" max="20" min="20" style="176" width="8.82"/>
    <col collapsed="false" customWidth="true" hidden="false" outlineLevel="0" max="21" min="21" style="176" width="2.82"/>
    <col collapsed="false" customWidth="true" hidden="false" outlineLevel="0" max="22" min="22" style="176" width="13.99"/>
    <col collapsed="false" customWidth="true" hidden="false" outlineLevel="0" max="23" min="23" style="176" width="11.15"/>
    <col collapsed="false" customWidth="true" hidden="false" outlineLevel="0" max="24" min="24" style="176" width="23.49"/>
    <col collapsed="false" customWidth="true" hidden="false" outlineLevel="0" max="25" min="25" style="176" width="9.99"/>
    <col collapsed="false" customWidth="true" hidden="false" outlineLevel="0" max="26" min="26" style="176" width="12.15"/>
    <col collapsed="false" customWidth="false" hidden="false" outlineLevel="0" max="257" min="27" style="176" width="9.32"/>
  </cols>
  <sheetData>
    <row r="1" customFormat="false" ht="24.95" hidden="false" customHeight="true" outlineLevel="0" collapsed="false">
      <c r="A1" s="224" t="s">
        <v>170</v>
      </c>
      <c r="B1" s="225"/>
      <c r="C1" s="225"/>
      <c r="D1" s="226"/>
      <c r="E1" s="227"/>
      <c r="F1" s="227"/>
      <c r="G1" s="0"/>
      <c r="H1" s="0"/>
      <c r="J1" s="0"/>
      <c r="K1" s="228"/>
      <c r="L1" s="229"/>
      <c r="M1" s="225"/>
      <c r="N1" s="227"/>
      <c r="O1" s="227"/>
      <c r="P1" s="229"/>
      <c r="Q1" s="230"/>
      <c r="R1" s="231"/>
      <c r="S1" s="232"/>
      <c r="T1" s="233"/>
      <c r="U1" s="232"/>
      <c r="V1" s="232"/>
      <c r="W1" s="232"/>
      <c r="X1" s="234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  <c r="IW1" s="227"/>
    </row>
    <row r="2" customFormat="false" ht="15" hidden="false" customHeight="true" outlineLevel="0" collapsed="false">
      <c r="A2" s="235" t="n">
        <f aca="true">NOW()</f>
        <v>45926.9866940128</v>
      </c>
      <c r="B2" s="236" t="s">
        <v>171</v>
      </c>
      <c r="C2" s="237"/>
      <c r="D2" s="238"/>
      <c r="E2" s="237"/>
      <c r="F2" s="237"/>
      <c r="G2" s="237"/>
      <c r="H2" s="239"/>
      <c r="J2" s="240" t="s">
        <v>172</v>
      </c>
      <c r="K2" s="239"/>
      <c r="L2" s="241"/>
      <c r="M2" s="239"/>
      <c r="N2" s="242"/>
      <c r="O2" s="237"/>
      <c r="P2" s="243"/>
      <c r="Q2" s="239"/>
      <c r="R2" s="244"/>
      <c r="S2" s="243"/>
      <c r="T2" s="237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  <c r="HU2" s="239"/>
      <c r="HV2" s="239"/>
      <c r="HW2" s="239"/>
      <c r="HX2" s="239"/>
      <c r="HY2" s="239"/>
      <c r="HZ2" s="239"/>
      <c r="IA2" s="239"/>
      <c r="IB2" s="239"/>
      <c r="IC2" s="239"/>
      <c r="ID2" s="239"/>
      <c r="IE2" s="239"/>
      <c r="IF2" s="239"/>
      <c r="IG2" s="239"/>
      <c r="IH2" s="239"/>
      <c r="II2" s="239"/>
      <c r="IJ2" s="239"/>
      <c r="IK2" s="239"/>
      <c r="IL2" s="239"/>
      <c r="IM2" s="239"/>
      <c r="IN2" s="239"/>
      <c r="IO2" s="239"/>
      <c r="IP2" s="239"/>
      <c r="IQ2" s="239"/>
      <c r="IR2" s="239"/>
      <c r="IS2" s="239"/>
      <c r="IT2" s="239"/>
      <c r="IU2" s="239"/>
      <c r="IV2" s="239"/>
      <c r="IW2" s="239"/>
    </row>
    <row r="3" customFormat="false" ht="57.95" hidden="false" customHeight="true" outlineLevel="0" collapsed="false">
      <c r="A3" s="245" t="s">
        <v>158</v>
      </c>
      <c r="B3" s="245" t="s">
        <v>173</v>
      </c>
      <c r="C3" s="245" t="s">
        <v>174</v>
      </c>
      <c r="D3" s="246" t="s">
        <v>175</v>
      </c>
      <c r="E3" s="247" t="s">
        <v>176</v>
      </c>
      <c r="F3" s="248" t="s">
        <v>177</v>
      </c>
      <c r="G3" s="245" t="s">
        <v>178</v>
      </c>
      <c r="H3" s="245" t="s">
        <v>179</v>
      </c>
      <c r="J3" s="246" t="s">
        <v>180</v>
      </c>
      <c r="K3" s="245" t="s">
        <v>181</v>
      </c>
      <c r="L3" s="246" t="s">
        <v>182</v>
      </c>
      <c r="M3" s="245" t="s">
        <v>183</v>
      </c>
      <c r="N3" s="245" t="s">
        <v>184</v>
      </c>
      <c r="O3" s="245" t="s">
        <v>185</v>
      </c>
      <c r="P3" s="245" t="s">
        <v>186</v>
      </c>
      <c r="Q3" s="249"/>
      <c r="R3" s="250" t="s">
        <v>187</v>
      </c>
      <c r="S3" s="250" t="s">
        <v>188</v>
      </c>
      <c r="T3" s="245" t="s">
        <v>189</v>
      </c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1"/>
      <c r="BZ3" s="251"/>
      <c r="CA3" s="251"/>
      <c r="CB3" s="251"/>
      <c r="CC3" s="251"/>
      <c r="CD3" s="251"/>
      <c r="CE3" s="251"/>
      <c r="CF3" s="251"/>
      <c r="CG3" s="251"/>
      <c r="CH3" s="251"/>
      <c r="CI3" s="251"/>
      <c r="CJ3" s="251"/>
      <c r="CK3" s="251"/>
      <c r="CL3" s="251"/>
      <c r="CM3" s="251"/>
      <c r="CN3" s="251"/>
      <c r="CO3" s="251"/>
      <c r="CP3" s="251"/>
      <c r="CQ3" s="251"/>
      <c r="CR3" s="251"/>
      <c r="CS3" s="251"/>
      <c r="CT3" s="251"/>
      <c r="CU3" s="251"/>
      <c r="CV3" s="251"/>
      <c r="CW3" s="251"/>
      <c r="CX3" s="251"/>
      <c r="CY3" s="251"/>
      <c r="CZ3" s="251"/>
      <c r="DA3" s="251"/>
      <c r="DB3" s="251"/>
      <c r="DC3" s="251"/>
      <c r="DD3" s="251"/>
      <c r="DE3" s="251"/>
      <c r="DF3" s="251"/>
      <c r="DG3" s="251"/>
      <c r="DH3" s="251"/>
      <c r="DI3" s="251"/>
      <c r="DJ3" s="251"/>
      <c r="DK3" s="251"/>
      <c r="DL3" s="251"/>
      <c r="DM3" s="251"/>
      <c r="DN3" s="251"/>
      <c r="DO3" s="251"/>
      <c r="DP3" s="251"/>
      <c r="DQ3" s="251"/>
      <c r="DR3" s="251"/>
      <c r="DS3" s="251"/>
      <c r="DT3" s="251"/>
      <c r="DU3" s="251"/>
      <c r="DV3" s="251"/>
      <c r="DW3" s="251"/>
      <c r="DX3" s="251"/>
      <c r="DY3" s="251"/>
      <c r="DZ3" s="251"/>
      <c r="EA3" s="251"/>
      <c r="EB3" s="251"/>
      <c r="EC3" s="251"/>
      <c r="ED3" s="251"/>
      <c r="EE3" s="251"/>
      <c r="EF3" s="251"/>
      <c r="EG3" s="251"/>
      <c r="EH3" s="251"/>
      <c r="EI3" s="251"/>
      <c r="EJ3" s="251"/>
      <c r="EK3" s="251"/>
      <c r="EL3" s="251"/>
      <c r="EM3" s="251"/>
      <c r="EN3" s="251"/>
      <c r="EO3" s="251"/>
      <c r="EP3" s="251"/>
      <c r="EQ3" s="251"/>
      <c r="ER3" s="251"/>
      <c r="ES3" s="251"/>
      <c r="ET3" s="251"/>
      <c r="EU3" s="251"/>
      <c r="EV3" s="251"/>
      <c r="EW3" s="251"/>
      <c r="EX3" s="251"/>
      <c r="EY3" s="251"/>
      <c r="EZ3" s="251"/>
      <c r="FA3" s="251"/>
      <c r="FB3" s="251"/>
      <c r="FC3" s="251"/>
      <c r="FD3" s="251"/>
      <c r="FE3" s="251"/>
      <c r="FF3" s="251"/>
      <c r="FG3" s="251"/>
      <c r="FH3" s="251"/>
      <c r="FI3" s="251"/>
      <c r="FJ3" s="251"/>
      <c r="FK3" s="251"/>
      <c r="FL3" s="251"/>
      <c r="FM3" s="251"/>
      <c r="FN3" s="251"/>
      <c r="FO3" s="251"/>
      <c r="FP3" s="251"/>
      <c r="FQ3" s="251"/>
      <c r="FR3" s="251"/>
      <c r="FS3" s="251"/>
      <c r="FT3" s="251"/>
      <c r="FU3" s="251"/>
      <c r="FV3" s="251"/>
      <c r="FW3" s="251"/>
      <c r="FX3" s="251"/>
      <c r="FY3" s="251"/>
      <c r="FZ3" s="251"/>
      <c r="GA3" s="251"/>
      <c r="GB3" s="251"/>
      <c r="GC3" s="251"/>
      <c r="GD3" s="251"/>
      <c r="GE3" s="251"/>
      <c r="GF3" s="251"/>
      <c r="GG3" s="251"/>
      <c r="GH3" s="251"/>
      <c r="GI3" s="251"/>
      <c r="GJ3" s="251"/>
      <c r="GK3" s="251"/>
      <c r="GL3" s="251"/>
      <c r="GM3" s="251"/>
      <c r="GN3" s="251"/>
      <c r="GO3" s="251"/>
      <c r="GP3" s="251"/>
      <c r="GQ3" s="251"/>
      <c r="GR3" s="251"/>
      <c r="GS3" s="251"/>
      <c r="GT3" s="251"/>
      <c r="GU3" s="251"/>
      <c r="GV3" s="251"/>
      <c r="GW3" s="251"/>
      <c r="GX3" s="251"/>
      <c r="GY3" s="251"/>
      <c r="GZ3" s="251"/>
      <c r="HA3" s="251"/>
      <c r="HB3" s="251"/>
      <c r="HC3" s="251"/>
      <c r="HD3" s="251"/>
      <c r="HE3" s="251"/>
      <c r="HF3" s="251"/>
      <c r="HG3" s="251"/>
      <c r="HH3" s="251"/>
      <c r="HI3" s="251"/>
      <c r="HJ3" s="251"/>
      <c r="HK3" s="251"/>
      <c r="HL3" s="251"/>
      <c r="HM3" s="251"/>
      <c r="HN3" s="251"/>
      <c r="HO3" s="251"/>
      <c r="HP3" s="251"/>
      <c r="HQ3" s="251"/>
      <c r="HR3" s="251"/>
      <c r="HS3" s="251"/>
      <c r="HT3" s="251"/>
      <c r="HU3" s="251"/>
      <c r="HV3" s="251"/>
      <c r="HW3" s="251"/>
      <c r="HX3" s="251"/>
      <c r="HY3" s="251"/>
      <c r="HZ3" s="251"/>
      <c r="IA3" s="251"/>
      <c r="IB3" s="251"/>
      <c r="IC3" s="251"/>
      <c r="ID3" s="251"/>
      <c r="IE3" s="251"/>
      <c r="IF3" s="251"/>
      <c r="IG3" s="251"/>
      <c r="IH3" s="251"/>
      <c r="II3" s="251"/>
      <c r="IJ3" s="251"/>
      <c r="IK3" s="251"/>
      <c r="IL3" s="251"/>
      <c r="IM3" s="251"/>
      <c r="IN3" s="251"/>
      <c r="IO3" s="251"/>
      <c r="IP3" s="251"/>
      <c r="IQ3" s="251"/>
      <c r="IR3" s="251"/>
      <c r="IS3" s="251"/>
      <c r="IT3" s="251"/>
      <c r="IU3" s="251"/>
      <c r="IV3" s="251"/>
      <c r="IW3" s="251"/>
    </row>
    <row r="4" customFormat="false" ht="13.5" hidden="false" customHeight="false" outlineLevel="0" collapsed="false">
      <c r="A4" s="252" t="n">
        <f aca="false">BaseloadMarkets!A6</f>
        <v>36708</v>
      </c>
      <c r="B4" s="253" t="n">
        <f aca="false">+EES!C5</f>
        <v>70000</v>
      </c>
      <c r="C4" s="254" t="n">
        <v>0</v>
      </c>
      <c r="D4" s="255" t="n">
        <v>0</v>
      </c>
      <c r="E4" s="255" t="n">
        <v>0</v>
      </c>
      <c r="F4" s="253" t="n">
        <v>0</v>
      </c>
      <c r="G4" s="253" t="n">
        <f aca="false">+BaseloadMarkets!DS6+OCCMarkets!CN6+SwingMarkets!DS6+EOLMarkets!ER6</f>
        <v>392105</v>
      </c>
      <c r="H4" s="256" t="n">
        <f aca="false">SUM(B4:G4)</f>
        <v>462105</v>
      </c>
      <c r="J4" s="255" t="n">
        <v>0</v>
      </c>
      <c r="K4" s="257" t="n">
        <v>0</v>
      </c>
      <c r="L4" s="255" t="n">
        <f aca="false">15710+11552+10333+5044</f>
        <v>42639</v>
      </c>
      <c r="M4" s="253" t="n">
        <f aca="false">Supplies!BG6+EOLSupplies!DT6</f>
        <v>424674</v>
      </c>
      <c r="N4" s="253" t="n">
        <v>0</v>
      </c>
      <c r="O4" s="256" t="n">
        <f aca="false">SUM(J4:N4)</f>
        <v>467313</v>
      </c>
      <c r="P4" s="258" t="n">
        <f aca="false">A4</f>
        <v>36708</v>
      </c>
      <c r="Q4" s="152"/>
      <c r="R4" s="259" t="n">
        <f aca="false">+O4-H4</f>
        <v>5208</v>
      </c>
      <c r="S4" s="259" t="n">
        <f aca="false">R4</f>
        <v>5208</v>
      </c>
      <c r="T4" s="260" t="n">
        <f aca="false">A4</f>
        <v>36708</v>
      </c>
      <c r="U4" s="208"/>
      <c r="V4" s="208" t="n">
        <f aca="false">M4+L4-B4-(+BaseloadMarkets!DT6+OCCMarkets!CO6+SwingMarkets!DT6+EOLMarkets!ER6)-EES!AO5</f>
        <v>0</v>
      </c>
      <c r="W4" s="208"/>
      <c r="X4" s="208" t="n">
        <f aca="false">+O4</f>
        <v>467313</v>
      </c>
      <c r="Y4" s="208"/>
      <c r="Z4" s="1" t="n">
        <v>0</v>
      </c>
      <c r="AA4" s="207"/>
      <c r="AB4" s="207"/>
      <c r="AC4" s="207"/>
      <c r="AD4" s="207" t="n">
        <v>0</v>
      </c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  <c r="IU4" s="207"/>
      <c r="IV4" s="207"/>
      <c r="IW4" s="207"/>
    </row>
    <row r="5" customFormat="false" ht="13.5" hidden="false" customHeight="false" outlineLevel="0" collapsed="false">
      <c r="A5" s="252" t="n">
        <f aca="false">BaseloadMarkets!A7</f>
        <v>36709</v>
      </c>
      <c r="B5" s="253" t="n">
        <f aca="false">+EES!C6</f>
        <v>70000</v>
      </c>
      <c r="C5" s="254" t="n">
        <v>0</v>
      </c>
      <c r="D5" s="255" t="n">
        <v>0</v>
      </c>
      <c r="E5" s="255" t="n">
        <v>0</v>
      </c>
      <c r="F5" s="253" t="n">
        <v>0</v>
      </c>
      <c r="G5" s="253" t="n">
        <f aca="false">+BaseloadMarkets!DS7+OCCMarkets!CN7+SwingMarkets!DS7+EOLMarkets!ER7</f>
        <v>392234</v>
      </c>
      <c r="H5" s="256" t="n">
        <f aca="false">SUM(B5:G5)</f>
        <v>462234</v>
      </c>
      <c r="J5" s="255" t="n">
        <v>0</v>
      </c>
      <c r="K5" s="257" t="n">
        <v>0</v>
      </c>
      <c r="L5" s="255" t="n">
        <f aca="false">16817+11845+12219+485</f>
        <v>41366</v>
      </c>
      <c r="M5" s="253" t="n">
        <f aca="false">Supplies!BG7+EOLSupplies!DT7</f>
        <v>392897</v>
      </c>
      <c r="N5" s="253" t="n">
        <v>0</v>
      </c>
      <c r="O5" s="256" t="n">
        <f aca="false">SUM(J5:N5)</f>
        <v>434263</v>
      </c>
      <c r="P5" s="258" t="n">
        <f aca="false">A5</f>
        <v>36709</v>
      </c>
      <c r="Q5" s="152"/>
      <c r="R5" s="259" t="n">
        <f aca="false">+O5-H5</f>
        <v>-27971</v>
      </c>
      <c r="S5" s="259" t="n">
        <f aca="false">S4+R5</f>
        <v>-22763</v>
      </c>
      <c r="T5" s="260" t="n">
        <f aca="false">A5</f>
        <v>36709</v>
      </c>
      <c r="U5" s="208"/>
      <c r="V5" s="208" t="n">
        <f aca="false">M5+L5-B5-(+BaseloadMarkets!DT7+OCCMarkets!CO7+SwingMarkets!DT7+EOLMarkets!ER7)-EES!AO6</f>
        <v>0</v>
      </c>
      <c r="W5" s="208"/>
      <c r="X5" s="208" t="n">
        <f aca="false">+X4+O5</f>
        <v>901576</v>
      </c>
      <c r="Y5" s="209"/>
      <c r="Z5" s="1" t="n">
        <v>0</v>
      </c>
      <c r="AA5" s="207"/>
      <c r="AB5" s="207"/>
      <c r="AC5" s="207"/>
      <c r="AD5" s="207" t="n">
        <v>0</v>
      </c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  <c r="IT5" s="207"/>
      <c r="IU5" s="207"/>
      <c r="IV5" s="207"/>
      <c r="IW5" s="207"/>
    </row>
    <row r="6" customFormat="false" ht="13.5" hidden="false" customHeight="false" outlineLevel="0" collapsed="false">
      <c r="A6" s="252" t="n">
        <f aca="false">BaseloadMarkets!A8</f>
        <v>36710</v>
      </c>
      <c r="B6" s="253" t="n">
        <f aca="false">+EES!C7</f>
        <v>70000</v>
      </c>
      <c r="C6" s="254" t="n">
        <v>0</v>
      </c>
      <c r="D6" s="255" t="n">
        <v>0</v>
      </c>
      <c r="E6" s="255" t="n">
        <v>0</v>
      </c>
      <c r="F6" s="253" t="n">
        <v>0</v>
      </c>
      <c r="G6" s="253" t="n">
        <f aca="false">+BaseloadMarkets!DS8+OCCMarkets!CN8+SwingMarkets!DS8+EOLMarkets!ER8</f>
        <v>395471</v>
      </c>
      <c r="H6" s="256" t="n">
        <f aca="false">SUM(B6:G6)</f>
        <v>465471</v>
      </c>
      <c r="J6" s="255" t="n">
        <v>0</v>
      </c>
      <c r="K6" s="257" t="n">
        <v>0</v>
      </c>
      <c r="L6" s="255" t="n">
        <f aca="false">12031+11819+3128+10511+1591</f>
        <v>39080</v>
      </c>
      <c r="M6" s="253" t="n">
        <f aca="false">Supplies!BG8+EOLSupplies!DT8</f>
        <v>421849</v>
      </c>
      <c r="N6" s="253" t="n">
        <v>0</v>
      </c>
      <c r="O6" s="256" t="n">
        <f aca="false">SUM(J6:N6)</f>
        <v>460929</v>
      </c>
      <c r="P6" s="258" t="n">
        <f aca="false">A6</f>
        <v>36710</v>
      </c>
      <c r="Q6" s="152"/>
      <c r="R6" s="259" t="n">
        <f aca="false">+O6-H6</f>
        <v>-4542</v>
      </c>
      <c r="S6" s="259" t="n">
        <f aca="false">S5+R6</f>
        <v>-27305</v>
      </c>
      <c r="T6" s="260" t="n">
        <f aca="false">A6</f>
        <v>36710</v>
      </c>
      <c r="U6" s="261"/>
      <c r="V6" s="208" t="n">
        <f aca="false">M6+L6-B6-(+BaseloadMarkets!DT8+OCCMarkets!CO8+SwingMarkets!DT8+EOLMarkets!ER8)-EES!AO7</f>
        <v>0</v>
      </c>
      <c r="W6" s="208"/>
      <c r="X6" s="208" t="n">
        <f aca="false">+X5+O6</f>
        <v>1362505</v>
      </c>
      <c r="Y6" s="261"/>
      <c r="Z6" s="1" t="n">
        <v>0</v>
      </c>
      <c r="AB6" s="207"/>
      <c r="AD6" s="207" t="n">
        <v>0</v>
      </c>
    </row>
    <row r="7" customFormat="false" ht="13.5" hidden="false" customHeight="false" outlineLevel="0" collapsed="false">
      <c r="A7" s="252" t="n">
        <f aca="false">BaseloadMarkets!A9</f>
        <v>36711</v>
      </c>
      <c r="B7" s="253" t="n">
        <f aca="false">+EES!C8</f>
        <v>70000</v>
      </c>
      <c r="C7" s="254" t="n">
        <v>0</v>
      </c>
      <c r="D7" s="255" t="n">
        <v>0</v>
      </c>
      <c r="E7" s="255" t="n">
        <v>0</v>
      </c>
      <c r="F7" s="253" t="n">
        <v>0</v>
      </c>
      <c r="G7" s="253" t="n">
        <f aca="false">+BaseloadMarkets!DS9+OCCMarkets!CN9+SwingMarkets!DS9+EOLMarkets!ER9</f>
        <v>396318</v>
      </c>
      <c r="H7" s="256" t="n">
        <f aca="false">SUM(B7:G7)</f>
        <v>466318</v>
      </c>
      <c r="J7" s="255" t="n">
        <v>0</v>
      </c>
      <c r="K7" s="257" t="n">
        <v>0</v>
      </c>
      <c r="L7" s="255" t="n">
        <f aca="false">28405+17458</f>
        <v>45863</v>
      </c>
      <c r="M7" s="253" t="n">
        <f aca="false">Supplies!BG9+EOLSupplies!DT9</f>
        <v>392800</v>
      </c>
      <c r="N7" s="253" t="n">
        <v>0</v>
      </c>
      <c r="O7" s="256" t="n">
        <f aca="false">SUM(J7:N7)</f>
        <v>438663</v>
      </c>
      <c r="P7" s="258" t="n">
        <f aca="false">A7</f>
        <v>36711</v>
      </c>
      <c r="Q7" s="152"/>
      <c r="R7" s="259" t="n">
        <f aca="false">+O7-H7</f>
        <v>-27655</v>
      </c>
      <c r="S7" s="259" t="n">
        <f aca="false">S6+R7</f>
        <v>-54960</v>
      </c>
      <c r="T7" s="260" t="n">
        <f aca="false">A7</f>
        <v>36711</v>
      </c>
      <c r="U7" s="261"/>
      <c r="V7" s="208" t="n">
        <f aca="false">M7+L7-B7-(+BaseloadMarkets!DT9+OCCMarkets!CO9+SwingMarkets!DT9+EOLMarkets!ER9)-EES!AO8</f>
        <v>0</v>
      </c>
      <c r="W7" s="208"/>
      <c r="X7" s="208" t="n">
        <f aca="false">+X6+O7</f>
        <v>1801168</v>
      </c>
      <c r="Y7" s="261"/>
      <c r="Z7" s="1" t="n">
        <f aca="false">ROUND(+V7/2,0)</f>
        <v>0</v>
      </c>
      <c r="AB7" s="207"/>
      <c r="AD7" s="207" t="n">
        <v>0</v>
      </c>
    </row>
    <row r="8" customFormat="false" ht="13.5" hidden="false" customHeight="false" outlineLevel="0" collapsed="false">
      <c r="A8" s="252" t="n">
        <f aca="false">BaseloadMarkets!A10</f>
        <v>36712</v>
      </c>
      <c r="B8" s="253" t="n">
        <f aca="false">+EES!C9</f>
        <v>70000</v>
      </c>
      <c r="C8" s="254" t="n">
        <v>0</v>
      </c>
      <c r="D8" s="255" t="n">
        <v>0</v>
      </c>
      <c r="E8" s="255" t="n">
        <v>0</v>
      </c>
      <c r="F8" s="253" t="n">
        <v>0</v>
      </c>
      <c r="G8" s="253" t="n">
        <f aca="false">+BaseloadMarkets!DS10+OCCMarkets!CN10+SwingMarkets!DS10+EOLMarkets!ER10</f>
        <v>405269</v>
      </c>
      <c r="H8" s="256" t="n">
        <f aca="false">SUM(B8:G8)</f>
        <v>475269</v>
      </c>
      <c r="J8" s="255" t="n">
        <v>0</v>
      </c>
      <c r="K8" s="257" t="n">
        <v>0</v>
      </c>
      <c r="L8" s="255" t="n">
        <f aca="false">26143+12499</f>
        <v>38642</v>
      </c>
      <c r="M8" s="253" t="n">
        <f aca="false">Supplies!BG10+EOLSupplies!DT10</f>
        <v>451478</v>
      </c>
      <c r="N8" s="253" t="n">
        <v>0</v>
      </c>
      <c r="O8" s="256" t="n">
        <f aca="false">SUM(J8:N8)</f>
        <v>490120</v>
      </c>
      <c r="P8" s="258" t="n">
        <f aca="false">A8</f>
        <v>36712</v>
      </c>
      <c r="Q8" s="157"/>
      <c r="R8" s="259" t="n">
        <f aca="false">+O8-H8</f>
        <v>14851</v>
      </c>
      <c r="S8" s="259" t="n">
        <f aca="false">S7+R8</f>
        <v>-40109</v>
      </c>
      <c r="T8" s="260" t="n">
        <f aca="false">A8</f>
        <v>36712</v>
      </c>
      <c r="U8" s="157"/>
      <c r="V8" s="208" t="n">
        <f aca="false">M8+L8-B8-(+BaseloadMarkets!DT10+OCCMarkets!CO10+SwingMarkets!DT10+EOLMarkets!ER10)-EES!AO9</f>
        <v>0</v>
      </c>
      <c r="W8" s="208"/>
      <c r="X8" s="208" t="n">
        <f aca="false">+X7+O8</f>
        <v>2291288</v>
      </c>
      <c r="Y8" s="157"/>
      <c r="Z8" s="1" t="n">
        <f aca="false">ROUND(+V8/2,0)</f>
        <v>0</v>
      </c>
      <c r="AA8" s="86"/>
      <c r="AB8" s="207"/>
      <c r="AC8" s="86"/>
      <c r="AD8" s="207" t="n">
        <v>0</v>
      </c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customFormat="false" ht="13.5" hidden="false" customHeight="false" outlineLevel="0" collapsed="false">
      <c r="A9" s="252" t="n">
        <f aca="false">BaseloadMarkets!A11</f>
        <v>36713</v>
      </c>
      <c r="B9" s="253" t="n">
        <f aca="false">+EES!C10</f>
        <v>70000</v>
      </c>
      <c r="C9" s="254" t="n">
        <v>0</v>
      </c>
      <c r="D9" s="255" t="n">
        <v>0</v>
      </c>
      <c r="E9" s="255" t="n">
        <v>0</v>
      </c>
      <c r="F9" s="253" t="n">
        <v>0</v>
      </c>
      <c r="G9" s="253" t="n">
        <f aca="false">+BaseloadMarkets!DS11+OCCMarkets!CN11+SwingMarkets!DS11+EOLMarkets!ER11</f>
        <v>397759</v>
      </c>
      <c r="H9" s="256" t="n">
        <f aca="false">SUM(B9:G9)</f>
        <v>467759</v>
      </c>
      <c r="J9" s="255" t="n">
        <v>0</v>
      </c>
      <c r="K9" s="257" t="n">
        <v>0</v>
      </c>
      <c r="L9" s="255" t="n">
        <f aca="false">6016+29356+24987</f>
        <v>60359</v>
      </c>
      <c r="M9" s="253" t="n">
        <f aca="false">Supplies!BG11+EOLSupplies!DT11</f>
        <v>508026</v>
      </c>
      <c r="N9" s="253" t="n">
        <v>0</v>
      </c>
      <c r="O9" s="256" t="n">
        <f aca="false">SUM(J9:N9)</f>
        <v>568385</v>
      </c>
      <c r="P9" s="258" t="n">
        <f aca="false">A9</f>
        <v>36713</v>
      </c>
      <c r="Q9" s="157"/>
      <c r="R9" s="259" t="n">
        <f aca="false">+O9-H9</f>
        <v>100626</v>
      </c>
      <c r="S9" s="259" t="n">
        <f aca="false">S8+R9</f>
        <v>60517</v>
      </c>
      <c r="T9" s="260" t="n">
        <f aca="false">A9</f>
        <v>36713</v>
      </c>
      <c r="U9" s="157"/>
      <c r="V9" s="208" t="n">
        <f aca="false">M9+L9-B9-(+BaseloadMarkets!DT11+OCCMarkets!CO11+SwingMarkets!DT11+EOLMarkets!ER11)-EES!AO10</f>
        <v>0</v>
      </c>
      <c r="W9" s="208"/>
      <c r="X9" s="208" t="n">
        <f aca="false">+X8+O9</f>
        <v>2859673</v>
      </c>
      <c r="Y9" s="157"/>
      <c r="Z9" s="1" t="n">
        <f aca="false">ROUND(+V9/2,0)</f>
        <v>0</v>
      </c>
      <c r="AA9" s="86"/>
      <c r="AB9" s="207"/>
      <c r="AC9" s="86"/>
      <c r="AD9" s="207" t="n">
        <v>0</v>
      </c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customFormat="false" ht="13.5" hidden="false" customHeight="false" outlineLevel="0" collapsed="false">
      <c r="A10" s="252" t="n">
        <f aca="false">BaseloadMarkets!A12</f>
        <v>36714</v>
      </c>
      <c r="B10" s="253" t="n">
        <f aca="false">+EES!C11</f>
        <v>70000</v>
      </c>
      <c r="C10" s="254" t="n">
        <v>0</v>
      </c>
      <c r="D10" s="255" t="n">
        <v>0</v>
      </c>
      <c r="E10" s="255" t="n">
        <v>0</v>
      </c>
      <c r="F10" s="253" t="n">
        <v>0</v>
      </c>
      <c r="G10" s="253" t="n">
        <f aca="false">+BaseloadMarkets!DS12+OCCMarkets!CN12+SwingMarkets!DS12+EOLMarkets!ER12</f>
        <v>454008</v>
      </c>
      <c r="H10" s="256" t="n">
        <f aca="false">SUM(B10:G10)</f>
        <v>524008</v>
      </c>
      <c r="J10" s="255" t="n">
        <v>0</v>
      </c>
      <c r="K10" s="257" t="n">
        <v>0</v>
      </c>
      <c r="L10" s="255" t="n">
        <f aca="false">22801+6018+20314</f>
        <v>49133</v>
      </c>
      <c r="M10" s="253" t="n">
        <f aca="false">Supplies!BG12+EOLSupplies!DT12</f>
        <v>429801</v>
      </c>
      <c r="N10" s="253" t="n">
        <v>0</v>
      </c>
      <c r="O10" s="256" t="n">
        <f aca="false">SUM(J10:N10)</f>
        <v>478934</v>
      </c>
      <c r="P10" s="258" t="n">
        <f aca="false">A10</f>
        <v>36714</v>
      </c>
      <c r="Q10" s="157"/>
      <c r="R10" s="259" t="n">
        <f aca="false">+O10-H10</f>
        <v>-45074</v>
      </c>
      <c r="S10" s="259" t="n">
        <f aca="false">S9+R10</f>
        <v>15443</v>
      </c>
      <c r="T10" s="260" t="n">
        <f aca="false">A10</f>
        <v>36714</v>
      </c>
      <c r="U10" s="157"/>
      <c r="V10" s="208" t="n">
        <f aca="false">M10+L10-B10-(+BaseloadMarkets!DT12+OCCMarkets!CO12+SwingMarkets!DT12+EOLMarkets!ER12)-EES!AO11</f>
        <v>0</v>
      </c>
      <c r="W10" s="208"/>
      <c r="X10" s="208" t="n">
        <f aca="false">+X9+O10</f>
        <v>3338607</v>
      </c>
      <c r="Y10" s="86"/>
      <c r="Z10" s="1" t="n">
        <f aca="false">ROUND(+V10/2,0)</f>
        <v>0</v>
      </c>
      <c r="AA10" s="86"/>
      <c r="AB10" s="207"/>
      <c r="AC10" s="86"/>
      <c r="AD10" s="207" t="n">
        <v>0</v>
      </c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customFormat="false" ht="13.5" hidden="false" customHeight="false" outlineLevel="0" collapsed="false">
      <c r="A11" s="252" t="n">
        <f aca="false">BaseloadMarkets!A13</f>
        <v>36715</v>
      </c>
      <c r="B11" s="253" t="n">
        <f aca="false">+EES!C12</f>
        <v>70000</v>
      </c>
      <c r="C11" s="254" t="n">
        <v>0</v>
      </c>
      <c r="D11" s="255" t="n">
        <v>0</v>
      </c>
      <c r="E11" s="255" t="n">
        <v>0</v>
      </c>
      <c r="F11" s="253" t="n">
        <v>0</v>
      </c>
      <c r="G11" s="253" t="n">
        <f aca="false">+BaseloadMarkets!DS13+OCCMarkets!CN13+SwingMarkets!DS13+EOLMarkets!ER13</f>
        <v>392610</v>
      </c>
      <c r="H11" s="256" t="n">
        <f aca="false">SUM(B11:G11)</f>
        <v>462610</v>
      </c>
      <c r="J11" s="255" t="n">
        <v>0</v>
      </c>
      <c r="K11" s="257" t="n">
        <v>0</v>
      </c>
      <c r="L11" s="255" t="n">
        <f aca="false">31464+5346+20000</f>
        <v>56810</v>
      </c>
      <c r="M11" s="253" t="n">
        <f aca="false">Supplies!BG13+EOLSupplies!DT13</f>
        <v>362846</v>
      </c>
      <c r="N11" s="253" t="n">
        <v>0</v>
      </c>
      <c r="O11" s="256" t="n">
        <f aca="false">SUM(J11:N11)</f>
        <v>419656</v>
      </c>
      <c r="P11" s="258" t="n">
        <f aca="false">A11</f>
        <v>36715</v>
      </c>
      <c r="Q11" s="157"/>
      <c r="R11" s="259" t="n">
        <f aca="false">+O11-H11</f>
        <v>-42954</v>
      </c>
      <c r="S11" s="259" t="n">
        <f aca="false">S10+R11</f>
        <v>-27511</v>
      </c>
      <c r="T11" s="260" t="n">
        <f aca="false">A11</f>
        <v>36715</v>
      </c>
      <c r="U11" s="157"/>
      <c r="V11" s="208" t="n">
        <f aca="false">M11+L11-B11-(+BaseloadMarkets!DT13+OCCMarkets!CO13+SwingMarkets!DT13+EOLMarkets!ER13)-EES!AO12</f>
        <v>0</v>
      </c>
      <c r="W11" s="208"/>
      <c r="X11" s="208" t="n">
        <f aca="false">+X10+O11</f>
        <v>3758263</v>
      </c>
      <c r="Y11" s="86"/>
      <c r="Z11" s="1" t="n">
        <f aca="false">ROUND(+V11/2,0)</f>
        <v>0</v>
      </c>
      <c r="AA11" s="86"/>
      <c r="AB11" s="207"/>
      <c r="AC11" s="86"/>
      <c r="AD11" s="207" t="n">
        <v>0</v>
      </c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customFormat="false" ht="13.5" hidden="false" customHeight="false" outlineLevel="0" collapsed="false">
      <c r="A12" s="252" t="n">
        <f aca="false">BaseloadMarkets!A14</f>
        <v>36716</v>
      </c>
      <c r="B12" s="253" t="n">
        <f aca="false">+EES!C13</f>
        <v>70000</v>
      </c>
      <c r="C12" s="254" t="n">
        <v>0</v>
      </c>
      <c r="D12" s="255" t="n">
        <v>0</v>
      </c>
      <c r="E12" s="255" t="n">
        <v>0</v>
      </c>
      <c r="F12" s="253" t="n">
        <v>0</v>
      </c>
      <c r="G12" s="253" t="n">
        <f aca="false">+BaseloadMarkets!DS14+OCCMarkets!CN14+SwingMarkets!DS14+EOLMarkets!ER14</f>
        <v>400130</v>
      </c>
      <c r="H12" s="256" t="n">
        <f aca="false">SUM(B12:G12)</f>
        <v>470130</v>
      </c>
      <c r="J12" s="255" t="n">
        <v>0</v>
      </c>
      <c r="K12" s="257" t="n">
        <v>0</v>
      </c>
      <c r="L12" s="255" t="n">
        <f aca="false">35200+20000</f>
        <v>55200</v>
      </c>
      <c r="M12" s="253" t="n">
        <f aca="false">Supplies!BG14+EOLSupplies!DT14</f>
        <v>353970</v>
      </c>
      <c r="N12" s="253" t="n">
        <v>0</v>
      </c>
      <c r="O12" s="256" t="n">
        <f aca="false">SUM(J12:N12)</f>
        <v>409170</v>
      </c>
      <c r="P12" s="258" t="n">
        <f aca="false">A12</f>
        <v>36716</v>
      </c>
      <c r="Q12" s="152"/>
      <c r="R12" s="259" t="n">
        <f aca="false">+O12-H12</f>
        <v>-60960</v>
      </c>
      <c r="S12" s="259" t="n">
        <f aca="false">S11+R12</f>
        <v>-88471</v>
      </c>
      <c r="T12" s="260" t="n">
        <f aca="false">A12</f>
        <v>36716</v>
      </c>
      <c r="U12" s="261"/>
      <c r="V12" s="208" t="n">
        <f aca="false">M12+L12-B12-(+BaseloadMarkets!DT14+OCCMarkets!CO14+SwingMarkets!DT14+EOLMarkets!ER14)-EES!AO13</f>
        <v>0</v>
      </c>
      <c r="W12" s="208"/>
      <c r="X12" s="208" t="n">
        <f aca="false">+X11+O12</f>
        <v>4167433</v>
      </c>
      <c r="Z12" s="1" t="n">
        <f aca="false">ROUND(+V12/2,0)</f>
        <v>0</v>
      </c>
      <c r="AB12" s="207"/>
      <c r="AD12" s="207" t="n">
        <v>0</v>
      </c>
    </row>
    <row r="13" customFormat="false" ht="13.5" hidden="false" customHeight="false" outlineLevel="0" collapsed="false">
      <c r="A13" s="252" t="n">
        <f aca="false">BaseloadMarkets!A15</f>
        <v>36717</v>
      </c>
      <c r="B13" s="253" t="n">
        <f aca="false">+EES!C14</f>
        <v>70000</v>
      </c>
      <c r="C13" s="254" t="n">
        <v>0</v>
      </c>
      <c r="D13" s="255" t="n">
        <v>0</v>
      </c>
      <c r="E13" s="255" t="n">
        <v>0</v>
      </c>
      <c r="F13" s="253" t="n">
        <v>0</v>
      </c>
      <c r="G13" s="253" t="n">
        <f aca="false">+BaseloadMarkets!DS15+OCCMarkets!CN15+SwingMarkets!DS15+EOLMarkets!ER15</f>
        <v>401692</v>
      </c>
      <c r="H13" s="256" t="n">
        <f aca="false">SUM(B13:G13)</f>
        <v>471692</v>
      </c>
      <c r="J13" s="255" t="n">
        <v>0</v>
      </c>
      <c r="K13" s="257" t="n">
        <v>0</v>
      </c>
      <c r="L13" s="255" t="n">
        <f aca="false">33209+20000</f>
        <v>53209</v>
      </c>
      <c r="M13" s="253" t="n">
        <f aca="false">Supplies!BG15+EOLSupplies!DT15</f>
        <v>390626</v>
      </c>
      <c r="N13" s="253" t="n">
        <v>0</v>
      </c>
      <c r="O13" s="256" t="n">
        <f aca="false">SUM(J13:N13)</f>
        <v>443835</v>
      </c>
      <c r="P13" s="258" t="n">
        <f aca="false">A13</f>
        <v>36717</v>
      </c>
      <c r="Q13" s="152"/>
      <c r="R13" s="259" t="n">
        <f aca="false">+O13-H13</f>
        <v>-27857</v>
      </c>
      <c r="S13" s="259" t="n">
        <f aca="false">S12+R13</f>
        <v>-116328</v>
      </c>
      <c r="T13" s="260" t="n">
        <f aca="false">A13</f>
        <v>36717</v>
      </c>
      <c r="U13" s="261"/>
      <c r="V13" s="208" t="n">
        <f aca="false">M13+L13-B13-(+BaseloadMarkets!DT15+OCCMarkets!CO15+SwingMarkets!DT15+EOLMarkets!ER15)-EES!AO14</f>
        <v>0</v>
      </c>
      <c r="W13" s="208"/>
      <c r="X13" s="208" t="n">
        <f aca="false">+X12+O13</f>
        <v>4611268</v>
      </c>
      <c r="Z13" s="1" t="n">
        <f aca="false">ROUND(+V13/2,0)</f>
        <v>0</v>
      </c>
      <c r="AB13" s="207"/>
      <c r="AD13" s="207" t="n">
        <v>0</v>
      </c>
    </row>
    <row r="14" customFormat="false" ht="13.5" hidden="false" customHeight="false" outlineLevel="0" collapsed="false">
      <c r="A14" s="252" t="n">
        <f aca="false">BaseloadMarkets!A16</f>
        <v>36718</v>
      </c>
      <c r="B14" s="253" t="n">
        <f aca="false">+EES!C15</f>
        <v>70000</v>
      </c>
      <c r="C14" s="254" t="n">
        <v>0</v>
      </c>
      <c r="D14" s="255" t="n">
        <v>0</v>
      </c>
      <c r="E14" s="255" t="n">
        <v>0</v>
      </c>
      <c r="F14" s="253" t="n">
        <v>0</v>
      </c>
      <c r="G14" s="253" t="n">
        <f aca="false">+BaseloadMarkets!DS16+OCCMarkets!CN16+SwingMarkets!DS16+EOLMarkets!ER16</f>
        <v>618421</v>
      </c>
      <c r="H14" s="256" t="n">
        <f aca="false">SUM(B14:G14)</f>
        <v>688421</v>
      </c>
      <c r="J14" s="255" t="n">
        <v>0</v>
      </c>
      <c r="K14" s="257" t="n">
        <v>0</v>
      </c>
      <c r="L14" s="255" t="n">
        <f aca="false">21558+31032-1</f>
        <v>52589</v>
      </c>
      <c r="M14" s="253" t="n">
        <f aca="false">Supplies!BG16+EOLSupplies!DT16</f>
        <v>672968</v>
      </c>
      <c r="N14" s="253" t="n">
        <v>0</v>
      </c>
      <c r="O14" s="256" t="n">
        <f aca="false">SUM(J14:N14)</f>
        <v>725557</v>
      </c>
      <c r="P14" s="258" t="n">
        <f aca="false">A14</f>
        <v>36718</v>
      </c>
      <c r="Q14" s="152"/>
      <c r="R14" s="259" t="n">
        <f aca="false">+O14-H14</f>
        <v>37136</v>
      </c>
      <c r="S14" s="259" t="n">
        <f aca="false">S13+R14</f>
        <v>-79192</v>
      </c>
      <c r="T14" s="260" t="n">
        <f aca="false">A14</f>
        <v>36718</v>
      </c>
      <c r="U14" s="261"/>
      <c r="V14" s="208" t="n">
        <f aca="false">M14+L14-B14-(+BaseloadMarkets!DT16+OCCMarkets!CO16+SwingMarkets!DT16+EOLMarkets!ER16)-EES!AO15</f>
        <v>0</v>
      </c>
      <c r="W14" s="208"/>
      <c r="X14" s="208" t="n">
        <f aca="false">+X13+O14</f>
        <v>5336825</v>
      </c>
      <c r="Z14" s="1" t="n">
        <f aca="false">ROUND(+V14/2,0)</f>
        <v>0</v>
      </c>
      <c r="AB14" s="207"/>
      <c r="AD14" s="207" t="n">
        <v>0</v>
      </c>
    </row>
    <row r="15" customFormat="false" ht="13.5" hidden="false" customHeight="false" outlineLevel="0" collapsed="false">
      <c r="A15" s="252" t="n">
        <f aca="false">BaseloadMarkets!A17</f>
        <v>36719</v>
      </c>
      <c r="B15" s="253" t="n">
        <f aca="false">+EES!C16</f>
        <v>70000</v>
      </c>
      <c r="C15" s="254" t="n">
        <v>0</v>
      </c>
      <c r="D15" s="255" t="n">
        <v>0</v>
      </c>
      <c r="E15" s="255" t="n">
        <v>0</v>
      </c>
      <c r="F15" s="253" t="n">
        <v>0</v>
      </c>
      <c r="G15" s="253" t="n">
        <f aca="false">+BaseloadMarkets!DS17+OCCMarkets!CN17+SwingMarkets!DS17+EOLMarkets!ER17</f>
        <v>514661</v>
      </c>
      <c r="H15" s="256" t="n">
        <f aca="false">SUM(B15:G15)</f>
        <v>584661</v>
      </c>
      <c r="J15" s="255" t="n">
        <v>0</v>
      </c>
      <c r="K15" s="257" t="n">
        <v>0</v>
      </c>
      <c r="L15" s="255" t="n">
        <f aca="false">20000+16361</f>
        <v>36361</v>
      </c>
      <c r="M15" s="253" t="n">
        <f aca="false">Supplies!BG17+EOLSupplies!DT17</f>
        <v>516259</v>
      </c>
      <c r="N15" s="253" t="n">
        <v>0</v>
      </c>
      <c r="O15" s="256" t="n">
        <f aca="false">SUM(J15:N15)</f>
        <v>552620</v>
      </c>
      <c r="P15" s="258" t="n">
        <f aca="false">A15</f>
        <v>36719</v>
      </c>
      <c r="Q15" s="157"/>
      <c r="R15" s="259" t="n">
        <f aca="false">+O15-H15</f>
        <v>-32041</v>
      </c>
      <c r="S15" s="262" t="n">
        <f aca="false">S14+R15</f>
        <v>-111233</v>
      </c>
      <c r="T15" s="260" t="n">
        <f aca="false">A15</f>
        <v>36719</v>
      </c>
      <c r="U15" s="29"/>
      <c r="V15" s="208" t="n">
        <f aca="false">M15+L15-B15-(+BaseloadMarkets!DT17+OCCMarkets!CO17+SwingMarkets!DT17+EOLMarkets!ER17)-EES!AO16</f>
        <v>0</v>
      </c>
      <c r="W15" s="208"/>
      <c r="X15" s="208" t="n">
        <f aca="false">+X14+O15</f>
        <v>5889445</v>
      </c>
      <c r="Y15" s="1"/>
      <c r="Z15" s="1" t="n">
        <f aca="false">ROUND(+V15/2,0)</f>
        <v>0</v>
      </c>
      <c r="AA15" s="1"/>
      <c r="AB15" s="207"/>
      <c r="AC15" s="1"/>
      <c r="AD15" s="207" t="n">
        <v>0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3.5" hidden="false" customHeight="false" outlineLevel="0" collapsed="false">
      <c r="A16" s="252" t="n">
        <f aca="false">BaseloadMarkets!A18</f>
        <v>36720</v>
      </c>
      <c r="B16" s="253" t="n">
        <f aca="false">+EES!C17</f>
        <v>70000</v>
      </c>
      <c r="C16" s="254" t="n">
        <v>0</v>
      </c>
      <c r="D16" s="255" t="n">
        <v>0</v>
      </c>
      <c r="E16" s="255" t="n">
        <v>0</v>
      </c>
      <c r="F16" s="253" t="n">
        <v>0</v>
      </c>
      <c r="G16" s="253" t="n">
        <f aca="false">+BaseloadMarkets!DS18+OCCMarkets!CN18+SwingMarkets!DS18+EOLMarkets!ER18</f>
        <v>551252</v>
      </c>
      <c r="H16" s="256" t="n">
        <f aca="false">SUM(B16:G16)</f>
        <v>621252</v>
      </c>
      <c r="J16" s="255" t="n">
        <v>0</v>
      </c>
      <c r="K16" s="257" t="n">
        <v>0</v>
      </c>
      <c r="L16" s="255" t="n">
        <f aca="false">43912+19234</f>
        <v>63146</v>
      </c>
      <c r="M16" s="253" t="n">
        <f aca="false">Supplies!BG18+EOLSupplies!DT18</f>
        <v>622929</v>
      </c>
      <c r="N16" s="253" t="n">
        <v>0</v>
      </c>
      <c r="O16" s="256" t="n">
        <f aca="false">SUM(J16:N16)</f>
        <v>686075</v>
      </c>
      <c r="P16" s="258" t="n">
        <f aca="false">A16</f>
        <v>36720</v>
      </c>
      <c r="Q16" s="152"/>
      <c r="R16" s="259" t="n">
        <f aca="false">+O16-H16</f>
        <v>64823</v>
      </c>
      <c r="S16" s="259" t="n">
        <f aca="false">S15+R16</f>
        <v>-46410</v>
      </c>
      <c r="T16" s="260" t="n">
        <f aca="false">A16</f>
        <v>36720</v>
      </c>
      <c r="U16" s="29"/>
      <c r="V16" s="208" t="n">
        <f aca="false">M16+L16-B16-(+BaseloadMarkets!DT18+OCCMarkets!CO18+SwingMarkets!DT18+EOLMarkets!ER18)-EES!AO17</f>
        <v>0</v>
      </c>
      <c r="W16" s="208"/>
      <c r="X16" s="208" t="n">
        <f aca="false">+X15+O16</f>
        <v>6575520</v>
      </c>
      <c r="Y16" s="1"/>
      <c r="Z16" s="1" t="n">
        <f aca="false">ROUND(+V16/2,0)</f>
        <v>0</v>
      </c>
      <c r="AA16" s="1"/>
      <c r="AB16" s="207"/>
      <c r="AC16" s="1"/>
      <c r="AD16" s="207" t="n">
        <v>0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3.5" hidden="false" customHeight="false" outlineLevel="0" collapsed="false">
      <c r="A17" s="252" t="n">
        <f aca="false">BaseloadMarkets!A19</f>
        <v>36721</v>
      </c>
      <c r="B17" s="253" t="n">
        <f aca="false">+EES!C18</f>
        <v>70000</v>
      </c>
      <c r="C17" s="254" t="n">
        <v>0</v>
      </c>
      <c r="D17" s="255" t="n">
        <v>0</v>
      </c>
      <c r="E17" s="255" t="n">
        <v>0</v>
      </c>
      <c r="F17" s="253" t="n">
        <v>0</v>
      </c>
      <c r="G17" s="253" t="n">
        <f aca="false">+BaseloadMarkets!DS19+OCCMarkets!CN19+SwingMarkets!DS19+EOLMarkets!ER19</f>
        <v>450602</v>
      </c>
      <c r="H17" s="256" t="n">
        <f aca="false">SUM(B17:G17)</f>
        <v>520602</v>
      </c>
      <c r="J17" s="255" t="n">
        <v>0</v>
      </c>
      <c r="K17" s="257" t="n">
        <v>0</v>
      </c>
      <c r="L17" s="255" t="n">
        <f aca="false">16702+60726</f>
        <v>77428</v>
      </c>
      <c r="M17" s="253" t="n">
        <f aca="false">Supplies!BG19+EOLSupplies!DT19</f>
        <v>497822</v>
      </c>
      <c r="N17" s="253" t="n">
        <v>0</v>
      </c>
      <c r="O17" s="256" t="n">
        <f aca="false">SUM(J17:N17)</f>
        <v>575250</v>
      </c>
      <c r="P17" s="258" t="n">
        <f aca="false">A17</f>
        <v>36721</v>
      </c>
      <c r="Q17" s="157"/>
      <c r="R17" s="259" t="n">
        <f aca="false">+O17-H17</f>
        <v>54648</v>
      </c>
      <c r="S17" s="262" t="n">
        <f aca="false">S16+R17</f>
        <v>8238</v>
      </c>
      <c r="T17" s="260" t="n">
        <f aca="false">A17</f>
        <v>36721</v>
      </c>
      <c r="U17" s="29"/>
      <c r="V17" s="208" t="n">
        <f aca="false">M17+L17-B17-(+BaseloadMarkets!DT19+OCCMarkets!CO19+SwingMarkets!DT19+EOLMarkets!ER19)-EES!AO18</f>
        <v>0</v>
      </c>
      <c r="W17" s="208"/>
      <c r="X17" s="208" t="n">
        <f aca="false">+X16+O17</f>
        <v>7150770</v>
      </c>
      <c r="Y17" s="1"/>
      <c r="Z17" s="1" t="n">
        <f aca="false">ROUND(+V17/2,0)</f>
        <v>0</v>
      </c>
      <c r="AA17" s="1"/>
      <c r="AB17" s="207"/>
      <c r="AC17" s="1"/>
      <c r="AD17" s="207" t="n">
        <v>0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3.5" hidden="false" customHeight="false" outlineLevel="0" collapsed="false">
      <c r="A18" s="252" t="n">
        <f aca="false">BaseloadMarkets!A20</f>
        <v>36722</v>
      </c>
      <c r="B18" s="253" t="n">
        <f aca="false">+EES!C19</f>
        <v>70000</v>
      </c>
      <c r="C18" s="254" t="n">
        <v>0</v>
      </c>
      <c r="D18" s="255" t="n">
        <v>0</v>
      </c>
      <c r="E18" s="255" t="n">
        <v>0</v>
      </c>
      <c r="F18" s="253" t="n">
        <v>0</v>
      </c>
      <c r="G18" s="253" t="n">
        <f aca="false">+BaseloadMarkets!DS20+OCCMarkets!CN20+SwingMarkets!DS20+EOLMarkets!ER20</f>
        <v>348480</v>
      </c>
      <c r="H18" s="256" t="n">
        <f aca="false">SUM(B18:G18)</f>
        <v>418480</v>
      </c>
      <c r="J18" s="255" t="n">
        <v>0</v>
      </c>
      <c r="K18" s="257" t="n">
        <v>0</v>
      </c>
      <c r="L18" s="255" t="n">
        <f aca="false">28648+25868</f>
        <v>54516</v>
      </c>
      <c r="M18" s="253" t="n">
        <f aca="false">Supplies!BG20+EOLSupplies!DT20</f>
        <v>332711</v>
      </c>
      <c r="N18" s="253" t="n">
        <v>0</v>
      </c>
      <c r="O18" s="256" t="n">
        <f aca="false">SUM(J18:N18)</f>
        <v>387227</v>
      </c>
      <c r="P18" s="258" t="n">
        <f aca="false">A18</f>
        <v>36722</v>
      </c>
      <c r="Q18" s="157"/>
      <c r="R18" s="259" t="n">
        <f aca="false">+O18-H18</f>
        <v>-31253</v>
      </c>
      <c r="S18" s="262" t="n">
        <f aca="false">S17+R18</f>
        <v>-23015</v>
      </c>
      <c r="T18" s="260" t="n">
        <f aca="false">A18</f>
        <v>36722</v>
      </c>
      <c r="U18" s="29"/>
      <c r="V18" s="208" t="n">
        <f aca="false">M18+L18-B18-(+BaseloadMarkets!DT20+OCCMarkets!CO20+SwingMarkets!DT20+EOLMarkets!ER20)-EES!AO19</f>
        <v>0</v>
      </c>
      <c r="W18" s="208"/>
      <c r="X18" s="208" t="n">
        <f aca="false">+X17+O18</f>
        <v>7537997</v>
      </c>
      <c r="Y18" s="29"/>
      <c r="Z18" s="1" t="n">
        <f aca="false">ROUND(+V18/2,0)</f>
        <v>0</v>
      </c>
      <c r="AA18" s="1"/>
      <c r="AB18" s="207"/>
      <c r="AC18" s="1"/>
      <c r="AD18" s="207" t="n">
        <v>0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3.5" hidden="false" customHeight="false" outlineLevel="0" collapsed="false">
      <c r="A19" s="252" t="n">
        <f aca="false">BaseloadMarkets!A21</f>
        <v>36723</v>
      </c>
      <c r="B19" s="253" t="n">
        <f aca="false">+EES!C20</f>
        <v>70000</v>
      </c>
      <c r="C19" s="254" t="n">
        <v>0</v>
      </c>
      <c r="D19" s="255" t="n">
        <v>0</v>
      </c>
      <c r="E19" s="255" t="n">
        <v>0</v>
      </c>
      <c r="F19" s="253" t="n">
        <v>0</v>
      </c>
      <c r="G19" s="253" t="n">
        <f aca="false">+BaseloadMarkets!DS21+OCCMarkets!CN21+SwingMarkets!DS21+EOLMarkets!ER21</f>
        <v>342354</v>
      </c>
      <c r="H19" s="256" t="n">
        <f aca="false">SUM(B19:G19)</f>
        <v>412354</v>
      </c>
      <c r="J19" s="255" t="n">
        <v>0</v>
      </c>
      <c r="K19" s="257" t="n">
        <v>0</v>
      </c>
      <c r="L19" s="255" t="n">
        <f aca="false">28648+24488</f>
        <v>53136</v>
      </c>
      <c r="M19" s="253" t="n">
        <f aca="false">Supplies!BG21+EOLSupplies!DT21</f>
        <v>332031</v>
      </c>
      <c r="N19" s="253" t="n">
        <v>0</v>
      </c>
      <c r="O19" s="256" t="n">
        <f aca="false">SUM(J19:N19)</f>
        <v>385167</v>
      </c>
      <c r="P19" s="258" t="n">
        <f aca="false">A19</f>
        <v>36723</v>
      </c>
      <c r="Q19" s="157"/>
      <c r="R19" s="259" t="n">
        <f aca="false">+O19-H19</f>
        <v>-27187</v>
      </c>
      <c r="S19" s="262" t="n">
        <f aca="false">S18+R19</f>
        <v>-50202</v>
      </c>
      <c r="T19" s="260" t="n">
        <f aca="false">A19</f>
        <v>36723</v>
      </c>
      <c r="U19" s="33"/>
      <c r="V19" s="208" t="n">
        <f aca="false">M19+L19-B19-(+BaseloadMarkets!DT21+OCCMarkets!CO21+SwingMarkets!DT21+EOLMarkets!ER21)-EES!AO20</f>
        <v>0</v>
      </c>
      <c r="W19" s="208"/>
      <c r="X19" s="208" t="n">
        <f aca="false">+X18+O19</f>
        <v>7923164</v>
      </c>
      <c r="Y19" s="29"/>
      <c r="Z19" s="1" t="n">
        <f aca="false">ROUND(+V19/2,0)</f>
        <v>0</v>
      </c>
      <c r="AA19" s="1"/>
      <c r="AB19" s="207"/>
      <c r="AC19" s="1"/>
      <c r="AD19" s="207" t="n">
        <v>0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3.5" hidden="false" customHeight="false" outlineLevel="0" collapsed="false">
      <c r="A20" s="252" t="n">
        <f aca="false">BaseloadMarkets!A22</f>
        <v>36724</v>
      </c>
      <c r="B20" s="253" t="n">
        <f aca="false">+EES!C21</f>
        <v>70000</v>
      </c>
      <c r="C20" s="254" t="n">
        <v>0</v>
      </c>
      <c r="D20" s="255" t="n">
        <v>0</v>
      </c>
      <c r="E20" s="255" t="n">
        <v>0</v>
      </c>
      <c r="F20" s="253" t="n">
        <v>0</v>
      </c>
      <c r="G20" s="253" t="n">
        <f aca="false">+BaseloadMarkets!DS22+OCCMarkets!CN22+SwingMarkets!DS22+EOLMarkets!ER22</f>
        <v>348413</v>
      </c>
      <c r="H20" s="256" t="n">
        <f aca="false">SUM(B20:G20)</f>
        <v>418413</v>
      </c>
      <c r="J20" s="255" t="n">
        <v>0</v>
      </c>
      <c r="K20" s="257" t="n">
        <v>0</v>
      </c>
      <c r="L20" s="255" t="n">
        <f aca="false">28648+23720</f>
        <v>52368</v>
      </c>
      <c r="M20" s="253" t="n">
        <f aca="false">Supplies!BG22+EOLSupplies!DT22</f>
        <v>374986</v>
      </c>
      <c r="N20" s="253" t="n">
        <v>0</v>
      </c>
      <c r="O20" s="256" t="n">
        <f aca="false">SUM(J20:N20)</f>
        <v>427354</v>
      </c>
      <c r="P20" s="258" t="n">
        <f aca="false">A20</f>
        <v>36724</v>
      </c>
      <c r="Q20" s="152"/>
      <c r="R20" s="259" t="n">
        <f aca="false">+O20-H20</f>
        <v>8941</v>
      </c>
      <c r="S20" s="259" t="n">
        <f aca="false">S19+R20</f>
        <v>-41261</v>
      </c>
      <c r="T20" s="260" t="n">
        <f aca="false">A20</f>
        <v>36724</v>
      </c>
      <c r="U20" s="261"/>
      <c r="V20" s="208" t="n">
        <f aca="false">M20+L20-B20-(+BaseloadMarkets!DT22+OCCMarkets!CO22+SwingMarkets!DT22+EOLMarkets!ER22)-EES!AO21</f>
        <v>0</v>
      </c>
      <c r="W20" s="208"/>
      <c r="X20" s="208" t="n">
        <f aca="false">+X19+O20</f>
        <v>8350518</v>
      </c>
      <c r="Y20" s="29"/>
      <c r="Z20" s="1" t="n">
        <f aca="false">ROUND(+V20/2,0)</f>
        <v>0</v>
      </c>
      <c r="AA20" s="1"/>
      <c r="AB20" s="207"/>
      <c r="AD20" s="207" t="n">
        <v>0</v>
      </c>
    </row>
    <row r="21" customFormat="false" ht="13.5" hidden="false" customHeight="false" outlineLevel="0" collapsed="false">
      <c r="A21" s="252" t="n">
        <f aca="false">BaseloadMarkets!A23</f>
        <v>36725</v>
      </c>
      <c r="B21" s="253" t="n">
        <f aca="false">+EES!C22</f>
        <v>70000</v>
      </c>
      <c r="C21" s="254" t="n">
        <v>0</v>
      </c>
      <c r="D21" s="255" t="n">
        <v>0</v>
      </c>
      <c r="E21" s="255" t="n">
        <v>0</v>
      </c>
      <c r="F21" s="253" t="n">
        <v>0</v>
      </c>
      <c r="G21" s="253" t="n">
        <f aca="false">+BaseloadMarkets!DS23+OCCMarkets!CN23+SwingMarkets!DS23+EOLMarkets!ER23</f>
        <v>616913</v>
      </c>
      <c r="H21" s="256" t="n">
        <f aca="false">SUM(B21:G21)</f>
        <v>686913</v>
      </c>
      <c r="J21" s="255" t="n">
        <v>0</v>
      </c>
      <c r="K21" s="257" t="n">
        <v>0</v>
      </c>
      <c r="L21" s="255" t="n">
        <f aca="false">44352+14538</f>
        <v>58890</v>
      </c>
      <c r="M21" s="253" t="n">
        <f aca="false">Supplies!BG23+EOLSupplies!DT23</f>
        <v>675399</v>
      </c>
      <c r="N21" s="253" t="n">
        <v>0</v>
      </c>
      <c r="O21" s="256" t="n">
        <f aca="false">SUM(J21:N21)</f>
        <v>734289</v>
      </c>
      <c r="P21" s="258" t="n">
        <f aca="false">A21</f>
        <v>36725</v>
      </c>
      <c r="Q21" s="157"/>
      <c r="R21" s="259" t="n">
        <f aca="false">+O21-H21</f>
        <v>47376</v>
      </c>
      <c r="S21" s="262" t="n">
        <f aca="false">S20+R21</f>
        <v>6115</v>
      </c>
      <c r="T21" s="260" t="n">
        <f aca="false">A21</f>
        <v>36725</v>
      </c>
      <c r="U21" s="261"/>
      <c r="V21" s="208" t="n">
        <f aca="false">M21+L21-B21-(+BaseloadMarkets!DT23+OCCMarkets!CO23+SwingMarkets!DT23+EOLMarkets!ER23)-EES!AO22</f>
        <v>0</v>
      </c>
      <c r="W21" s="208"/>
      <c r="X21" s="208" t="n">
        <f aca="false">+X20+O21</f>
        <v>9084807</v>
      </c>
      <c r="Y21" s="29"/>
      <c r="Z21" s="1" t="n">
        <f aca="false">ROUND(+V21/2,0)</f>
        <v>0</v>
      </c>
      <c r="AA21" s="1"/>
      <c r="AB21" s="207"/>
      <c r="AD21" s="207" t="n">
        <v>0</v>
      </c>
    </row>
    <row r="22" customFormat="false" ht="13.5" hidden="false" customHeight="false" outlineLevel="0" collapsed="false">
      <c r="A22" s="252" t="n">
        <f aca="false">BaseloadMarkets!A24</f>
        <v>36726</v>
      </c>
      <c r="B22" s="253" t="n">
        <f aca="false">+EES!C23</f>
        <v>70000</v>
      </c>
      <c r="C22" s="254" t="n">
        <v>0</v>
      </c>
      <c r="D22" s="255" t="n">
        <v>0</v>
      </c>
      <c r="E22" s="255" t="n">
        <v>0</v>
      </c>
      <c r="F22" s="253" t="n">
        <v>0</v>
      </c>
      <c r="G22" s="253" t="n">
        <f aca="false">+BaseloadMarkets!DS24+OCCMarkets!CN24+SwingMarkets!DS24+EOLMarkets!ER24</f>
        <v>733820</v>
      </c>
      <c r="H22" s="256" t="n">
        <f aca="false">SUM(B22:G22)</f>
        <v>803820</v>
      </c>
      <c r="J22" s="255" t="n">
        <v>0</v>
      </c>
      <c r="K22" s="257" t="n">
        <v>0</v>
      </c>
      <c r="L22" s="255" t="n">
        <f aca="false">32560+20201</f>
        <v>52761</v>
      </c>
      <c r="M22" s="253" t="n">
        <f aca="false">Supplies!BG24+EOLSupplies!DT24</f>
        <v>856738</v>
      </c>
      <c r="N22" s="253" t="n">
        <v>0</v>
      </c>
      <c r="O22" s="256" t="n">
        <f aca="false">SUM(J22:N22)</f>
        <v>909499</v>
      </c>
      <c r="P22" s="258" t="n">
        <f aca="false">A22</f>
        <v>36726</v>
      </c>
      <c r="Q22" s="152"/>
      <c r="R22" s="259" t="n">
        <f aca="false">+O22-H22</f>
        <v>105679</v>
      </c>
      <c r="S22" s="259" t="n">
        <f aca="false">S21+R22</f>
        <v>111794</v>
      </c>
      <c r="T22" s="260" t="n">
        <f aca="false">A22</f>
        <v>36726</v>
      </c>
      <c r="U22" s="29"/>
      <c r="V22" s="208" t="n">
        <f aca="false">M22+L22-B22-(+BaseloadMarkets!DT24+OCCMarkets!CO24+SwingMarkets!DT24+EOLMarkets!ER24)-EES!AO23</f>
        <v>0</v>
      </c>
      <c r="W22" s="208"/>
      <c r="X22" s="208" t="n">
        <f aca="false">+X21+O22</f>
        <v>9994306</v>
      </c>
      <c r="Y22" s="29"/>
      <c r="Z22" s="1" t="n">
        <f aca="false">ROUND(+V22/2,0)</f>
        <v>0</v>
      </c>
      <c r="AA22" s="1"/>
      <c r="AB22" s="207"/>
      <c r="AC22" s="1"/>
      <c r="AD22" s="207" t="n">
        <v>0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3.5" hidden="false" customHeight="false" outlineLevel="0" collapsed="false">
      <c r="A23" s="252" t="n">
        <f aca="false">BaseloadMarkets!A25</f>
        <v>36727</v>
      </c>
      <c r="B23" s="253" t="n">
        <f aca="false">+EES!C24</f>
        <v>70000</v>
      </c>
      <c r="C23" s="254" t="n">
        <v>0</v>
      </c>
      <c r="D23" s="255" t="n">
        <v>0</v>
      </c>
      <c r="E23" s="255" t="n">
        <v>0</v>
      </c>
      <c r="F23" s="253" t="n">
        <v>0</v>
      </c>
      <c r="G23" s="253" t="n">
        <f aca="false">+BaseloadMarkets!DS25+OCCMarkets!CN25+SwingMarkets!DS25+EOLMarkets!ER25</f>
        <v>621112</v>
      </c>
      <c r="H23" s="256" t="n">
        <f aca="false">SUM(B23:G23)</f>
        <v>691112</v>
      </c>
      <c r="J23" s="255" t="n">
        <v>0</v>
      </c>
      <c r="K23" s="257" t="n">
        <v>0</v>
      </c>
      <c r="L23" s="255" t="n">
        <f aca="false">37451+12598</f>
        <v>50049</v>
      </c>
      <c r="M23" s="253" t="n">
        <f aca="false">Supplies!BG25+EOLSupplies!DT25</f>
        <v>687522</v>
      </c>
      <c r="N23" s="253" t="n">
        <v>0</v>
      </c>
      <c r="O23" s="256" t="n">
        <f aca="false">SUM(J23:N23)</f>
        <v>737571</v>
      </c>
      <c r="P23" s="258" t="n">
        <f aca="false">A23</f>
        <v>36727</v>
      </c>
      <c r="Q23" s="157"/>
      <c r="R23" s="259" t="n">
        <f aca="false">+O23-H23</f>
        <v>46459</v>
      </c>
      <c r="S23" s="262" t="n">
        <f aca="false">S22+R23</f>
        <v>158253</v>
      </c>
      <c r="T23" s="260" t="n">
        <f aca="false">A23</f>
        <v>36727</v>
      </c>
      <c r="U23" s="29"/>
      <c r="V23" s="208" t="n">
        <f aca="false">M23+L23-B23-(+BaseloadMarkets!DT25+OCCMarkets!CO25+SwingMarkets!DT25+EOLMarkets!ER25)-EES!AO24</f>
        <v>0</v>
      </c>
      <c r="W23" s="208"/>
      <c r="X23" s="208" t="n">
        <f aca="false">+X22+O23</f>
        <v>10731877</v>
      </c>
      <c r="Y23" s="29"/>
      <c r="Z23" s="1" t="n">
        <f aca="false">ROUND(+V23/2,0)</f>
        <v>0</v>
      </c>
      <c r="AA23" s="1"/>
      <c r="AB23" s="207"/>
      <c r="AC23" s="1"/>
      <c r="AD23" s="207" t="n">
        <v>0</v>
      </c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3.5" hidden="false" customHeight="false" outlineLevel="0" collapsed="false">
      <c r="A24" s="252" t="n">
        <f aca="false">BaseloadMarkets!A26</f>
        <v>36728</v>
      </c>
      <c r="B24" s="253" t="n">
        <f aca="false">+EES!C25</f>
        <v>70000</v>
      </c>
      <c r="C24" s="254" t="n">
        <v>0</v>
      </c>
      <c r="D24" s="255" t="n">
        <v>0</v>
      </c>
      <c r="E24" s="255" t="n">
        <v>0</v>
      </c>
      <c r="F24" s="253" t="n">
        <v>0</v>
      </c>
      <c r="G24" s="253" t="n">
        <f aca="false">+BaseloadMarkets!DS26+OCCMarkets!CN26+SwingMarkets!DS26+EOLMarkets!ER26</f>
        <v>659407</v>
      </c>
      <c r="H24" s="256" t="n">
        <f aca="false">SUM(B24:G24)</f>
        <v>729407</v>
      </c>
      <c r="J24" s="255" t="n">
        <v>0</v>
      </c>
      <c r="K24" s="257" t="n">
        <v>0</v>
      </c>
      <c r="L24" s="255" t="n">
        <f aca="false">18252+24419</f>
        <v>42671</v>
      </c>
      <c r="M24" s="253" t="n">
        <f aca="false">Supplies!BG26+EOLSupplies!DT26</f>
        <v>698856</v>
      </c>
      <c r="N24" s="253" t="n">
        <v>0</v>
      </c>
      <c r="O24" s="256" t="n">
        <f aca="false">SUM(J24:N24)</f>
        <v>741527</v>
      </c>
      <c r="P24" s="258" t="n">
        <f aca="false">A24</f>
        <v>36728</v>
      </c>
      <c r="Q24" s="152"/>
      <c r="R24" s="259" t="n">
        <f aca="false">+O24-H24</f>
        <v>12120</v>
      </c>
      <c r="S24" s="259" t="n">
        <f aca="false">S23+R24</f>
        <v>170373</v>
      </c>
      <c r="T24" s="260" t="n">
        <f aca="false">A24</f>
        <v>36728</v>
      </c>
      <c r="U24" s="29"/>
      <c r="V24" s="208" t="n">
        <f aca="false">M24+L24-B24-(+BaseloadMarkets!DT26+OCCMarkets!CO26+SwingMarkets!DT26+EOLMarkets!ER26)-EES!AO25</f>
        <v>0</v>
      </c>
      <c r="W24" s="208"/>
      <c r="X24" s="208" t="n">
        <f aca="false">+X23+O24</f>
        <v>11473404</v>
      </c>
      <c r="Y24" s="29"/>
      <c r="Z24" s="1" t="n">
        <f aca="false">ROUND(+V24/2,0)</f>
        <v>0</v>
      </c>
      <c r="AA24" s="1"/>
      <c r="AB24" s="207"/>
      <c r="AC24" s="1"/>
      <c r="AD24" s="207" t="n">
        <v>0</v>
      </c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3.5" hidden="false" customHeight="false" outlineLevel="0" collapsed="false">
      <c r="A25" s="252" t="n">
        <f aca="false">BaseloadMarkets!A27</f>
        <v>36729</v>
      </c>
      <c r="B25" s="253" t="n">
        <f aca="false">+EES!C26</f>
        <v>70000</v>
      </c>
      <c r="C25" s="254" t="n">
        <v>0</v>
      </c>
      <c r="D25" s="255" t="n">
        <v>0</v>
      </c>
      <c r="E25" s="255" t="n">
        <v>0</v>
      </c>
      <c r="F25" s="253" t="n">
        <v>0</v>
      </c>
      <c r="G25" s="253" t="n">
        <f aca="false">+BaseloadMarkets!DS27+OCCMarkets!CN27+SwingMarkets!DS27+EOLMarkets!ER27</f>
        <v>586989.3</v>
      </c>
      <c r="H25" s="256" t="n">
        <f aca="false">SUM(B25:G25)</f>
        <v>656989.3</v>
      </c>
      <c r="J25" s="255" t="n">
        <v>0</v>
      </c>
      <c r="K25" s="257" t="n">
        <v>0</v>
      </c>
      <c r="L25" s="255" t="n">
        <f aca="false">19999+28543</f>
        <v>48542</v>
      </c>
      <c r="M25" s="253" t="n">
        <f aca="false">Supplies!BG27+EOLSupplies!DT27</f>
        <v>537183</v>
      </c>
      <c r="N25" s="253" t="n">
        <v>0</v>
      </c>
      <c r="O25" s="256" t="n">
        <f aca="false">SUM(J25:N25)</f>
        <v>585725</v>
      </c>
      <c r="P25" s="258" t="n">
        <f aca="false">A25</f>
        <v>36729</v>
      </c>
      <c r="Q25" s="157"/>
      <c r="R25" s="259" t="n">
        <f aca="false">+O25-H25</f>
        <v>-71264.3000000001</v>
      </c>
      <c r="S25" s="262" t="n">
        <f aca="false">S24+R25</f>
        <v>99108.7</v>
      </c>
      <c r="T25" s="260" t="n">
        <f aca="false">A25</f>
        <v>36729</v>
      </c>
      <c r="U25" s="29"/>
      <c r="V25" s="208" t="n">
        <f aca="false">M25+L25-B25-(+BaseloadMarkets!DT27+OCCMarkets!CO27+SwingMarkets!DT27+EOLMarkets!ER27)-EES!AO26</f>
        <v>0</v>
      </c>
      <c r="W25" s="208"/>
      <c r="X25" s="208" t="n">
        <f aca="false">+X24+O25</f>
        <v>12059129</v>
      </c>
      <c r="Y25" s="29"/>
      <c r="Z25" s="1" t="n">
        <f aca="false">ROUND(+V25/2,0)</f>
        <v>0</v>
      </c>
      <c r="AA25" s="1"/>
      <c r="AB25" s="207"/>
      <c r="AC25" s="1"/>
      <c r="AD25" s="207" t="n">
        <v>0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3.5" hidden="false" customHeight="false" outlineLevel="0" collapsed="false">
      <c r="A26" s="252" t="n">
        <f aca="false">BaseloadMarkets!A28</f>
        <v>36730</v>
      </c>
      <c r="B26" s="253" t="n">
        <f aca="false">+EES!C27</f>
        <v>70000</v>
      </c>
      <c r="C26" s="254" t="n">
        <v>0</v>
      </c>
      <c r="D26" s="255" t="n">
        <v>0</v>
      </c>
      <c r="E26" s="255" t="n">
        <v>0</v>
      </c>
      <c r="F26" s="253" t="n">
        <v>0</v>
      </c>
      <c r="G26" s="253" t="n">
        <f aca="false">+BaseloadMarkets!DS28+OCCMarkets!CN28+SwingMarkets!DS28+EOLMarkets!ER28</f>
        <v>587757.3</v>
      </c>
      <c r="H26" s="256" t="n">
        <f aca="false">SUM(B26:G26)</f>
        <v>657757.3</v>
      </c>
      <c r="J26" s="255" t="n">
        <v>0</v>
      </c>
      <c r="K26" s="257" t="n">
        <v>0</v>
      </c>
      <c r="L26" s="255" t="n">
        <f aca="false">17949+31059</f>
        <v>49008</v>
      </c>
      <c r="M26" s="253" t="n">
        <f aca="false">Supplies!BG28+EOLSupplies!DT28</f>
        <v>543822</v>
      </c>
      <c r="N26" s="253" t="n">
        <v>0</v>
      </c>
      <c r="O26" s="256" t="n">
        <f aca="false">SUM(J26:N26)</f>
        <v>592830</v>
      </c>
      <c r="P26" s="258" t="n">
        <f aca="false">A26</f>
        <v>36730</v>
      </c>
      <c r="Q26" s="152"/>
      <c r="R26" s="259" t="n">
        <f aca="false">+O26-H26</f>
        <v>-64927.3000000001</v>
      </c>
      <c r="S26" s="259" t="n">
        <f aca="false">S25+R26</f>
        <v>34181.3999999999</v>
      </c>
      <c r="T26" s="260" t="n">
        <f aca="false">A26</f>
        <v>36730</v>
      </c>
      <c r="U26" s="261"/>
      <c r="V26" s="208" t="n">
        <f aca="false">M26+L26-B26-(+BaseloadMarkets!DT28+OCCMarkets!CO28+SwingMarkets!DT28+EOLMarkets!ER28)-EES!AO27</f>
        <v>0</v>
      </c>
      <c r="W26" s="208"/>
      <c r="X26" s="208" t="n">
        <f aca="false">+X25+O26</f>
        <v>12651959</v>
      </c>
      <c r="Y26" s="29"/>
      <c r="Z26" s="1" t="n">
        <f aca="false">ROUND(+V26/2,0)</f>
        <v>0</v>
      </c>
      <c r="AA26" s="1"/>
      <c r="AB26" s="207"/>
      <c r="AD26" s="207" t="n">
        <v>0</v>
      </c>
    </row>
    <row r="27" customFormat="false" ht="13.5" hidden="false" customHeight="false" outlineLevel="0" collapsed="false">
      <c r="A27" s="252" t="n">
        <f aca="false">BaseloadMarkets!A29</f>
        <v>36731</v>
      </c>
      <c r="B27" s="253" t="n">
        <f aca="false">+EES!C28</f>
        <v>70000</v>
      </c>
      <c r="C27" s="254" t="n">
        <v>0</v>
      </c>
      <c r="D27" s="255" t="n">
        <v>0</v>
      </c>
      <c r="E27" s="255" t="n">
        <v>0</v>
      </c>
      <c r="F27" s="253" t="n">
        <v>0</v>
      </c>
      <c r="G27" s="253" t="n">
        <f aca="false">+BaseloadMarkets!DS29+OCCMarkets!CN29+SwingMarkets!DS29+EOLMarkets!ER29</f>
        <v>585672.7</v>
      </c>
      <c r="H27" s="256" t="n">
        <f aca="false">SUM(B27:G27)</f>
        <v>655672.7</v>
      </c>
      <c r="J27" s="255" t="n">
        <v>0</v>
      </c>
      <c r="K27" s="257" t="n">
        <v>0</v>
      </c>
      <c r="L27" s="255" t="n">
        <f aca="false">20000+29927</f>
        <v>49927</v>
      </c>
      <c r="M27" s="253" t="n">
        <f aca="false">Supplies!BG29+EOLSupplies!DT29</f>
        <v>595016</v>
      </c>
      <c r="N27" s="253" t="n">
        <v>0</v>
      </c>
      <c r="O27" s="256" t="n">
        <f aca="false">SUM(J27:N27)</f>
        <v>644943</v>
      </c>
      <c r="P27" s="258" t="n">
        <f aca="false">A27</f>
        <v>36731</v>
      </c>
      <c r="Q27" s="157"/>
      <c r="R27" s="259" t="n">
        <f aca="false">+O27-H27</f>
        <v>-10729.7</v>
      </c>
      <c r="S27" s="262" t="n">
        <f aca="false">S26+R27</f>
        <v>23451.7</v>
      </c>
      <c r="T27" s="260" t="n">
        <f aca="false">A27</f>
        <v>36731</v>
      </c>
      <c r="U27" s="261"/>
      <c r="V27" s="208" t="n">
        <f aca="false">M27+L27-B27-(+BaseloadMarkets!DT29+OCCMarkets!CO29+SwingMarkets!DT29+EOLMarkets!ER29)-EES!AO28</f>
        <v>0</v>
      </c>
      <c r="W27" s="208"/>
      <c r="X27" s="208" t="n">
        <f aca="false">+X26+O27</f>
        <v>13296902</v>
      </c>
      <c r="Y27" s="29"/>
      <c r="Z27" s="1" t="n">
        <f aca="false">ROUND(+V27/2,0)</f>
        <v>0</v>
      </c>
      <c r="AA27" s="1"/>
      <c r="AB27" s="207"/>
      <c r="AD27" s="207" t="n">
        <v>0</v>
      </c>
    </row>
    <row r="28" customFormat="false" ht="13.5" hidden="false" customHeight="false" outlineLevel="0" collapsed="false">
      <c r="A28" s="252" t="n">
        <f aca="false">BaseloadMarkets!A30</f>
        <v>36732</v>
      </c>
      <c r="B28" s="253" t="n">
        <f aca="false">+EES!C29</f>
        <v>70000</v>
      </c>
      <c r="C28" s="254" t="n">
        <v>0</v>
      </c>
      <c r="D28" s="255" t="n">
        <v>0</v>
      </c>
      <c r="E28" s="255" t="n">
        <v>0</v>
      </c>
      <c r="F28" s="253" t="n">
        <v>0</v>
      </c>
      <c r="G28" s="253" t="n">
        <f aca="false">+BaseloadMarkets!DS30+OCCMarkets!CN30+SwingMarkets!DS30+EOLMarkets!ER30</f>
        <v>569912</v>
      </c>
      <c r="H28" s="256" t="n">
        <f aca="false">SUM(B28:G28)</f>
        <v>639912</v>
      </c>
      <c r="J28" s="263" t="n">
        <v>0</v>
      </c>
      <c r="K28" s="257" t="n">
        <v>0</v>
      </c>
      <c r="L28" s="255" t="n">
        <f aca="false">31514+24272</f>
        <v>55786</v>
      </c>
      <c r="M28" s="253" t="n">
        <f aca="false">Supplies!BG30+EOLSupplies!DT30</f>
        <v>517407</v>
      </c>
      <c r="N28" s="253" t="n">
        <v>0</v>
      </c>
      <c r="O28" s="256" t="n">
        <f aca="false">SUM(J28:N28)</f>
        <v>573193</v>
      </c>
      <c r="P28" s="258" t="n">
        <f aca="false">A28</f>
        <v>36732</v>
      </c>
      <c r="Q28" s="152"/>
      <c r="R28" s="259" t="n">
        <f aca="false">+O28-H28</f>
        <v>-66719</v>
      </c>
      <c r="S28" s="259" t="n">
        <f aca="false">S27+R28</f>
        <v>-43267.3000000001</v>
      </c>
      <c r="T28" s="260" t="n">
        <f aca="false">A28</f>
        <v>36732</v>
      </c>
      <c r="U28" s="261"/>
      <c r="V28" s="208" t="n">
        <f aca="false">M28+L28-B28-(+BaseloadMarkets!DT30+OCCMarkets!CO30+SwingMarkets!DT30+EOLMarkets!ER30)-EES!AO29</f>
        <v>0</v>
      </c>
      <c r="W28" s="208"/>
      <c r="X28" s="208" t="n">
        <f aca="false">+X27+O28</f>
        <v>13870095</v>
      </c>
      <c r="Y28" s="29"/>
      <c r="Z28" s="1" t="n">
        <f aca="false">ROUND(+V28/2,0)</f>
        <v>0</v>
      </c>
      <c r="AA28" s="1"/>
      <c r="AB28" s="207"/>
      <c r="AD28" s="207" t="n">
        <v>0</v>
      </c>
    </row>
    <row r="29" customFormat="false" ht="13.5" hidden="false" customHeight="false" outlineLevel="0" collapsed="false">
      <c r="A29" s="252" t="n">
        <f aca="false">BaseloadMarkets!A31</f>
        <v>36733</v>
      </c>
      <c r="B29" s="253" t="n">
        <f aca="false">+EES!C30</f>
        <v>70000</v>
      </c>
      <c r="C29" s="254" t="n">
        <v>0</v>
      </c>
      <c r="D29" s="255" t="n">
        <v>0</v>
      </c>
      <c r="E29" s="255" t="n">
        <v>0</v>
      </c>
      <c r="F29" s="253" t="n">
        <v>0</v>
      </c>
      <c r="G29" s="253" t="n">
        <f aca="false">+BaseloadMarkets!DS31+OCCMarkets!CN31+SwingMarkets!DS31+EOLMarkets!ER31</f>
        <v>396799</v>
      </c>
      <c r="H29" s="256" t="n">
        <f aca="false">SUM(B29:G29)</f>
        <v>466799</v>
      </c>
      <c r="J29" s="255" t="n">
        <v>0</v>
      </c>
      <c r="K29" s="257" t="n">
        <v>0</v>
      </c>
      <c r="L29" s="255" t="n">
        <f aca="false">20000+23224</f>
        <v>43224</v>
      </c>
      <c r="M29" s="253" t="n">
        <f aca="false">Supplies!BG31+EOLSupplies!DT31</f>
        <v>465769</v>
      </c>
      <c r="N29" s="253" t="n">
        <v>0</v>
      </c>
      <c r="O29" s="256" t="n">
        <f aca="false">SUM(J29:N29)</f>
        <v>508993</v>
      </c>
      <c r="P29" s="258" t="n">
        <f aca="false">A29</f>
        <v>36733</v>
      </c>
      <c r="Q29" s="157"/>
      <c r="R29" s="259" t="n">
        <f aca="false">+O29-H29</f>
        <v>42194</v>
      </c>
      <c r="S29" s="262" t="n">
        <f aca="false">S28+R29</f>
        <v>-1073.30000000005</v>
      </c>
      <c r="T29" s="260" t="n">
        <f aca="false">A29</f>
        <v>36733</v>
      </c>
      <c r="U29" s="261"/>
      <c r="V29" s="208" t="n">
        <f aca="false">M29+L29-B29-(+BaseloadMarkets!DT31+OCCMarkets!CO31+SwingMarkets!DT31+EOLMarkets!ER31)-EES!AO30</f>
        <v>-55</v>
      </c>
      <c r="W29" s="208"/>
      <c r="X29" s="208" t="n">
        <f aca="false">+X28+O29</f>
        <v>14379088</v>
      </c>
      <c r="Y29" s="29"/>
      <c r="Z29" s="1" t="n">
        <f aca="false">ROUND(+V29/2,0)</f>
        <v>-28</v>
      </c>
      <c r="AA29" s="1"/>
      <c r="AB29" s="207"/>
      <c r="AD29" s="207" t="n">
        <v>0</v>
      </c>
    </row>
    <row r="30" customFormat="false" ht="13.5" hidden="false" customHeight="false" outlineLevel="0" collapsed="false">
      <c r="A30" s="252" t="n">
        <f aca="false">BaseloadMarkets!A32</f>
        <v>36734</v>
      </c>
      <c r="B30" s="253" t="n">
        <f aca="false">+EES!C31</f>
        <v>70000</v>
      </c>
      <c r="C30" s="254" t="n">
        <v>0</v>
      </c>
      <c r="D30" s="255" t="n">
        <v>0</v>
      </c>
      <c r="E30" s="255" t="n">
        <v>0</v>
      </c>
      <c r="F30" s="253" t="n">
        <v>0</v>
      </c>
      <c r="G30" s="253" t="n">
        <f aca="false">+BaseloadMarkets!DS32+OCCMarkets!CN32+SwingMarkets!DS32+EOLMarkets!ER32</f>
        <v>501084</v>
      </c>
      <c r="H30" s="256" t="n">
        <f aca="false">SUM(B30:G30)</f>
        <v>571084</v>
      </c>
      <c r="J30" s="255" t="n">
        <v>0</v>
      </c>
      <c r="K30" s="257" t="n">
        <v>0</v>
      </c>
      <c r="L30" s="255" t="n">
        <v>47845</v>
      </c>
      <c r="M30" s="253" t="n">
        <f aca="false">Supplies!BG32+EOLSupplies!DT32</f>
        <v>504397</v>
      </c>
      <c r="N30" s="253" t="n">
        <v>0</v>
      </c>
      <c r="O30" s="256" t="n">
        <f aca="false">SUM(J30:N30)</f>
        <v>552242</v>
      </c>
      <c r="P30" s="258" t="n">
        <f aca="false">A30</f>
        <v>36734</v>
      </c>
      <c r="Q30" s="157"/>
      <c r="R30" s="259" t="n">
        <f aca="false">+O30-H30</f>
        <v>-18842</v>
      </c>
      <c r="S30" s="262" t="n">
        <f aca="false">S29+R30</f>
        <v>-19915.3</v>
      </c>
      <c r="T30" s="260" t="n">
        <f aca="false">A30</f>
        <v>36734</v>
      </c>
      <c r="U30" s="261"/>
      <c r="V30" s="208" t="n">
        <f aca="false">M30+L30-B30-(+BaseloadMarkets!DT32+OCCMarkets!CO32+SwingMarkets!DT32+EOLMarkets!ER32)-EES!AO31</f>
        <v>0</v>
      </c>
      <c r="W30" s="208"/>
      <c r="X30" s="208" t="n">
        <f aca="false">+X29+O30</f>
        <v>14931330</v>
      </c>
      <c r="Y30" s="29"/>
      <c r="Z30" s="1" t="n">
        <f aca="false">ROUND(+V30/2,0)</f>
        <v>0</v>
      </c>
      <c r="AA30" s="1"/>
      <c r="AB30" s="207"/>
      <c r="AC30" s="1"/>
      <c r="AD30" s="207" t="n">
        <v>0</v>
      </c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3.5" hidden="false" customHeight="false" outlineLevel="0" collapsed="false">
      <c r="A31" s="252" t="n">
        <f aca="false">BaseloadMarkets!A33</f>
        <v>36735</v>
      </c>
      <c r="B31" s="253" t="n">
        <f aca="false">+EES!C32</f>
        <v>70000</v>
      </c>
      <c r="C31" s="254" t="n">
        <v>0</v>
      </c>
      <c r="D31" s="255" t="n">
        <v>0</v>
      </c>
      <c r="E31" s="255" t="n">
        <v>0</v>
      </c>
      <c r="F31" s="253" t="n">
        <v>0</v>
      </c>
      <c r="G31" s="253" t="n">
        <f aca="false">+BaseloadMarkets!DS33+OCCMarkets!CN33+SwingMarkets!DS33+EOLMarkets!ER33</f>
        <v>475865</v>
      </c>
      <c r="H31" s="256" t="n">
        <f aca="false">SUM(B31:G31)</f>
        <v>545865</v>
      </c>
      <c r="J31" s="255" t="n">
        <v>0</v>
      </c>
      <c r="K31" s="257" t="n">
        <v>0</v>
      </c>
      <c r="L31" s="255" t="n">
        <v>37254</v>
      </c>
      <c r="M31" s="253" t="n">
        <f aca="false">Supplies!BG33+EOLSupplies!DT33</f>
        <v>556646</v>
      </c>
      <c r="N31" s="253" t="n">
        <v>0</v>
      </c>
      <c r="O31" s="256" t="n">
        <f aca="false">SUM(J31:N31)</f>
        <v>593900</v>
      </c>
      <c r="P31" s="258" t="n">
        <f aca="false">A31</f>
        <v>36735</v>
      </c>
      <c r="Q31" s="157"/>
      <c r="R31" s="259" t="n">
        <f aca="false">+O31-H31</f>
        <v>48035</v>
      </c>
      <c r="S31" s="262" t="n">
        <f aca="false">S30+R31</f>
        <v>28119.7</v>
      </c>
      <c r="T31" s="260" t="n">
        <f aca="false">A31</f>
        <v>36735</v>
      </c>
      <c r="U31" s="261"/>
      <c r="V31" s="208" t="n">
        <f aca="false">M31+L31-B31-(+BaseloadMarkets!DT33+OCCMarkets!CO33+SwingMarkets!DT33+EOLMarkets!ER33)-EES!AO32</f>
        <v>0</v>
      </c>
      <c r="W31" s="208"/>
      <c r="X31" s="208" t="n">
        <f aca="false">+X30+O31</f>
        <v>15525230</v>
      </c>
      <c r="Y31" s="29"/>
      <c r="Z31" s="1" t="n">
        <f aca="false">ROUND(+V31/2,0)</f>
        <v>0</v>
      </c>
      <c r="AA31" s="1"/>
      <c r="AB31" s="207"/>
      <c r="AC31" s="1"/>
      <c r="AD31" s="207" t="n">
        <v>0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3.5" hidden="false" customHeight="false" outlineLevel="0" collapsed="false">
      <c r="A32" s="252" t="n">
        <f aca="false">BaseloadMarkets!A34</f>
        <v>36736</v>
      </c>
      <c r="B32" s="253" t="n">
        <f aca="false">+EES!C33</f>
        <v>70000</v>
      </c>
      <c r="C32" s="254" t="n">
        <v>0</v>
      </c>
      <c r="D32" s="255" t="n">
        <v>0</v>
      </c>
      <c r="E32" s="255" t="n">
        <v>0</v>
      </c>
      <c r="F32" s="253" t="n">
        <v>0</v>
      </c>
      <c r="G32" s="253" t="n">
        <f aca="false">+BaseloadMarkets!DS34+OCCMarkets!CN34+SwingMarkets!DS34+EOLMarkets!ER34</f>
        <v>524716</v>
      </c>
      <c r="H32" s="256" t="n">
        <f aca="false">SUM(B32:G32)</f>
        <v>594716</v>
      </c>
      <c r="J32" s="255" t="n">
        <v>0</v>
      </c>
      <c r="K32" s="257" t="n">
        <v>0</v>
      </c>
      <c r="L32" s="255" t="n">
        <f aca="false">27810+20000</f>
        <v>47810</v>
      </c>
      <c r="M32" s="253" t="n">
        <f aca="false">Supplies!BG34+EOLSupplies!DT34</f>
        <v>545438</v>
      </c>
      <c r="N32" s="253" t="n">
        <v>0</v>
      </c>
      <c r="O32" s="256" t="n">
        <f aca="false">SUM(J32:N32)</f>
        <v>593248</v>
      </c>
      <c r="P32" s="258" t="n">
        <f aca="false">A32</f>
        <v>36736</v>
      </c>
      <c r="Q32" s="157"/>
      <c r="R32" s="259" t="n">
        <f aca="false">+O32-H32</f>
        <v>-1468</v>
      </c>
      <c r="S32" s="262" t="n">
        <f aca="false">S31+R32</f>
        <v>26651.7</v>
      </c>
      <c r="T32" s="260" t="n">
        <f aca="false">A32</f>
        <v>36736</v>
      </c>
      <c r="U32" s="261"/>
      <c r="V32" s="208" t="n">
        <f aca="false">M32+L32-B32-(+BaseloadMarkets!DT34+OCCMarkets!CO34+SwingMarkets!DT34+EOLMarkets!ER34)-EES!AO33</f>
        <v>0</v>
      </c>
      <c r="W32" s="208"/>
      <c r="X32" s="208" t="n">
        <f aca="false">+X31+O32</f>
        <v>16118478</v>
      </c>
      <c r="Y32" s="29"/>
      <c r="Z32" s="1" t="n">
        <f aca="false">ROUND(+V32/2,0)</f>
        <v>0</v>
      </c>
      <c r="AA32" s="1"/>
      <c r="AB32" s="207"/>
      <c r="AC32" s="1"/>
      <c r="AD32" s="207" t="n">
        <v>0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3.5" hidden="false" customHeight="false" outlineLevel="0" collapsed="false">
      <c r="A33" s="252" t="n">
        <f aca="false">BaseloadMarkets!A35</f>
        <v>36737</v>
      </c>
      <c r="B33" s="253" t="n">
        <f aca="false">+EES!C34</f>
        <v>70000</v>
      </c>
      <c r="C33" s="254" t="n">
        <v>0</v>
      </c>
      <c r="D33" s="255" t="n">
        <v>0</v>
      </c>
      <c r="E33" s="255" t="n">
        <v>0</v>
      </c>
      <c r="F33" s="253" t="n">
        <v>0</v>
      </c>
      <c r="G33" s="253" t="n">
        <f aca="false">+BaseloadMarkets!DS35+OCCMarkets!CN35+SwingMarkets!DS35+EOLMarkets!ER35</f>
        <v>514104</v>
      </c>
      <c r="H33" s="256" t="n">
        <f aca="false">SUM(B33:G33)</f>
        <v>584104</v>
      </c>
      <c r="J33" s="255" t="n">
        <v>0</v>
      </c>
      <c r="K33" s="257" t="n">
        <v>0</v>
      </c>
      <c r="L33" s="255" t="n">
        <v>43521</v>
      </c>
      <c r="M33" s="253" t="n">
        <f aca="false">Supplies!BG35+EOLSupplies!DT35</f>
        <v>562201</v>
      </c>
      <c r="N33" s="253" t="n">
        <v>0</v>
      </c>
      <c r="O33" s="256" t="n">
        <f aca="false">SUM(J33:N33)</f>
        <v>605722</v>
      </c>
      <c r="P33" s="258" t="n">
        <f aca="false">A33</f>
        <v>36737</v>
      </c>
      <c r="Q33" s="157"/>
      <c r="R33" s="259" t="n">
        <f aca="false">+O33-H33</f>
        <v>21618</v>
      </c>
      <c r="S33" s="262" t="n">
        <f aca="false">S32+R33</f>
        <v>48269.7</v>
      </c>
      <c r="T33" s="260" t="n">
        <f aca="false">A33</f>
        <v>36737</v>
      </c>
      <c r="U33" s="261"/>
      <c r="V33" s="208" t="n">
        <f aca="false">M33+L33-B33-(+BaseloadMarkets!DT35+OCCMarkets!CO35+SwingMarkets!DT35+EOLMarkets!ER35)-EES!AO34</f>
        <v>-540</v>
      </c>
      <c r="W33" s="208"/>
      <c r="X33" s="208" t="n">
        <f aca="false">+X32+O33</f>
        <v>16724200</v>
      </c>
      <c r="Y33" s="29"/>
      <c r="Z33" s="1" t="n">
        <f aca="false">ROUND(+V33/2,0)</f>
        <v>-270</v>
      </c>
      <c r="AA33" s="1"/>
      <c r="AB33" s="207"/>
      <c r="AC33" s="1"/>
      <c r="AD33" s="207" t="n">
        <v>0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3.5" hidden="false" customHeight="false" outlineLevel="0" collapsed="false">
      <c r="A34" s="252" t="n">
        <f aca="false">BaseloadMarkets!A36</f>
        <v>36738</v>
      </c>
      <c r="B34" s="253" t="n">
        <f aca="false">+EES!C35</f>
        <v>70000</v>
      </c>
      <c r="C34" s="254" t="n">
        <v>0</v>
      </c>
      <c r="D34" s="255" t="n">
        <v>0</v>
      </c>
      <c r="E34" s="255" t="n">
        <v>0</v>
      </c>
      <c r="F34" s="253" t="n">
        <v>0</v>
      </c>
      <c r="G34" s="253" t="n">
        <f aca="false">+BaseloadMarkets!DS36+OCCMarkets!CN36+SwingMarkets!DS36+EOLMarkets!ER36</f>
        <v>531574</v>
      </c>
      <c r="H34" s="256" t="n">
        <f aca="false">SUM(B34:G34)</f>
        <v>601574</v>
      </c>
      <c r="J34" s="255" t="n">
        <v>0</v>
      </c>
      <c r="K34" s="257" t="n">
        <v>0</v>
      </c>
      <c r="L34" s="255" t="n">
        <v>45118</v>
      </c>
      <c r="M34" s="253" t="n">
        <f aca="false">Supplies!BG36+EOLSupplies!DT36</f>
        <v>592921</v>
      </c>
      <c r="N34" s="253" t="n">
        <v>1</v>
      </c>
      <c r="O34" s="256" t="n">
        <f aca="false">SUM(J34:N34)</f>
        <v>638040</v>
      </c>
      <c r="P34" s="258" t="n">
        <f aca="false">A34</f>
        <v>36738</v>
      </c>
      <c r="Q34" s="157"/>
      <c r="R34" s="259" t="n">
        <f aca="false">+O34-H34</f>
        <v>36466</v>
      </c>
      <c r="S34" s="262" t="n">
        <f aca="false">S33+R34</f>
        <v>84735.7</v>
      </c>
      <c r="T34" s="260" t="n">
        <f aca="false">A34</f>
        <v>36738</v>
      </c>
      <c r="U34" s="261"/>
      <c r="V34" s="208" t="n">
        <f aca="false">M34+L34-B34-(+BaseloadMarkets!DT36+OCCMarkets!CO36+SwingMarkets!DT36+EOLMarkets!ER36)-EES!AO35</f>
        <v>4100</v>
      </c>
      <c r="W34" s="208"/>
      <c r="X34" s="208" t="n">
        <f aca="false">+X33+O34</f>
        <v>17362240</v>
      </c>
      <c r="Y34" s="29"/>
      <c r="Z34" s="1" t="n">
        <f aca="false">ROUND(+V34/2,0)</f>
        <v>2050</v>
      </c>
      <c r="AA34" s="1"/>
      <c r="AB34" s="207"/>
      <c r="AC34" s="1"/>
      <c r="AD34" s="207" t="n">
        <v>0</v>
      </c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3.5" hidden="false" customHeight="false" outlineLevel="0" collapsed="false">
      <c r="A35" s="264" t="s">
        <v>62</v>
      </c>
      <c r="B35" s="265" t="n">
        <f aca="false">SUM(B4:B34)</f>
        <v>2170000</v>
      </c>
      <c r="C35" s="266" t="n">
        <f aca="false">SUM(C4:C34)</f>
        <v>0</v>
      </c>
      <c r="D35" s="267" t="n">
        <f aca="false">SUM(D4:D34)</f>
        <v>0</v>
      </c>
      <c r="E35" s="266" t="n">
        <f aca="false">SUM(E4:E34)</f>
        <v>0</v>
      </c>
      <c r="F35" s="266" t="n">
        <f aca="false">SUM(F4:F34)</f>
        <v>0</v>
      </c>
      <c r="G35" s="268" t="n">
        <f aca="false">SUM(G4:G34)</f>
        <v>15107504.3</v>
      </c>
      <c r="H35" s="269" t="n">
        <f aca="false">SUM(H4:H34)</f>
        <v>17277504.3</v>
      </c>
      <c r="J35" s="270" t="n">
        <f aca="false">SUM(J4:J34)</f>
        <v>0</v>
      </c>
      <c r="K35" s="268" t="n">
        <f aca="false">SUM(K4:K34)</f>
        <v>0</v>
      </c>
      <c r="L35" s="271" t="n">
        <f aca="false">SUM(L4:L34)</f>
        <v>1544251</v>
      </c>
      <c r="M35" s="268" t="n">
        <f aca="false">SUM(M4:M34)</f>
        <v>15817988</v>
      </c>
      <c r="N35" s="268" t="n">
        <f aca="false">SUM(N4:N34)</f>
        <v>1</v>
      </c>
      <c r="O35" s="268" t="n">
        <f aca="false">SUM(O4:O34)</f>
        <v>17362240</v>
      </c>
      <c r="P35" s="33" t="s">
        <v>33</v>
      </c>
      <c r="Q35" s="33" t="s">
        <v>33</v>
      </c>
      <c r="R35" s="272" t="n">
        <f aca="false">SUM(R4:R34)</f>
        <v>84735.7</v>
      </c>
      <c r="S35" s="33"/>
      <c r="T35" s="33"/>
      <c r="U35" s="33"/>
      <c r="V35" s="266" t="n">
        <f aca="false">SUM(V4:V34)</f>
        <v>3505</v>
      </c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2.75" hidden="false" customHeight="false" outlineLevel="0" collapsed="false">
      <c r="B36" s="261"/>
      <c r="C36" s="261" t="s">
        <v>33</v>
      </c>
      <c r="F36" s="261" t="s">
        <v>33</v>
      </c>
      <c r="G36" s="273"/>
      <c r="H36" s="273"/>
      <c r="K36" s="157"/>
      <c r="M36" s="273"/>
      <c r="N36" s="261"/>
      <c r="O36" s="261"/>
      <c r="P36" s="178"/>
      <c r="Q36" s="152"/>
      <c r="R36" s="176"/>
      <c r="S36" s="261"/>
      <c r="T36" s="261"/>
      <c r="U36" s="261"/>
      <c r="V36" s="208" t="s">
        <v>33</v>
      </c>
      <c r="W36" s="261"/>
      <c r="X36" s="261"/>
      <c r="Z36" s="176" t="n">
        <f aca="false">SUM(Z27:Z34)</f>
        <v>1752</v>
      </c>
      <c r="AD36" s="176" t="n">
        <v>-10016</v>
      </c>
    </row>
    <row r="37" customFormat="false" ht="12.75" hidden="false" customHeight="false" outlineLevel="0" collapsed="false">
      <c r="B37" s="261" t="s">
        <v>33</v>
      </c>
      <c r="C37" s="261"/>
      <c r="D37" s="274"/>
      <c r="F37" s="261" t="s">
        <v>33</v>
      </c>
      <c r="G37" s="273"/>
      <c r="H37" s="273" t="s">
        <v>33</v>
      </c>
      <c r="K37" s="157"/>
      <c r="M37" s="273"/>
      <c r="N37" s="261"/>
      <c r="O37" s="261"/>
      <c r="P37" s="178"/>
      <c r="Q37" s="152"/>
      <c r="R37" s="275"/>
      <c r="S37" s="261"/>
      <c r="T37" s="261"/>
      <c r="U37" s="261"/>
      <c r="V37" s="208" t="s">
        <v>33</v>
      </c>
      <c r="W37" s="261"/>
      <c r="X37" s="261"/>
    </row>
    <row r="38" customFormat="false" ht="12.75" hidden="false" customHeight="false" outlineLevel="0" collapsed="false">
      <c r="B38" s="261"/>
      <c r="D38" s="276"/>
      <c r="F38" s="261"/>
      <c r="G38" s="273"/>
      <c r="H38" s="273"/>
      <c r="K38" s="157"/>
      <c r="M38" s="273"/>
      <c r="N38" s="261"/>
      <c r="O38" s="261"/>
      <c r="P38" s="178"/>
      <c r="Q38" s="152"/>
      <c r="R38" s="275"/>
      <c r="S38" s="261"/>
      <c r="T38" s="261"/>
      <c r="U38" s="261"/>
      <c r="V38" s="208"/>
      <c r="W38" s="261"/>
      <c r="X38" s="261"/>
    </row>
    <row r="39" customFormat="false" ht="12.75" hidden="false" customHeight="false" outlineLevel="0" collapsed="false">
      <c r="B39" s="261"/>
      <c r="C39" s="261"/>
      <c r="D39" s="274" t="s">
        <v>33</v>
      </c>
      <c r="F39" s="261"/>
      <c r="G39" s="273"/>
      <c r="H39" s="273" t="s">
        <v>33</v>
      </c>
      <c r="K39" s="157"/>
      <c r="M39" s="273"/>
      <c r="N39" s="261"/>
      <c r="O39" s="261"/>
      <c r="P39" s="178"/>
      <c r="Q39" s="152"/>
      <c r="R39" s="275"/>
      <c r="S39" s="261"/>
      <c r="T39" s="261"/>
      <c r="U39" s="261"/>
      <c r="V39" s="261"/>
      <c r="W39" s="261"/>
      <c r="X39" s="261"/>
    </row>
    <row r="40" customFormat="false" ht="12.75" hidden="false" customHeight="false" outlineLevel="0" collapsed="false">
      <c r="B40" s="261"/>
      <c r="C40" s="261"/>
      <c r="D40" s="274" t="s">
        <v>33</v>
      </c>
      <c r="F40" s="261"/>
      <c r="G40" s="273"/>
      <c r="H40" s="273"/>
      <c r="K40" s="157"/>
      <c r="M40" s="273"/>
      <c r="N40" s="261"/>
      <c r="O40" s="261"/>
      <c r="P40" s="178"/>
      <c r="Q40" s="152"/>
      <c r="R40" s="275"/>
      <c r="S40" s="261"/>
      <c r="T40" s="261"/>
      <c r="U40" s="261"/>
      <c r="V40" s="261"/>
      <c r="W40" s="261"/>
      <c r="X40" s="261"/>
    </row>
    <row r="41" customFormat="false" ht="12.75" hidden="false" customHeight="false" outlineLevel="0" collapsed="false">
      <c r="B41" s="261"/>
      <c r="D41" s="274" t="s">
        <v>33</v>
      </c>
      <c r="G41" s="273"/>
    </row>
    <row r="42" customFormat="false" ht="12.75" hidden="false" customHeight="false" outlineLevel="0" collapsed="false">
      <c r="D42" s="274" t="s">
        <v>33</v>
      </c>
      <c r="G42" s="273"/>
    </row>
    <row r="43" customFormat="false" ht="12.75" hidden="false" customHeight="false" outlineLevel="0" collapsed="false">
      <c r="D43" s="274" t="s">
        <v>33</v>
      </c>
      <c r="G43" s="273"/>
    </row>
    <row r="44" customFormat="false" ht="12.75" hidden="false" customHeight="false" outlineLevel="0" collapsed="false">
      <c r="D44" s="274" t="s">
        <v>33</v>
      </c>
      <c r="G44" s="273"/>
    </row>
    <row r="45" customFormat="false" ht="12.75" hidden="false" customHeight="false" outlineLevel="0" collapsed="false">
      <c r="D45" s="274" t="s">
        <v>33</v>
      </c>
      <c r="G45" s="273"/>
    </row>
    <row r="46" customFormat="false" ht="12.75" hidden="false" customHeight="false" outlineLevel="0" collapsed="false">
      <c r="D46" s="274" t="s">
        <v>33</v>
      </c>
      <c r="G46" s="273"/>
    </row>
    <row r="47" customFormat="false" ht="12.75" hidden="false" customHeight="false" outlineLevel="0" collapsed="false">
      <c r="D47" s="274" t="s">
        <v>33</v>
      </c>
      <c r="G47" s="273"/>
    </row>
    <row r="48" customFormat="false" ht="12.75" hidden="false" customHeight="false" outlineLevel="0" collapsed="false">
      <c r="G48" s="273"/>
    </row>
  </sheetData>
  <printOptions headings="false" gridLines="true" gridLinesSet="true" horizontalCentered="true" verticalCentered="true"/>
  <pageMargins left="0.25" right="0.240277777777778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9"/>
  <sheetViews>
    <sheetView showFormulas="false" showGridLines="true" showRowColHeaders="true" showZeros="true" rightToLeft="false" tabSelected="false" showOutlineSymbols="true" defaultGridColor="true" view="normal" topLeftCell="A73" colorId="64" zoomScale="80" zoomScaleNormal="80" zoomScalePageLayoutView="100" workbookViewId="0">
      <selection pane="topLeft" activeCell="D74" activeCellId="0" sqref="D74"/>
    </sheetView>
  </sheetViews>
  <sheetFormatPr defaultColWidth="25.15234375" defaultRowHeight="12.95" customHeight="true" zeroHeight="false" outlineLevelRow="0" outlineLevelCol="0"/>
  <cols>
    <col collapsed="false" customWidth="true" hidden="false" outlineLevel="0" max="1" min="1" style="277" width="38.65"/>
    <col collapsed="false" customWidth="true" hidden="false" outlineLevel="0" max="2" min="2" style="278" width="16.82"/>
    <col collapsed="false" customWidth="true" hidden="false" outlineLevel="0" max="3" min="3" style="278" width="11.82"/>
    <col collapsed="false" customWidth="false" hidden="false" outlineLevel="0" max="4" min="4" style="279" width="25.15"/>
    <col collapsed="false" customWidth="true" hidden="false" outlineLevel="0" max="5" min="5" style="279" width="1.82"/>
    <col collapsed="false" customWidth="true" hidden="false" outlineLevel="0" max="6" min="6" style="279" width="18.82"/>
    <col collapsed="false" customWidth="true" hidden="false" outlineLevel="0" max="7" min="7" style="278" width="1.82"/>
    <col collapsed="false" customWidth="true" hidden="false" outlineLevel="0" max="8" min="8" style="278" width="30.65"/>
    <col collapsed="false" customWidth="true" hidden="false" outlineLevel="0" max="9" min="9" style="280" width="4.49"/>
    <col collapsed="false" customWidth="true" hidden="false" outlineLevel="0" max="10" min="10" style="278" width="23.82"/>
    <col collapsed="false" customWidth="true" hidden="false" outlineLevel="0" max="11" min="11" style="278" width="12.82"/>
    <col collapsed="false" customWidth="true" hidden="false" outlineLevel="0" max="12" min="12" style="278" width="18.82"/>
    <col collapsed="false" customWidth="true" hidden="false" outlineLevel="0" max="13" min="13" style="278" width="12.99"/>
    <col collapsed="false" customWidth="true" hidden="false" outlineLevel="0" max="14" min="14" style="281" width="12.32"/>
    <col collapsed="false" customWidth="true" hidden="false" outlineLevel="0" max="15" min="15" style="278" width="13.15"/>
    <col collapsed="false" customWidth="true" hidden="false" outlineLevel="0" max="16" min="16" style="278" width="12.15"/>
    <col collapsed="false" customWidth="false" hidden="false" outlineLevel="0" max="257" min="17" style="278" width="25.15"/>
  </cols>
  <sheetData>
    <row r="1" customFormat="false" ht="27" hidden="false" customHeight="true" outlineLevel="0" collapsed="false">
      <c r="A1" s="282" t="s">
        <v>190</v>
      </c>
      <c r="B1" s="283"/>
      <c r="C1" s="284" t="n">
        <f aca="true">NOW()</f>
        <v>45926.9866940659</v>
      </c>
      <c r="D1" s="284"/>
      <c r="E1" s="285"/>
      <c r="F1" s="285"/>
      <c r="G1" s="286"/>
      <c r="H1" s="286"/>
      <c r="I1" s="287"/>
      <c r="J1" s="288"/>
      <c r="L1" s="277"/>
      <c r="M1" s="277"/>
    </row>
    <row r="2" customFormat="false" ht="18" hidden="false" customHeight="true" outlineLevel="0" collapsed="false">
      <c r="B2" s="283"/>
      <c r="C2" s="289"/>
      <c r="E2" s="285"/>
      <c r="F2" s="290"/>
      <c r="G2" s="286"/>
      <c r="H2" s="291"/>
      <c r="I2" s="291"/>
      <c r="J2" s="291"/>
      <c r="K2" s="291"/>
      <c r="L2" s="291"/>
      <c r="M2" s="291"/>
    </row>
    <row r="3" customFormat="false" ht="18" hidden="false" customHeight="true" outlineLevel="0" collapsed="false">
      <c r="B3" s="291"/>
      <c r="C3" s="291"/>
      <c r="D3" s="286"/>
      <c r="E3" s="292"/>
      <c r="F3" s="293" t="s">
        <v>191</v>
      </c>
      <c r="G3" s="294"/>
      <c r="H3" s="281" t="s">
        <v>192</v>
      </c>
      <c r="I3" s="281"/>
      <c r="J3" s="281" t="s">
        <v>193</v>
      </c>
      <c r="K3" s="281"/>
      <c r="L3" s="281"/>
      <c r="M3" s="281"/>
    </row>
    <row r="4" customFormat="false" ht="18" hidden="false" customHeight="true" outlineLevel="0" collapsed="false">
      <c r="A4" s="295" t="s">
        <v>194</v>
      </c>
      <c r="F4" s="296" t="s">
        <v>75</v>
      </c>
      <c r="G4" s="294"/>
      <c r="H4" s="296" t="s">
        <v>75</v>
      </c>
      <c r="I4" s="296"/>
      <c r="J4" s="296" t="s">
        <v>195</v>
      </c>
      <c r="K4" s="296"/>
      <c r="L4" s="297"/>
      <c r="M4" s="297"/>
    </row>
    <row r="5" customFormat="false" ht="18" hidden="false" customHeight="true" outlineLevel="0" collapsed="false">
      <c r="A5" s="298" t="str">
        <f aca="false">+OCCMarkets!C4</f>
        <v>Pasadena</v>
      </c>
      <c r="B5" s="299" t="n">
        <f aca="false">VLOOKUP(+$C$1,Pasadena,3)</f>
        <v>19318</v>
      </c>
      <c r="D5" s="300"/>
      <c r="F5" s="301" t="n">
        <f aca="false">+OCCMarkets!M37</f>
        <v>17488</v>
      </c>
      <c r="G5" s="302"/>
      <c r="H5" s="301" t="n">
        <f aca="false">VLOOKUP(+$C$1,Pasadena,13)</f>
        <v>16551</v>
      </c>
      <c r="I5" s="301"/>
      <c r="J5" s="301" t="n">
        <f aca="false">+VLOOKUP($C$1,Pasadena,14)</f>
        <v>17488</v>
      </c>
      <c r="K5" s="297"/>
      <c r="L5" s="303" t="s">
        <v>196</v>
      </c>
      <c r="M5" s="303"/>
      <c r="N5" s="303"/>
      <c r="O5" s="303"/>
      <c r="P5" s="303"/>
      <c r="Q5" s="303"/>
      <c r="R5" s="303"/>
    </row>
    <row r="6" customFormat="false" ht="18" hidden="false" customHeight="true" outlineLevel="0" collapsed="false">
      <c r="A6" s="304" t="str">
        <f aca="false">+OCCMarkets!O4</f>
        <v>Akzo/Filtrol</v>
      </c>
      <c r="B6" s="299" t="n">
        <f aca="false">VLOOKUP(+$C$1,Filtrol,15)</f>
        <v>2567</v>
      </c>
      <c r="D6" s="300"/>
      <c r="F6" s="301" t="n">
        <f aca="false">+OCCMarkets!T37</f>
        <v>13651.5</v>
      </c>
      <c r="G6" s="302"/>
      <c r="H6" s="301" t="n">
        <f aca="false">VLOOKUP(+C1,Filtrol,20)</f>
        <v>4822</v>
      </c>
      <c r="I6" s="301"/>
      <c r="J6" s="301" t="n">
        <f aca="false">+VLOOKUP($C$1,Filtrol,21)</f>
        <v>13651.5</v>
      </c>
      <c r="K6" s="297"/>
      <c r="L6" s="305"/>
      <c r="M6" s="306"/>
      <c r="N6" s="307" t="s">
        <v>197</v>
      </c>
      <c r="O6" s="308" t="n">
        <v>20000</v>
      </c>
      <c r="P6" s="308"/>
      <c r="Q6" s="306"/>
      <c r="R6" s="306"/>
    </row>
    <row r="7" customFormat="false" ht="18" hidden="false" customHeight="true" outlineLevel="0" collapsed="false">
      <c r="A7" s="304" t="str">
        <f aca="false">+OCCMarkets!V4</f>
        <v>CanFibre</v>
      </c>
      <c r="B7" s="299" t="n">
        <f aca="false">VLOOKUP(+$C$1,CanFibre,22)</f>
        <v>0</v>
      </c>
      <c r="D7" s="300"/>
      <c r="F7" s="301" t="n">
        <f aca="false">+OCCMarkets!AA37</f>
        <v>10457.7</v>
      </c>
      <c r="G7" s="302"/>
      <c r="H7" s="301" t="n">
        <f aca="false">VLOOKUP($C$1,CanFibre,27)</f>
        <v>7715</v>
      </c>
      <c r="I7" s="301"/>
      <c r="J7" s="301" t="n">
        <f aca="false">VLOOKUP($C$1,CanFibre,28)</f>
        <v>10457.7</v>
      </c>
      <c r="K7" s="297"/>
      <c r="L7" s="306"/>
      <c r="M7" s="306"/>
      <c r="N7" s="307" t="s">
        <v>198</v>
      </c>
      <c r="O7" s="308" t="n">
        <f aca="false">+Oxy!B37</f>
        <v>620000</v>
      </c>
      <c r="P7" s="308"/>
      <c r="Q7" s="306"/>
      <c r="R7" s="309"/>
    </row>
    <row r="8" customFormat="false" ht="18" hidden="false" customHeight="true" outlineLevel="0" collapsed="false">
      <c r="A8" s="304" t="s">
        <v>199</v>
      </c>
      <c r="B8" s="299" t="n">
        <f aca="false">VLOOKUP(+$C$1,Smurfit,38)</f>
        <v>9777</v>
      </c>
      <c r="D8" s="300"/>
      <c r="F8" s="301" t="n">
        <f aca="false">+Smurfit!AN38</f>
        <v>50677.9</v>
      </c>
      <c r="G8" s="310"/>
      <c r="H8" s="301" t="n">
        <f aca="false">VLOOKUP($C$1,Smurfit,40)</f>
        <v>491</v>
      </c>
      <c r="I8" s="311"/>
      <c r="J8" s="301" t="n">
        <f aca="false">VLOOKUP($C$1,Smurfit,41)</f>
        <v>50677.9</v>
      </c>
      <c r="K8" s="312"/>
      <c r="L8" s="306"/>
      <c r="M8" s="306"/>
      <c r="N8" s="313"/>
      <c r="O8" s="313"/>
      <c r="P8" s="313"/>
      <c r="Q8" s="306"/>
      <c r="R8" s="309"/>
    </row>
    <row r="9" customFormat="false" ht="18" hidden="false" customHeight="true" outlineLevel="0" collapsed="false">
      <c r="A9" s="304" t="s">
        <v>129</v>
      </c>
      <c r="B9" s="299" t="n">
        <f aca="false">VLOOKUP(+$C$1,Harbor,64)</f>
        <v>13379</v>
      </c>
      <c r="C9" s="279"/>
      <c r="D9" s="286"/>
      <c r="E9" s="278"/>
      <c r="F9" s="301" t="n">
        <f aca="false">+OCCMarkets!BQ37</f>
        <v>4990.6</v>
      </c>
      <c r="G9" s="302"/>
      <c r="H9" s="301" t="n">
        <f aca="false">VLOOKUP($C$1,Harbor,69)</f>
        <v>28359</v>
      </c>
      <c r="I9" s="301"/>
      <c r="J9" s="301" t="n">
        <f aca="false">VLOOKUP($C$1,Harbor,70)</f>
        <v>4990.6</v>
      </c>
      <c r="K9" s="312"/>
      <c r="L9" s="314"/>
      <c r="M9" s="315" t="s">
        <v>200</v>
      </c>
      <c r="N9" s="316" t="n">
        <f aca="false">+O6</f>
        <v>20000</v>
      </c>
      <c r="O9" s="313"/>
      <c r="P9" s="317"/>
      <c r="Q9" s="307" t="s">
        <v>201</v>
      </c>
      <c r="R9" s="317" t="n">
        <f aca="false">+VLOOKUP($C$1,Oxy,5)</f>
        <v>620000</v>
      </c>
    </row>
    <row r="10" customFormat="false" ht="18" hidden="false" customHeight="true" outlineLevel="0" collapsed="false">
      <c r="A10" s="277" t="s">
        <v>202</v>
      </c>
      <c r="B10" s="318" t="n">
        <v>4178</v>
      </c>
      <c r="C10" s="279"/>
      <c r="D10" s="286"/>
      <c r="F10" s="297"/>
      <c r="G10" s="279"/>
      <c r="H10" s="297"/>
      <c r="I10" s="312"/>
      <c r="J10" s="312"/>
      <c r="K10" s="312"/>
      <c r="L10" s="314"/>
      <c r="M10" s="315" t="s">
        <v>203</v>
      </c>
      <c r="N10" s="317" t="n">
        <f aca="false">+VLOOKUP($C$1,Oxy,3)</f>
        <v>30000</v>
      </c>
      <c r="O10" s="313"/>
      <c r="P10" s="317"/>
      <c r="Q10" s="307" t="s">
        <v>204</v>
      </c>
      <c r="R10" s="317" t="n">
        <f aca="false">+VLOOKUP($C$1,Oxy,6)</f>
        <v>620000</v>
      </c>
    </row>
    <row r="11" customFormat="false" ht="18" hidden="false" customHeight="true" outlineLevel="0" collapsed="false">
      <c r="A11" s="319" t="s">
        <v>13</v>
      </c>
      <c r="B11" s="318" t="n">
        <v>10000</v>
      </c>
      <c r="C11" s="279"/>
      <c r="D11" s="286"/>
      <c r="F11" s="297"/>
      <c r="G11" s="279"/>
      <c r="H11" s="297"/>
      <c r="I11" s="312"/>
      <c r="J11" s="312"/>
      <c r="K11" s="312"/>
      <c r="L11" s="315"/>
      <c r="M11" s="315" t="s">
        <v>205</v>
      </c>
      <c r="N11" s="320" t="n">
        <f aca="false">+N10-N9</f>
        <v>10000</v>
      </c>
      <c r="O11" s="313"/>
      <c r="P11" s="317"/>
      <c r="Q11" s="321" t="s">
        <v>206</v>
      </c>
      <c r="R11" s="320" t="n">
        <f aca="false">+VLOOKUP($C$1,Oxy,7)</f>
        <v>0</v>
      </c>
    </row>
    <row r="12" customFormat="false" ht="18" hidden="false" customHeight="true" outlineLevel="0" collapsed="false">
      <c r="A12" s="277" t="s">
        <v>12</v>
      </c>
      <c r="B12" s="318" t="n">
        <v>5000</v>
      </c>
      <c r="C12" s="279"/>
      <c r="D12" s="286"/>
      <c r="F12" s="297"/>
      <c r="G12" s="279"/>
      <c r="H12" s="312"/>
      <c r="I12" s="312"/>
      <c r="J12" s="312"/>
      <c r="K12" s="312"/>
    </row>
    <row r="13" customFormat="false" ht="18" hidden="false" customHeight="true" outlineLevel="0" collapsed="false">
      <c r="A13" s="319" t="s">
        <v>32</v>
      </c>
      <c r="B13" s="318" t="n">
        <v>40000</v>
      </c>
      <c r="D13" s="286"/>
      <c r="F13" s="297"/>
      <c r="G13" s="279"/>
      <c r="H13" s="312"/>
      <c r="I13" s="312"/>
      <c r="J13" s="312"/>
      <c r="K13" s="312"/>
      <c r="L13" s="322" t="str">
        <f aca="false">+Hub!B2</f>
        <v>CA HUB</v>
      </c>
      <c r="M13" s="322" t="str">
        <f aca="false">+Hub!B5</f>
        <v>Daily Lend Deal</v>
      </c>
      <c r="N13" s="322" t="n">
        <f aca="false">+Hub!B3</f>
        <v>131490</v>
      </c>
      <c r="O13" s="322"/>
      <c r="P13" s="307"/>
      <c r="Q13" s="307"/>
      <c r="R13" s="307"/>
    </row>
    <row r="14" customFormat="false" ht="18" hidden="false" customHeight="true" outlineLevel="0" collapsed="false">
      <c r="A14" s="319" t="s">
        <v>20</v>
      </c>
      <c r="B14" s="318" t="n">
        <v>5000</v>
      </c>
      <c r="C14" s="279"/>
      <c r="D14" s="286"/>
      <c r="G14" s="279"/>
      <c r="H14" s="312"/>
      <c r="I14" s="312"/>
      <c r="J14" s="312"/>
      <c r="K14" s="312"/>
      <c r="L14" s="305"/>
      <c r="M14" s="306"/>
      <c r="N14" s="307" t="s">
        <v>197</v>
      </c>
      <c r="O14" s="317" t="n">
        <f aca="false">+VLOOKUP($C$1,Hub,2)</f>
        <v>5000</v>
      </c>
      <c r="P14" s="308"/>
      <c r="Q14" s="306"/>
      <c r="R14" s="306"/>
    </row>
    <row r="15" customFormat="false" ht="18" hidden="false" customHeight="true" outlineLevel="0" collapsed="false">
      <c r="A15" s="319" t="s">
        <v>84</v>
      </c>
      <c r="B15" s="318" t="n">
        <v>10741</v>
      </c>
      <c r="C15" s="279"/>
      <c r="D15" s="286"/>
      <c r="F15" s="297"/>
      <c r="G15" s="279"/>
      <c r="H15" s="312"/>
      <c r="I15" s="312"/>
      <c r="J15" s="312"/>
      <c r="K15" s="312"/>
      <c r="L15" s="306"/>
      <c r="M15" s="306"/>
      <c r="N15" s="307" t="s">
        <v>198</v>
      </c>
      <c r="O15" s="308" t="n">
        <f aca="false">+Hub!B37</f>
        <v>155000</v>
      </c>
      <c r="P15" s="308"/>
      <c r="Q15" s="306"/>
      <c r="R15" s="309"/>
    </row>
    <row r="16" customFormat="false" ht="18" hidden="false" customHeight="true" outlineLevel="0" collapsed="false">
      <c r="A16" s="319" t="s">
        <v>31</v>
      </c>
      <c r="B16" s="318" t="n">
        <v>10000</v>
      </c>
      <c r="D16" s="286"/>
      <c r="F16" s="297"/>
      <c r="G16" s="279"/>
      <c r="H16" s="312"/>
      <c r="I16" s="312"/>
      <c r="J16" s="312"/>
      <c r="K16" s="312"/>
      <c r="L16" s="306"/>
      <c r="M16" s="306"/>
      <c r="N16" s="313"/>
      <c r="O16" s="313"/>
      <c r="P16" s="313"/>
      <c r="Q16" s="306"/>
      <c r="R16" s="309"/>
    </row>
    <row r="17" customFormat="false" ht="18" hidden="false" customHeight="true" outlineLevel="0" collapsed="false">
      <c r="A17" s="319" t="s">
        <v>99</v>
      </c>
      <c r="B17" s="318" t="n">
        <v>10000</v>
      </c>
      <c r="C17" s="279"/>
      <c r="D17" s="286"/>
      <c r="F17" s="297"/>
      <c r="G17" s="279"/>
      <c r="H17" s="312"/>
      <c r="I17" s="312"/>
      <c r="J17" s="312"/>
      <c r="K17" s="312"/>
      <c r="L17" s="314"/>
      <c r="M17" s="315" t="s">
        <v>200</v>
      </c>
      <c r="N17" s="316" t="n">
        <f aca="false">+O14</f>
        <v>5000</v>
      </c>
      <c r="O17" s="313"/>
      <c r="P17" s="317"/>
      <c r="Q17" s="307" t="s">
        <v>201</v>
      </c>
      <c r="R17" s="317" t="n">
        <f aca="false">+VLOOKUP($C$1,Hub,5)</f>
        <v>155000</v>
      </c>
    </row>
    <row r="18" customFormat="false" ht="18" hidden="false" customHeight="true" outlineLevel="0" collapsed="false">
      <c r="A18" s="319" t="s">
        <v>85</v>
      </c>
      <c r="B18" s="318" t="n">
        <v>10375</v>
      </c>
      <c r="C18" s="279"/>
      <c r="D18" s="286"/>
      <c r="F18" s="312"/>
      <c r="G18" s="279"/>
      <c r="H18" s="312"/>
      <c r="I18" s="312"/>
      <c r="J18" s="312"/>
      <c r="K18" s="312"/>
      <c r="L18" s="314"/>
      <c r="M18" s="315" t="s">
        <v>203</v>
      </c>
      <c r="N18" s="317" t="n">
        <f aca="false">+VLOOKUP($C$1,Hub,3)</f>
        <v>5000</v>
      </c>
      <c r="O18" s="313"/>
      <c r="P18" s="317"/>
      <c r="Q18" s="307" t="s">
        <v>204</v>
      </c>
      <c r="R18" s="317" t="n">
        <f aca="false">+VLOOKUP($C$1,Hub,6)</f>
        <v>155000</v>
      </c>
    </row>
    <row r="19" customFormat="false" ht="18" hidden="false" customHeight="true" outlineLevel="0" collapsed="false">
      <c r="A19" s="319"/>
      <c r="B19" s="318"/>
      <c r="C19" s="279"/>
      <c r="D19" s="286"/>
      <c r="F19" s="297"/>
      <c r="G19" s="279"/>
      <c r="H19" s="312"/>
      <c r="I19" s="312"/>
      <c r="J19" s="312"/>
      <c r="K19" s="312"/>
      <c r="L19" s="315"/>
      <c r="M19" s="315" t="s">
        <v>205</v>
      </c>
      <c r="N19" s="320" t="n">
        <f aca="false">+N18-N17</f>
        <v>0</v>
      </c>
      <c r="O19" s="313"/>
      <c r="P19" s="317"/>
      <c r="Q19" s="321" t="s">
        <v>206</v>
      </c>
      <c r="R19" s="320" t="n">
        <f aca="false">+R18-R17</f>
        <v>0</v>
      </c>
    </row>
    <row r="20" customFormat="false" ht="18" hidden="false" customHeight="true" outlineLevel="0" collapsed="false">
      <c r="B20" s="318"/>
      <c r="C20" s="279"/>
      <c r="D20" s="286"/>
      <c r="F20" s="297"/>
      <c r="G20" s="279"/>
      <c r="H20" s="312"/>
      <c r="I20" s="312"/>
      <c r="J20" s="312"/>
      <c r="K20" s="312"/>
    </row>
    <row r="21" customFormat="false" ht="18" hidden="false" customHeight="true" outlineLevel="0" collapsed="false">
      <c r="A21" s="277" t="s">
        <v>207</v>
      </c>
      <c r="B21" s="323" t="n">
        <f aca="false">VLOOKUP(+$C$1,EOLMarkets,153)</f>
        <v>105000</v>
      </c>
      <c r="C21" s="291"/>
      <c r="D21" s="286"/>
      <c r="F21" s="297"/>
      <c r="G21" s="279"/>
      <c r="H21" s="301" t="n">
        <f aca="false">VLOOKUP(+$C$1,EOLMarkets,154)</f>
        <v>0</v>
      </c>
      <c r="I21" s="312"/>
      <c r="J21" s="301" t="n">
        <f aca="false">VLOOKUP(+$C$1,EOLMarkets,155)</f>
        <v>-62654</v>
      </c>
      <c r="K21" s="312"/>
      <c r="L21" s="322" t="str">
        <f aca="false">+Hub!I2</f>
        <v>CA HUB</v>
      </c>
      <c r="M21" s="324" t="str">
        <f aca="false">+Hub!I5</f>
        <v>Daily Lend Deal</v>
      </c>
      <c r="N21" s="322" t="n">
        <f aca="false">+Hub!I3</f>
        <v>168003</v>
      </c>
      <c r="O21" s="322"/>
      <c r="P21" s="307"/>
      <c r="Q21" s="307"/>
      <c r="R21" s="307"/>
    </row>
    <row r="22" customFormat="false" ht="18" hidden="false" customHeight="true" outlineLevel="0" collapsed="false">
      <c r="A22" s="325" t="s">
        <v>208</v>
      </c>
      <c r="B22" s="326" t="n">
        <f aca="false">SUM(B5:B21)</f>
        <v>255335</v>
      </c>
      <c r="C22" s="327" t="s">
        <v>209</v>
      </c>
      <c r="D22" s="328" t="n">
        <f aca="false">+B22-B21</f>
        <v>150335</v>
      </c>
      <c r="F22" s="297"/>
      <c r="G22" s="279"/>
      <c r="H22" s="312"/>
      <c r="I22" s="312"/>
      <c r="J22" s="312"/>
      <c r="K22" s="312"/>
      <c r="L22" s="305"/>
      <c r="M22" s="306"/>
      <c r="N22" s="307" t="s">
        <v>197</v>
      </c>
      <c r="O22" s="317" t="n">
        <f aca="false">+VLOOKUP($C$1,Hub,9)</f>
        <v>968</v>
      </c>
      <c r="P22" s="308"/>
      <c r="Q22" s="306"/>
      <c r="R22" s="306"/>
    </row>
    <row r="23" customFormat="false" ht="18" hidden="false" customHeight="true" outlineLevel="0" collapsed="false">
      <c r="A23" s="329" t="s">
        <v>210</v>
      </c>
      <c r="B23" s="279"/>
      <c r="F23" s="297"/>
      <c r="G23" s="279"/>
      <c r="H23" s="312"/>
      <c r="I23" s="312"/>
      <c r="J23" s="312"/>
      <c r="K23" s="312"/>
      <c r="L23" s="306"/>
      <c r="M23" s="306"/>
      <c r="N23" s="307" t="s">
        <v>198</v>
      </c>
      <c r="O23" s="308" t="n">
        <f aca="false">+Hub!I37</f>
        <v>30008</v>
      </c>
      <c r="P23" s="308"/>
      <c r="Q23" s="306"/>
      <c r="R23" s="309"/>
    </row>
    <row r="24" customFormat="false" ht="18" hidden="false" customHeight="true" outlineLevel="0" collapsed="false">
      <c r="A24" s="277" t="s">
        <v>211</v>
      </c>
      <c r="B24" s="323" t="n">
        <f aca="false">VLOOKUP(+$C$1,EOLMarkets,34)</f>
        <v>276239</v>
      </c>
      <c r="C24" s="291"/>
      <c r="D24" s="286"/>
      <c r="F24" s="297"/>
      <c r="G24" s="279"/>
      <c r="H24" s="301" t="n">
        <f aca="false">VLOOKUP(+$C$1,EOLMarkets,157)</f>
        <v>-3761</v>
      </c>
      <c r="I24" s="312"/>
      <c r="J24" s="301" t="n">
        <f aca="false">VLOOKUP(+$C$1,EOLMarkets,158)</f>
        <v>-237181</v>
      </c>
      <c r="K24" s="312"/>
      <c r="L24" s="306"/>
      <c r="M24" s="306"/>
      <c r="N24" s="313"/>
      <c r="O24" s="313"/>
      <c r="P24" s="313"/>
      <c r="Q24" s="306"/>
      <c r="R24" s="309"/>
    </row>
    <row r="25" customFormat="false" ht="18" hidden="false" customHeight="true" outlineLevel="0" collapsed="false">
      <c r="B25" s="278" t="n">
        <v>0</v>
      </c>
      <c r="K25" s="312"/>
      <c r="L25" s="314"/>
      <c r="M25" s="315" t="s">
        <v>200</v>
      </c>
      <c r="N25" s="316" t="n">
        <f aca="false">+O22</f>
        <v>968</v>
      </c>
      <c r="O25" s="313"/>
      <c r="P25" s="317"/>
      <c r="Q25" s="307" t="s">
        <v>201</v>
      </c>
      <c r="R25" s="317" t="n">
        <f aca="false">+VLOOKUP($C$1,Hub,12)</f>
        <v>30008</v>
      </c>
    </row>
    <row r="26" customFormat="false" ht="18" hidden="false" customHeight="true" outlineLevel="0" collapsed="false">
      <c r="A26" s="330"/>
      <c r="D26" s="286"/>
      <c r="F26" s="297"/>
      <c r="G26" s="279"/>
      <c r="H26" s="312"/>
      <c r="I26" s="312"/>
      <c r="J26" s="312"/>
      <c r="K26" s="312"/>
      <c r="L26" s="314"/>
      <c r="M26" s="315" t="s">
        <v>203</v>
      </c>
      <c r="N26" s="317" t="n">
        <f aca="false">+VLOOKUP($C$1,Hub,10)</f>
        <v>968</v>
      </c>
      <c r="O26" s="313"/>
      <c r="P26" s="317"/>
      <c r="Q26" s="307" t="s">
        <v>204</v>
      </c>
      <c r="R26" s="317" t="n">
        <f aca="false">+VLOOKUP($C$1,Hub,13)</f>
        <v>29769</v>
      </c>
    </row>
    <row r="27" customFormat="false" ht="18" hidden="false" customHeight="true" outlineLevel="0" collapsed="false">
      <c r="A27" s="330"/>
      <c r="D27" s="286"/>
      <c r="F27" s="297"/>
      <c r="G27" s="279"/>
      <c r="H27" s="312"/>
      <c r="I27" s="312"/>
      <c r="J27" s="312"/>
      <c r="K27" s="312"/>
      <c r="L27" s="315"/>
      <c r="M27" s="315" t="s">
        <v>205</v>
      </c>
      <c r="N27" s="320" t="n">
        <f aca="false">+N26-N25</f>
        <v>0</v>
      </c>
      <c r="O27" s="313"/>
      <c r="P27" s="317"/>
      <c r="Q27" s="321" t="s">
        <v>206</v>
      </c>
      <c r="R27" s="320" t="n">
        <f aca="false">+R26-R25</f>
        <v>-239</v>
      </c>
    </row>
    <row r="28" customFormat="false" ht="18" hidden="false" customHeight="true" outlineLevel="0" collapsed="false">
      <c r="A28" s="330"/>
      <c r="C28" s="291"/>
      <c r="D28" s="286"/>
      <c r="F28" s="297"/>
      <c r="G28" s="279"/>
      <c r="H28" s="312"/>
      <c r="I28" s="312"/>
      <c r="J28" s="312"/>
      <c r="K28" s="312"/>
    </row>
    <row r="29" customFormat="false" ht="18" hidden="false" customHeight="true" outlineLevel="0" collapsed="false">
      <c r="D29" s="286"/>
      <c r="F29" s="297"/>
      <c r="G29" s="279"/>
      <c r="H29" s="312"/>
      <c r="I29" s="312"/>
      <c r="J29" s="312"/>
      <c r="K29" s="312"/>
      <c r="L29" s="322" t="str">
        <f aca="false">+Hub!P2</f>
        <v>CA HUB</v>
      </c>
      <c r="M29" s="324" t="str">
        <f aca="false">+Hub!P5</f>
        <v>Daily Lend Deal</v>
      </c>
      <c r="N29" s="322" t="n">
        <f aca="false">+Hub!P3</f>
        <v>168093</v>
      </c>
      <c r="O29" s="322"/>
      <c r="P29" s="307"/>
      <c r="Q29" s="307"/>
      <c r="R29" s="307"/>
    </row>
    <row r="30" customFormat="false" ht="18" hidden="false" customHeight="true" outlineLevel="0" collapsed="false">
      <c r="A30" s="330"/>
      <c r="D30" s="286"/>
      <c r="F30" s="297"/>
      <c r="G30" s="279"/>
      <c r="H30" s="312"/>
      <c r="I30" s="312"/>
      <c r="J30" s="312"/>
      <c r="K30" s="312"/>
      <c r="L30" s="305"/>
      <c r="M30" s="306"/>
      <c r="N30" s="307" t="s">
        <v>197</v>
      </c>
      <c r="O30" s="317" t="n">
        <f aca="false">+VLOOKUP($C$1,Hub,16)</f>
        <v>4193</v>
      </c>
      <c r="P30" s="308"/>
      <c r="Q30" s="306"/>
      <c r="R30" s="306"/>
    </row>
    <row r="31" customFormat="false" ht="18" hidden="false" customHeight="true" outlineLevel="0" collapsed="false">
      <c r="C31" s="291"/>
      <c r="D31" s="286"/>
      <c r="F31" s="297"/>
      <c r="G31" s="279"/>
      <c r="H31" s="312"/>
      <c r="I31" s="312"/>
      <c r="J31" s="312"/>
      <c r="K31" s="312"/>
      <c r="L31" s="306"/>
      <c r="M31" s="306"/>
      <c r="N31" s="307" t="s">
        <v>198</v>
      </c>
      <c r="O31" s="308" t="n">
        <f aca="false">+Hub!P37</f>
        <v>129983</v>
      </c>
      <c r="P31" s="308"/>
      <c r="Q31" s="306"/>
      <c r="R31" s="309"/>
    </row>
    <row r="32" customFormat="false" ht="18" hidden="false" customHeight="true" outlineLevel="0" collapsed="false">
      <c r="A32" s="330" t="s">
        <v>212</v>
      </c>
      <c r="B32" s="326" t="n">
        <f aca="false">SUM(B24:B31)</f>
        <v>276239</v>
      </c>
      <c r="C32" s="331" t="s">
        <v>209</v>
      </c>
      <c r="D32" s="328" t="n">
        <f aca="false">+B32-B24</f>
        <v>0</v>
      </c>
      <c r="F32" s="332"/>
      <c r="G32" s="279"/>
      <c r="H32" s="332"/>
      <c r="I32" s="332"/>
      <c r="J32" s="332"/>
      <c r="K32" s="0"/>
      <c r="L32" s="306"/>
      <c r="M32" s="306"/>
      <c r="N32" s="313"/>
      <c r="O32" s="313"/>
      <c r="P32" s="313"/>
      <c r="Q32" s="306"/>
      <c r="R32" s="309"/>
    </row>
    <row r="33" customFormat="false" ht="23.25" hidden="false" customHeight="true" outlineLevel="0" collapsed="false">
      <c r="A33" s="330" t="s">
        <v>213</v>
      </c>
      <c r="B33" s="333" t="n">
        <f aca="false">+B22+B32</f>
        <v>531574</v>
      </c>
      <c r="C33" s="291"/>
      <c r="D33" s="291"/>
      <c r="E33" s="291"/>
      <c r="F33" s="332" t="n">
        <f aca="false">SUM(F5:F21)</f>
        <v>97265.7</v>
      </c>
      <c r="G33" s="334"/>
      <c r="H33" s="332" t="n">
        <f aca="false">SUM(H5:H31)</f>
        <v>54177</v>
      </c>
      <c r="I33" s="332"/>
      <c r="J33" s="332" t="n">
        <f aca="false">SUM(J5:J31)</f>
        <v>-202569.3</v>
      </c>
      <c r="K33" s="0"/>
      <c r="L33" s="314"/>
      <c r="M33" s="315" t="s">
        <v>200</v>
      </c>
      <c r="N33" s="316" t="n">
        <f aca="false">+O30</f>
        <v>4193</v>
      </c>
      <c r="O33" s="313"/>
      <c r="P33" s="317"/>
      <c r="Q33" s="307" t="s">
        <v>201</v>
      </c>
      <c r="R33" s="317" t="n">
        <f aca="false">+VLOOKUP($C$1,Hub,19)</f>
        <v>129983</v>
      </c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  <c r="DK33" s="291"/>
      <c r="DL33" s="291"/>
      <c r="DM33" s="291"/>
      <c r="DN33" s="291"/>
      <c r="DO33" s="291"/>
      <c r="DP33" s="291"/>
      <c r="DQ33" s="291"/>
      <c r="DR33" s="291"/>
      <c r="DS33" s="291"/>
      <c r="DT33" s="291"/>
      <c r="DU33" s="291"/>
      <c r="DV33" s="291"/>
      <c r="DW33" s="291"/>
      <c r="DX33" s="291"/>
      <c r="DY33" s="291"/>
      <c r="DZ33" s="291"/>
      <c r="EA33" s="291"/>
      <c r="EB33" s="291"/>
      <c r="EC33" s="291"/>
      <c r="ED33" s="291"/>
      <c r="EE33" s="291"/>
      <c r="EF33" s="291"/>
      <c r="EG33" s="291"/>
      <c r="EH33" s="291"/>
      <c r="EI33" s="291"/>
      <c r="EJ33" s="291"/>
      <c r="EK33" s="291"/>
      <c r="EL33" s="291"/>
      <c r="EM33" s="291"/>
      <c r="EN33" s="291"/>
      <c r="EO33" s="291"/>
      <c r="EP33" s="291"/>
      <c r="EQ33" s="291"/>
      <c r="ER33" s="291"/>
      <c r="ES33" s="291"/>
      <c r="ET33" s="291"/>
      <c r="EU33" s="291"/>
      <c r="EV33" s="291"/>
      <c r="EW33" s="291"/>
      <c r="EX33" s="291"/>
      <c r="EY33" s="291"/>
      <c r="EZ33" s="291"/>
      <c r="FA33" s="291"/>
      <c r="FB33" s="291"/>
      <c r="FC33" s="291"/>
      <c r="FD33" s="291"/>
      <c r="FE33" s="291"/>
      <c r="FF33" s="291"/>
      <c r="FG33" s="291"/>
      <c r="FH33" s="291"/>
      <c r="FI33" s="291"/>
      <c r="FJ33" s="291"/>
      <c r="FK33" s="291"/>
      <c r="FL33" s="291"/>
      <c r="FM33" s="291"/>
      <c r="FN33" s="291"/>
      <c r="FO33" s="291"/>
      <c r="FP33" s="291"/>
      <c r="FQ33" s="291"/>
      <c r="FR33" s="291"/>
      <c r="FS33" s="291"/>
      <c r="FT33" s="291"/>
      <c r="FU33" s="291"/>
      <c r="FV33" s="291"/>
      <c r="FW33" s="291"/>
      <c r="FX33" s="291"/>
      <c r="FY33" s="291"/>
      <c r="FZ33" s="291"/>
      <c r="GA33" s="291"/>
      <c r="GB33" s="291"/>
      <c r="GC33" s="291"/>
      <c r="GD33" s="291"/>
      <c r="GE33" s="291"/>
      <c r="GF33" s="291"/>
      <c r="GG33" s="291"/>
      <c r="GH33" s="291"/>
      <c r="GI33" s="291"/>
      <c r="GJ33" s="291"/>
      <c r="GK33" s="291"/>
      <c r="GL33" s="291"/>
      <c r="GM33" s="291"/>
      <c r="GN33" s="291"/>
      <c r="GO33" s="291"/>
      <c r="GP33" s="291"/>
      <c r="GQ33" s="291"/>
      <c r="GR33" s="291"/>
      <c r="GS33" s="291"/>
      <c r="GT33" s="291"/>
      <c r="GU33" s="291"/>
      <c r="GV33" s="291"/>
      <c r="GW33" s="291"/>
      <c r="GX33" s="291"/>
      <c r="GY33" s="291"/>
      <c r="GZ33" s="291"/>
      <c r="HA33" s="291"/>
      <c r="HB33" s="291"/>
      <c r="HC33" s="291"/>
      <c r="HD33" s="291"/>
      <c r="HE33" s="291"/>
      <c r="HF33" s="291"/>
      <c r="HG33" s="291"/>
      <c r="HH33" s="291"/>
      <c r="HI33" s="291"/>
      <c r="HJ33" s="291"/>
      <c r="HK33" s="291"/>
      <c r="HL33" s="291"/>
      <c r="HM33" s="291"/>
      <c r="HN33" s="291"/>
      <c r="HO33" s="291"/>
      <c r="HP33" s="291"/>
      <c r="HQ33" s="291"/>
      <c r="HR33" s="291"/>
      <c r="HS33" s="291"/>
      <c r="HT33" s="291"/>
      <c r="HU33" s="291"/>
      <c r="HV33" s="291"/>
      <c r="HW33" s="291"/>
      <c r="HX33" s="291"/>
      <c r="HY33" s="291"/>
      <c r="HZ33" s="291"/>
      <c r="IA33" s="291"/>
      <c r="IB33" s="291"/>
      <c r="IC33" s="291"/>
      <c r="ID33" s="291"/>
      <c r="IE33" s="291"/>
      <c r="IF33" s="291"/>
      <c r="IG33" s="291"/>
      <c r="IH33" s="291"/>
      <c r="II33" s="291"/>
      <c r="IJ33" s="291"/>
      <c r="IK33" s="291"/>
      <c r="IL33" s="291"/>
      <c r="IM33" s="291"/>
      <c r="IN33" s="291"/>
      <c r="IO33" s="291"/>
      <c r="IP33" s="291"/>
      <c r="IQ33" s="291"/>
      <c r="IR33" s="291"/>
      <c r="IS33" s="291"/>
      <c r="IT33" s="291"/>
      <c r="IU33" s="291"/>
      <c r="IV33" s="291"/>
      <c r="IW33" s="291"/>
    </row>
    <row r="34" customFormat="false" ht="18" hidden="false" customHeight="true" outlineLevel="0" collapsed="false">
      <c r="B34" s="291"/>
      <c r="F34" s="312"/>
      <c r="G34" s="312"/>
      <c r="H34" s="312"/>
      <c r="I34" s="335"/>
      <c r="J34" s="312"/>
      <c r="K34" s="312"/>
      <c r="L34" s="314"/>
      <c r="M34" s="315" t="s">
        <v>203</v>
      </c>
      <c r="N34" s="317" t="n">
        <f aca="false">+VLOOKUP($C$1,Hub,17)</f>
        <v>4193</v>
      </c>
      <c r="O34" s="313"/>
      <c r="P34" s="317"/>
      <c r="Q34" s="307" t="s">
        <v>204</v>
      </c>
      <c r="R34" s="317" t="n">
        <f aca="false">+VLOOKUP($C$1,Hub,20)</f>
        <v>129398</v>
      </c>
    </row>
    <row r="35" customFormat="false" ht="18" hidden="false" customHeight="true" outlineLevel="0" collapsed="false">
      <c r="B35" s="336"/>
      <c r="F35" s="337"/>
      <c r="H35" s="312"/>
      <c r="L35" s="315"/>
      <c r="M35" s="315" t="s">
        <v>205</v>
      </c>
      <c r="N35" s="320" t="n">
        <f aca="false">+N34-N33</f>
        <v>0</v>
      </c>
      <c r="O35" s="313"/>
      <c r="P35" s="317"/>
      <c r="Q35" s="321" t="s">
        <v>206</v>
      </c>
      <c r="R35" s="320" t="n">
        <f aca="false">+R34-R33</f>
        <v>-585</v>
      </c>
    </row>
    <row r="36" customFormat="false" ht="18" hidden="false" customHeight="true" outlineLevel="0" collapsed="false">
      <c r="A36" s="277" t="s">
        <v>214</v>
      </c>
      <c r="B36" s="338"/>
      <c r="F36" s="291"/>
      <c r="H36" s="312"/>
    </row>
    <row r="37" customFormat="false" ht="18" hidden="false" customHeight="true" outlineLevel="0" collapsed="false">
      <c r="A37" s="277" t="s">
        <v>215</v>
      </c>
      <c r="B37" s="339" t="n">
        <v>70000</v>
      </c>
      <c r="H37" s="312"/>
      <c r="L37" s="340" t="str">
        <f aca="false">+Hub!V2</f>
        <v>CA HUB</v>
      </c>
      <c r="M37" s="324" t="str">
        <f aca="false">+Hub!V5</f>
        <v>Daily Lend Deal</v>
      </c>
      <c r="N37" s="340" t="n">
        <f aca="false">+Hub!V3</f>
        <v>245352</v>
      </c>
      <c r="O37" s="322"/>
      <c r="P37" s="307"/>
      <c r="Q37" s="307"/>
      <c r="R37" s="307"/>
    </row>
    <row r="38" customFormat="false" ht="18" hidden="false" customHeight="true" outlineLevel="0" collapsed="false">
      <c r="A38" s="277" t="s">
        <v>213</v>
      </c>
      <c r="B38" s="333" t="n">
        <f aca="false">SUM(B33:B37)</f>
        <v>601574</v>
      </c>
      <c r="H38" s="312"/>
      <c r="L38" s="305"/>
      <c r="M38" s="306"/>
      <c r="N38" s="307" t="s">
        <v>197</v>
      </c>
      <c r="O38" s="317" t="n">
        <f aca="false">+VLOOKUP($C$1,Hub,22)</f>
        <v>4000</v>
      </c>
      <c r="P38" s="308"/>
      <c r="Q38" s="306"/>
      <c r="R38" s="306"/>
    </row>
    <row r="39" customFormat="false" ht="18" hidden="false" customHeight="true" outlineLevel="0" collapsed="false">
      <c r="H39" s="312"/>
      <c r="L39" s="306"/>
      <c r="M39" s="306"/>
      <c r="N39" s="307" t="s">
        <v>198</v>
      </c>
      <c r="O39" s="308" t="n">
        <f aca="false">+Hub!V37</f>
        <v>124000</v>
      </c>
      <c r="P39" s="308"/>
      <c r="Q39" s="306"/>
      <c r="R39" s="309"/>
    </row>
    <row r="40" customFormat="false" ht="18" hidden="false" customHeight="true" outlineLevel="0" collapsed="false">
      <c r="H40" s="312"/>
      <c r="L40" s="306"/>
      <c r="M40" s="306"/>
      <c r="N40" s="313"/>
      <c r="O40" s="313"/>
      <c r="P40" s="313"/>
      <c r="Q40" s="306"/>
      <c r="R40" s="309"/>
    </row>
    <row r="41" customFormat="false" ht="18" hidden="false" customHeight="true" outlineLevel="0" collapsed="false">
      <c r="A41" s="341" t="s">
        <v>216</v>
      </c>
      <c r="B41" s="342"/>
      <c r="E41" s="278"/>
      <c r="G41" s="291"/>
      <c r="H41" s="312"/>
      <c r="L41" s="314"/>
      <c r="M41" s="315" t="s">
        <v>200</v>
      </c>
      <c r="N41" s="316" t="n">
        <f aca="false">+O38</f>
        <v>4000</v>
      </c>
      <c r="O41" s="313"/>
      <c r="P41" s="317"/>
      <c r="Q41" s="307" t="s">
        <v>201</v>
      </c>
      <c r="R41" s="317" t="n">
        <f aca="false">+VLOOKUP($C$1,Hub,25)</f>
        <v>124000</v>
      </c>
    </row>
    <row r="42" customFormat="false" ht="18" hidden="false" customHeight="true" outlineLevel="0" collapsed="false">
      <c r="A42" s="277" t="s">
        <v>13</v>
      </c>
      <c r="B42" s="318" t="n">
        <v>5000</v>
      </c>
      <c r="D42" s="343"/>
      <c r="E42" s="344"/>
      <c r="F42" s="343"/>
      <c r="G42" s="291"/>
      <c r="H42" s="312"/>
      <c r="I42" s="291"/>
      <c r="J42" s="291"/>
      <c r="K42" s="291"/>
      <c r="L42" s="314"/>
      <c r="M42" s="315" t="s">
        <v>203</v>
      </c>
      <c r="N42" s="317" t="n">
        <f aca="false">+VLOOKUP($C$1,Hub,23)</f>
        <v>4000</v>
      </c>
      <c r="O42" s="313"/>
      <c r="P42" s="317"/>
      <c r="Q42" s="307" t="s">
        <v>204</v>
      </c>
      <c r="R42" s="317" t="n">
        <f aca="false">+VLOOKUP($C$1,Hub,26)</f>
        <v>124000</v>
      </c>
    </row>
    <row r="43" customFormat="false" ht="30.75" hidden="false" customHeight="true" outlineLevel="0" collapsed="false">
      <c r="A43" s="345" t="s">
        <v>217</v>
      </c>
      <c r="B43" s="318" t="n">
        <f aca="false">41376+14000</f>
        <v>55376</v>
      </c>
      <c r="D43" s="343"/>
      <c r="E43" s="344"/>
      <c r="F43" s="346"/>
      <c r="G43" s="291"/>
      <c r="H43" s="312"/>
      <c r="L43" s="315"/>
      <c r="M43" s="315" t="s">
        <v>205</v>
      </c>
      <c r="N43" s="320" t="n">
        <f aca="false">+N42-N41</f>
        <v>0</v>
      </c>
      <c r="O43" s="313"/>
      <c r="P43" s="317"/>
      <c r="Q43" s="321" t="s">
        <v>206</v>
      </c>
      <c r="R43" s="320" t="n">
        <f aca="false">+R42-R41</f>
        <v>0</v>
      </c>
    </row>
    <row r="44" customFormat="false" ht="18" hidden="false" customHeight="true" outlineLevel="0" collapsed="false">
      <c r="A44" s="277" t="s">
        <v>218</v>
      </c>
      <c r="B44" s="318" t="n">
        <v>4178</v>
      </c>
      <c r="D44" s="347"/>
      <c r="E44" s="344"/>
      <c r="F44" s="346"/>
      <c r="G44" s="291"/>
      <c r="H44" s="312"/>
    </row>
    <row r="45" customFormat="false" ht="18" hidden="false" customHeight="true" outlineLevel="0" collapsed="false">
      <c r="A45" s="277" t="s">
        <v>15</v>
      </c>
      <c r="B45" s="318" t="n">
        <v>80000</v>
      </c>
      <c r="D45" s="343"/>
      <c r="E45" s="344"/>
      <c r="F45" s="348"/>
      <c r="G45" s="291"/>
      <c r="H45" s="312"/>
      <c r="L45" s="340" t="str">
        <f aca="false">+Hub!AB2</f>
        <v>CA HUB</v>
      </c>
      <c r="M45" s="324" t="str">
        <f aca="false">+Hub!AB5</f>
        <v>Daily Lend Deal</v>
      </c>
      <c r="N45" s="340" t="n">
        <f aca="false">+Hub!AB3</f>
        <v>301942</v>
      </c>
      <c r="O45" s="322"/>
      <c r="P45" s="307"/>
      <c r="Q45" s="307"/>
      <c r="R45" s="307"/>
    </row>
    <row r="46" customFormat="false" ht="15" hidden="false" customHeight="true" outlineLevel="0" collapsed="false">
      <c r="A46" s="277" t="s">
        <v>16</v>
      </c>
      <c r="B46" s="318" t="n">
        <f aca="false">10000+10460</f>
        <v>20460</v>
      </c>
      <c r="D46" s="343"/>
      <c r="E46" s="344"/>
      <c r="F46" s="346"/>
      <c r="G46" s="291"/>
      <c r="H46" s="312"/>
      <c r="L46" s="305"/>
      <c r="M46" s="306"/>
      <c r="N46" s="307" t="s">
        <v>197</v>
      </c>
      <c r="O46" s="317" t="n">
        <f aca="false">+VLOOKUP($C$1,Hub,28)</f>
        <v>10000</v>
      </c>
      <c r="P46" s="308"/>
      <c r="Q46" s="306"/>
      <c r="R46" s="306"/>
    </row>
    <row r="47" customFormat="false" ht="18" hidden="false" customHeight="true" outlineLevel="0" collapsed="false">
      <c r="A47" s="277" t="s">
        <v>9</v>
      </c>
      <c r="B47" s="318" t="n">
        <v>30000</v>
      </c>
      <c r="D47" s="343"/>
      <c r="E47" s="344"/>
      <c r="F47" s="346"/>
      <c r="G47" s="291"/>
      <c r="H47" s="312"/>
      <c r="L47" s="306"/>
      <c r="M47" s="306"/>
      <c r="N47" s="307" t="s">
        <v>198</v>
      </c>
      <c r="O47" s="308" t="n">
        <f aca="false">+Hub!AB37</f>
        <v>310000</v>
      </c>
      <c r="P47" s="308"/>
      <c r="Q47" s="306"/>
      <c r="R47" s="309"/>
    </row>
    <row r="48" customFormat="false" ht="18" hidden="false" customHeight="true" outlineLevel="0" collapsed="false">
      <c r="A48" s="277" t="s">
        <v>10</v>
      </c>
      <c r="B48" s="318" t="n">
        <f aca="false">10000+10000</f>
        <v>20000</v>
      </c>
      <c r="D48" s="343"/>
      <c r="E48" s="344"/>
      <c r="F48" s="346"/>
      <c r="G48" s="291"/>
      <c r="H48" s="312"/>
      <c r="L48" s="306"/>
      <c r="M48" s="306"/>
      <c r="N48" s="313"/>
      <c r="O48" s="313"/>
      <c r="P48" s="313"/>
      <c r="Q48" s="306"/>
      <c r="R48" s="309"/>
    </row>
    <row r="49" customFormat="false" ht="18" hidden="false" customHeight="true" outlineLevel="0" collapsed="false">
      <c r="A49" s="277" t="s">
        <v>219</v>
      </c>
      <c r="B49" s="318" t="n">
        <v>3000</v>
      </c>
      <c r="D49" s="343"/>
      <c r="E49" s="344"/>
      <c r="F49" s="281"/>
      <c r="G49" s="291"/>
      <c r="H49" s="281"/>
      <c r="L49" s="314"/>
      <c r="M49" s="315" t="s">
        <v>200</v>
      </c>
      <c r="N49" s="316" t="n">
        <f aca="false">+O46</f>
        <v>10000</v>
      </c>
      <c r="O49" s="313"/>
      <c r="P49" s="317"/>
      <c r="Q49" s="307" t="s">
        <v>201</v>
      </c>
      <c r="R49" s="317" t="n">
        <f aca="false">+VLOOKUP($C$1,Hub,31)</f>
        <v>310000</v>
      </c>
    </row>
    <row r="50" customFormat="false" ht="18" hidden="false" customHeight="true" outlineLevel="0" collapsed="false">
      <c r="A50" s="277" t="s">
        <v>11</v>
      </c>
      <c r="B50" s="318" t="n">
        <v>5000</v>
      </c>
      <c r="D50" s="343"/>
      <c r="E50" s="344"/>
      <c r="F50" s="346"/>
      <c r="G50" s="291"/>
      <c r="H50" s="312"/>
      <c r="I50" s="291"/>
      <c r="J50" s="291"/>
      <c r="K50" s="291"/>
      <c r="L50" s="314"/>
      <c r="M50" s="315" t="s">
        <v>203</v>
      </c>
      <c r="N50" s="317" t="n">
        <f aca="false">+VLOOKUP($C$1,Hub,29)</f>
        <v>10000</v>
      </c>
      <c r="O50" s="313"/>
      <c r="P50" s="317"/>
      <c r="Q50" s="307" t="s">
        <v>204</v>
      </c>
      <c r="R50" s="317" t="n">
        <f aca="false">+VLOOKUP($C$1,Hub,32)</f>
        <v>310000</v>
      </c>
    </row>
    <row r="51" customFormat="false" ht="18" hidden="false" customHeight="true" outlineLevel="0" collapsed="false">
      <c r="A51" s="277" t="s">
        <v>18</v>
      </c>
      <c r="B51" s="318" t="n">
        <f aca="false">2000+5000</f>
        <v>7000</v>
      </c>
      <c r="D51" s="343"/>
      <c r="E51" s="344"/>
      <c r="F51" s="346"/>
      <c r="G51" s="291"/>
      <c r="H51" s="312"/>
      <c r="I51" s="291"/>
      <c r="J51" s="291"/>
      <c r="K51" s="291"/>
      <c r="L51" s="315"/>
      <c r="M51" s="315" t="s">
        <v>205</v>
      </c>
      <c r="N51" s="320" t="n">
        <f aca="false">+N50-N49</f>
        <v>0</v>
      </c>
      <c r="O51" s="313"/>
      <c r="P51" s="317"/>
      <c r="Q51" s="321" t="s">
        <v>206</v>
      </c>
      <c r="R51" s="320" t="n">
        <f aca="false">+R50-R49</f>
        <v>0</v>
      </c>
    </row>
    <row r="52" customFormat="false" ht="18" hidden="false" customHeight="true" outlineLevel="0" collapsed="false">
      <c r="I52" s="291"/>
      <c r="J52" s="291"/>
      <c r="K52" s="291"/>
    </row>
    <row r="53" customFormat="false" ht="18" hidden="false" customHeight="true" outlineLevel="0" collapsed="false">
      <c r="B53" s="318"/>
      <c r="D53" s="343"/>
      <c r="E53" s="344"/>
      <c r="F53" s="346"/>
      <c r="G53" s="291"/>
      <c r="H53" s="312"/>
      <c r="I53" s="291"/>
      <c r="J53" s="291"/>
      <c r="K53" s="291"/>
      <c r="L53" s="340" t="str">
        <f aca="false">+Hub!AH2</f>
        <v>CA HUB</v>
      </c>
      <c r="M53" s="324" t="str">
        <f aca="false">+Hub!AH5</f>
        <v>Daily Lend Deal</v>
      </c>
      <c r="N53" s="340" t="n">
        <f aca="false">+Hub!AH3</f>
        <v>152174</v>
      </c>
      <c r="O53" s="349" t="s">
        <v>220</v>
      </c>
      <c r="P53" s="307"/>
      <c r="Q53" s="307"/>
      <c r="R53" s="307"/>
    </row>
    <row r="54" customFormat="false" ht="18" hidden="false" customHeight="true" outlineLevel="0" collapsed="false">
      <c r="B54" s="318"/>
      <c r="D54" s="343"/>
      <c r="E54" s="344"/>
      <c r="F54" s="346"/>
      <c r="G54" s="291"/>
      <c r="H54" s="312"/>
      <c r="L54" s="305"/>
      <c r="M54" s="306"/>
      <c r="N54" s="307" t="s">
        <v>197</v>
      </c>
      <c r="O54" s="317" t="n">
        <f aca="false">+VLOOKUP($C$1,Hub,34)</f>
        <v>2500</v>
      </c>
      <c r="P54" s="308"/>
      <c r="Q54" s="306"/>
      <c r="R54" s="306"/>
    </row>
    <row r="55" customFormat="false" ht="18" hidden="false" customHeight="true" outlineLevel="0" collapsed="false">
      <c r="B55" s="318"/>
      <c r="D55" s="343"/>
      <c r="E55" s="344"/>
      <c r="F55" s="346"/>
      <c r="G55" s="291"/>
      <c r="H55" s="312"/>
      <c r="L55" s="306"/>
      <c r="M55" s="306"/>
      <c r="N55" s="307" t="s">
        <v>198</v>
      </c>
      <c r="O55" s="308" t="n">
        <f aca="false">+Hub!AH37</f>
        <v>50000</v>
      </c>
      <c r="P55" s="308"/>
      <c r="Q55" s="306"/>
      <c r="R55" s="309"/>
    </row>
    <row r="56" customFormat="false" ht="18" hidden="false" customHeight="true" outlineLevel="0" collapsed="false">
      <c r="A56" s="330"/>
      <c r="B56" s="318"/>
      <c r="D56" s="343"/>
      <c r="E56" s="344"/>
      <c r="F56" s="346"/>
      <c r="G56" s="291"/>
      <c r="H56" s="312"/>
      <c r="L56" s="306"/>
      <c r="M56" s="306"/>
      <c r="N56" s="313"/>
      <c r="O56" s="313"/>
      <c r="P56" s="313"/>
      <c r="Q56" s="306"/>
      <c r="R56" s="309"/>
    </row>
    <row r="57" customFormat="false" ht="18" hidden="false" customHeight="true" outlineLevel="0" collapsed="false">
      <c r="B57" s="318"/>
      <c r="C57" s="286"/>
      <c r="D57" s="343"/>
      <c r="E57" s="344"/>
      <c r="F57" s="346"/>
      <c r="G57" s="291"/>
      <c r="H57" s="312"/>
      <c r="L57" s="314"/>
      <c r="M57" s="315" t="s">
        <v>200</v>
      </c>
      <c r="N57" s="316" t="n">
        <f aca="false">+O54</f>
        <v>2500</v>
      </c>
      <c r="O57" s="313"/>
      <c r="P57" s="317"/>
      <c r="Q57" s="307" t="s">
        <v>201</v>
      </c>
      <c r="R57" s="317" t="n">
        <f aca="false">+VLOOKUP($C$1,Hub,37)</f>
        <v>50000</v>
      </c>
    </row>
    <row r="58" customFormat="false" ht="18" hidden="false" customHeight="true" outlineLevel="0" collapsed="false">
      <c r="B58" s="318"/>
      <c r="D58" s="343"/>
      <c r="E58" s="344"/>
      <c r="F58" s="346"/>
      <c r="G58" s="291"/>
      <c r="H58" s="312"/>
      <c r="L58" s="314"/>
      <c r="M58" s="315" t="s">
        <v>203</v>
      </c>
      <c r="N58" s="317" t="n">
        <f aca="false">+VLOOKUP($C$1,Hub,35)</f>
        <v>5000</v>
      </c>
      <c r="O58" s="313"/>
      <c r="P58" s="317"/>
      <c r="Q58" s="307" t="s">
        <v>204</v>
      </c>
      <c r="R58" s="317" t="n">
        <f aca="false">+VLOOKUP($C$1,Hub,38)</f>
        <v>49778</v>
      </c>
    </row>
    <row r="59" customFormat="false" ht="18" hidden="false" customHeight="true" outlineLevel="0" collapsed="false">
      <c r="A59" s="350" t="s">
        <v>221</v>
      </c>
      <c r="B59" s="351" t="n">
        <f aca="false">VLOOKUP(+$C$1,EOLSupplies,129)</f>
        <v>35000</v>
      </c>
      <c r="E59" s="278"/>
      <c r="F59" s="301" t="n">
        <f aca="false">VLOOKUP(+$C$1,EOLSupplies,130)</f>
        <v>0</v>
      </c>
      <c r="G59" s="312"/>
      <c r="H59" s="301" t="n">
        <f aca="false">VLOOKUP(+$C$1,EOLSupplies,131)</f>
        <v>-42990</v>
      </c>
      <c r="L59" s="315"/>
      <c r="M59" s="315" t="s">
        <v>205</v>
      </c>
      <c r="N59" s="320" t="n">
        <f aca="false">+N58-N57</f>
        <v>2500</v>
      </c>
      <c r="O59" s="313"/>
      <c r="P59" s="317"/>
      <c r="Q59" s="321" t="s">
        <v>206</v>
      </c>
      <c r="R59" s="320" t="n">
        <f aca="false">+R58-R57</f>
        <v>-222</v>
      </c>
    </row>
    <row r="60" customFormat="false" ht="18" hidden="false" customHeight="true" outlineLevel="0" collapsed="false">
      <c r="A60" s="277" t="s">
        <v>222</v>
      </c>
      <c r="B60" s="328" t="n">
        <f aca="false">SUM(B42:B59)</f>
        <v>265014</v>
      </c>
      <c r="C60" s="327" t="s">
        <v>209</v>
      </c>
      <c r="D60" s="328" t="n">
        <f aca="false">+B60-B59</f>
        <v>230014</v>
      </c>
      <c r="E60" s="278"/>
      <c r="F60" s="281" t="s">
        <v>192</v>
      </c>
      <c r="G60" s="291"/>
      <c r="H60" s="281" t="s">
        <v>193</v>
      </c>
    </row>
    <row r="61" customFormat="false" ht="18" hidden="false" customHeight="true" outlineLevel="0" collapsed="false">
      <c r="E61" s="278"/>
      <c r="F61" s="296" t="s">
        <v>75</v>
      </c>
      <c r="G61" s="291"/>
      <c r="H61" s="296" t="s">
        <v>75</v>
      </c>
      <c r="I61" s="291"/>
      <c r="J61" s="291"/>
      <c r="K61" s="291"/>
      <c r="L61" s="340" t="str">
        <f aca="false">+Hub!AN2</f>
        <v>CA HUB</v>
      </c>
      <c r="M61" s="324" t="str">
        <f aca="false">+Hub!AN5</f>
        <v>Daily Park Deal</v>
      </c>
      <c r="N61" s="340" t="n">
        <f aca="false">+Hub!AN3</f>
        <v>293828</v>
      </c>
      <c r="O61" s="322"/>
      <c r="P61" s="307"/>
      <c r="Q61" s="307"/>
      <c r="R61" s="307"/>
    </row>
    <row r="62" customFormat="false" ht="18" hidden="false" customHeight="true" outlineLevel="0" collapsed="false">
      <c r="A62" s="341" t="s">
        <v>223</v>
      </c>
      <c r="L62" s="305"/>
      <c r="M62" s="306"/>
      <c r="N62" s="307" t="s">
        <v>197</v>
      </c>
      <c r="O62" s="317" t="n">
        <f aca="false">+VLOOKUP($C$1,Hub,40)</f>
        <v>5000</v>
      </c>
      <c r="P62" s="308"/>
      <c r="Q62" s="306"/>
      <c r="R62" s="306"/>
    </row>
    <row r="63" customFormat="false" ht="18" hidden="false" customHeight="true" outlineLevel="0" collapsed="false">
      <c r="A63" s="350" t="s">
        <v>224</v>
      </c>
      <c r="B63" s="351" t="n">
        <f aca="false">VLOOKUP(+$C$1,EOLSupplies,49)</f>
        <v>290000</v>
      </c>
      <c r="E63" s="278"/>
      <c r="F63" s="301" t="n">
        <f aca="false">VLOOKUP(+$C$1,EOLSupplies,133)</f>
        <v>0</v>
      </c>
      <c r="G63" s="312"/>
      <c r="H63" s="301" t="n">
        <f aca="false">VLOOKUP(+$C$1,EOLSupplies,134)</f>
        <v>0</v>
      </c>
      <c r="L63" s="306"/>
      <c r="M63" s="306"/>
      <c r="N63" s="307" t="s">
        <v>198</v>
      </c>
      <c r="O63" s="308" t="n">
        <f aca="false">+Hub!AN37</f>
        <v>155000</v>
      </c>
      <c r="P63" s="308"/>
      <c r="Q63" s="306"/>
      <c r="R63" s="309"/>
    </row>
    <row r="64" customFormat="false" ht="18" hidden="false" customHeight="true" outlineLevel="0" collapsed="false">
      <c r="A64" s="277" t="s">
        <v>225</v>
      </c>
      <c r="B64" s="278" t="n">
        <v>1338</v>
      </c>
      <c r="L64" s="306"/>
      <c r="M64" s="306"/>
      <c r="N64" s="313"/>
      <c r="O64" s="313"/>
      <c r="P64" s="313"/>
      <c r="Q64" s="306"/>
      <c r="R64" s="309"/>
    </row>
    <row r="65" customFormat="false" ht="18" hidden="false" customHeight="true" outlineLevel="0" collapsed="false">
      <c r="A65" s="277" t="s">
        <v>226</v>
      </c>
      <c r="B65" s="278" t="n">
        <v>23948</v>
      </c>
      <c r="E65" s="278"/>
      <c r="L65" s="314"/>
      <c r="M65" s="315" t="s">
        <v>200</v>
      </c>
      <c r="N65" s="316" t="n">
        <f aca="false">+O62</f>
        <v>5000</v>
      </c>
      <c r="O65" s="313"/>
      <c r="P65" s="317"/>
      <c r="Q65" s="307" t="s">
        <v>201</v>
      </c>
      <c r="R65" s="317" t="n">
        <f aca="false">+VLOOKUP($C$1,Hub,43)</f>
        <v>155000</v>
      </c>
    </row>
    <row r="66" customFormat="false" ht="18" hidden="false" customHeight="true" outlineLevel="0" collapsed="false">
      <c r="D66" s="286"/>
      <c r="E66" s="278"/>
      <c r="F66" s="348"/>
      <c r="G66" s="291"/>
      <c r="H66" s="312"/>
      <c r="L66" s="314"/>
      <c r="M66" s="315" t="s">
        <v>203</v>
      </c>
      <c r="N66" s="317" t="n">
        <f aca="false">+VLOOKUP($C$1,Hub,41)</f>
        <v>5000</v>
      </c>
      <c r="O66" s="313"/>
      <c r="P66" s="317"/>
      <c r="Q66" s="307" t="s">
        <v>204</v>
      </c>
      <c r="R66" s="317" t="n">
        <f aca="false">+VLOOKUP($C$1,Hub,44)</f>
        <v>155000</v>
      </c>
    </row>
    <row r="67" customFormat="false" ht="18" hidden="false" customHeight="true" outlineLevel="0" collapsed="false">
      <c r="D67" s="343"/>
      <c r="E67" s="278"/>
      <c r="F67" s="348"/>
      <c r="G67" s="291"/>
      <c r="H67" s="291"/>
      <c r="L67" s="315"/>
      <c r="M67" s="315" t="s">
        <v>205</v>
      </c>
      <c r="N67" s="320" t="n">
        <f aca="false">+N66-N65</f>
        <v>0</v>
      </c>
      <c r="O67" s="313"/>
      <c r="P67" s="317"/>
      <c r="Q67" s="321" t="s">
        <v>206</v>
      </c>
      <c r="R67" s="320" t="n">
        <f aca="false">+R66-R65</f>
        <v>0</v>
      </c>
    </row>
    <row r="68" customFormat="false" ht="18" hidden="false" customHeight="true" outlineLevel="0" collapsed="false">
      <c r="B68" s="352"/>
      <c r="D68" s="343"/>
      <c r="E68" s="278"/>
      <c r="F68" s="348"/>
      <c r="G68" s="291"/>
      <c r="H68" s="291"/>
    </row>
    <row r="69" customFormat="false" ht="18" hidden="false" customHeight="true" outlineLevel="0" collapsed="false">
      <c r="D69" s="343"/>
      <c r="E69" s="278"/>
      <c r="F69" s="348"/>
      <c r="G69" s="291"/>
      <c r="H69" s="291"/>
      <c r="I69" s="278"/>
    </row>
    <row r="70" customFormat="false" ht="18" hidden="false" customHeight="true" outlineLevel="0" collapsed="false">
      <c r="D70" s="291"/>
      <c r="E70" s="278"/>
      <c r="F70" s="348"/>
      <c r="G70" s="291"/>
      <c r="H70" s="291"/>
      <c r="I70" s="278"/>
    </row>
    <row r="71" customFormat="false" ht="18" hidden="false" customHeight="true" outlineLevel="0" collapsed="false">
      <c r="B71" s="352"/>
      <c r="D71" s="291"/>
      <c r="E71" s="278"/>
      <c r="F71" s="348"/>
      <c r="G71" s="291"/>
      <c r="H71" s="291"/>
      <c r="I71" s="278"/>
    </row>
    <row r="72" customFormat="false" ht="18" hidden="false" customHeight="true" outlineLevel="0" collapsed="false">
      <c r="A72" s="277" t="s">
        <v>227</v>
      </c>
      <c r="B72" s="353" t="n">
        <f aca="false">SUM(B63:B71)</f>
        <v>315286</v>
      </c>
      <c r="C72" s="327" t="s">
        <v>209</v>
      </c>
      <c r="D72" s="328" t="n">
        <f aca="false">+B72-B63</f>
        <v>25286</v>
      </c>
      <c r="E72" s="278"/>
      <c r="F72" s="328" t="n">
        <f aca="false">SUM(F53:F71)</f>
        <v>0</v>
      </c>
      <c r="H72" s="328" t="n">
        <f aca="false">SUM(H53:H71)</f>
        <v>-42990</v>
      </c>
      <c r="I72" s="278"/>
    </row>
    <row r="73" customFormat="false" ht="18" hidden="false" customHeight="true" outlineLevel="0" collapsed="false">
      <c r="A73" s="277" t="s">
        <v>228</v>
      </c>
      <c r="B73" s="333" t="n">
        <f aca="false">+B60+B72</f>
        <v>580300</v>
      </c>
      <c r="C73" s="291"/>
      <c r="D73" s="278"/>
      <c r="E73" s="291"/>
      <c r="F73" s="354"/>
      <c r="I73" s="313"/>
      <c r="J73" s="355" t="s">
        <v>229</v>
      </c>
      <c r="K73" s="355"/>
      <c r="L73" s="355"/>
      <c r="M73" s="313"/>
      <c r="N73" s="356"/>
      <c r="O73" s="313"/>
      <c r="P73" s="313"/>
    </row>
    <row r="74" customFormat="false" ht="18" hidden="false" customHeight="true" outlineLevel="0" collapsed="false">
      <c r="C74" s="357"/>
      <c r="E74" s="278"/>
      <c r="F74" s="278"/>
      <c r="I74" s="313"/>
      <c r="J74" s="306" t="s">
        <v>230</v>
      </c>
      <c r="K74" s="306"/>
      <c r="L74" s="358" t="n">
        <f aca="false">-46021+64343</f>
        <v>18322</v>
      </c>
      <c r="M74" s="313"/>
      <c r="N74" s="356"/>
      <c r="O74" s="313"/>
      <c r="P74" s="313"/>
    </row>
    <row r="75" customFormat="false" ht="18" hidden="false" customHeight="true" outlineLevel="0" collapsed="false">
      <c r="A75" s="277" t="s">
        <v>231</v>
      </c>
      <c r="B75" s="359" t="n">
        <f aca="false">B38-B73</f>
        <v>21274</v>
      </c>
      <c r="C75" s="291"/>
      <c r="E75" s="278"/>
      <c r="F75" s="357"/>
      <c r="I75" s="313"/>
      <c r="J75" s="306" t="s">
        <v>232</v>
      </c>
      <c r="K75" s="306"/>
      <c r="L75" s="311" t="n">
        <f aca="false">+D60</f>
        <v>230014</v>
      </c>
      <c r="M75" s="313"/>
      <c r="N75" s="356"/>
      <c r="O75" s="313"/>
      <c r="P75" s="313"/>
    </row>
    <row r="76" customFormat="false" ht="18" hidden="false" customHeight="true" outlineLevel="0" collapsed="false">
      <c r="E76" s="278"/>
      <c r="F76" s="278"/>
      <c r="G76" s="279"/>
      <c r="H76" s="279"/>
      <c r="I76" s="313"/>
      <c r="J76" s="306" t="s">
        <v>233</v>
      </c>
      <c r="K76" s="306"/>
      <c r="L76" s="311" t="n">
        <f aca="false">+B59</f>
        <v>35000</v>
      </c>
      <c r="M76" s="313"/>
      <c r="N76" s="356"/>
      <c r="O76" s="313"/>
      <c r="P76" s="313"/>
    </row>
    <row r="77" customFormat="false" ht="18" hidden="false" customHeight="true" outlineLevel="0" collapsed="false">
      <c r="A77" s="330"/>
      <c r="B77" s="360" t="s">
        <v>143</v>
      </c>
      <c r="C77" s="291"/>
      <c r="D77" s="360" t="s">
        <v>64</v>
      </c>
      <c r="E77" s="291"/>
      <c r="F77" s="361" t="s">
        <v>234</v>
      </c>
      <c r="G77" s="291"/>
      <c r="I77" s="313"/>
      <c r="J77" s="306" t="s">
        <v>235</v>
      </c>
      <c r="K77" s="306"/>
      <c r="L77" s="311" t="n">
        <f aca="false">+B63</f>
        <v>290000</v>
      </c>
      <c r="M77" s="313"/>
      <c r="N77" s="356"/>
      <c r="O77" s="313"/>
      <c r="P77" s="313"/>
    </row>
    <row r="78" customFormat="false" ht="18" hidden="false" customHeight="true" outlineLevel="0" collapsed="false">
      <c r="A78" s="277" t="s">
        <v>159</v>
      </c>
      <c r="B78" s="362" t="n">
        <f aca="false">VLOOKUP(+$C$1,EES,4)+VLOOKUP(+$C$1,EES,5)</f>
        <v>0</v>
      </c>
      <c r="C78" s="291"/>
      <c r="D78" s="363" t="n">
        <f aca="false">F78-B78</f>
        <v>45118</v>
      </c>
      <c r="E78" s="363" t="n">
        <v>49999</v>
      </c>
      <c r="F78" s="363" t="n">
        <v>45118</v>
      </c>
      <c r="G78" s="291"/>
      <c r="I78" s="313"/>
      <c r="J78" s="306" t="s">
        <v>236</v>
      </c>
      <c r="K78" s="306"/>
      <c r="L78" s="311" t="n">
        <f aca="false">+D72</f>
        <v>25286</v>
      </c>
      <c r="M78" s="313"/>
      <c r="N78" s="356"/>
      <c r="O78" s="313"/>
      <c r="P78" s="313"/>
    </row>
    <row r="79" customFormat="false" ht="18" hidden="false" customHeight="true" outlineLevel="0" collapsed="false">
      <c r="A79" s="277" t="s">
        <v>52</v>
      </c>
      <c r="B79" s="337" t="n">
        <v>0</v>
      </c>
      <c r="C79" s="291"/>
      <c r="D79" s="363" t="n">
        <f aca="false">F79-B79</f>
        <v>0</v>
      </c>
      <c r="E79" s="363"/>
      <c r="F79" s="363" t="n">
        <v>0</v>
      </c>
      <c r="G79" s="291"/>
      <c r="I79" s="313"/>
      <c r="J79" s="306" t="s">
        <v>237</v>
      </c>
      <c r="K79" s="306"/>
      <c r="L79" s="311" t="n">
        <f aca="false">+D22*-1</f>
        <v>-150335</v>
      </c>
      <c r="M79" s="313"/>
      <c r="N79" s="356"/>
      <c r="O79" s="313"/>
      <c r="P79" s="313"/>
    </row>
    <row r="80" customFormat="false" ht="18" hidden="false" customHeight="true" outlineLevel="0" collapsed="false">
      <c r="A80" s="277" t="s">
        <v>27</v>
      </c>
      <c r="B80" s="362" t="n">
        <f aca="false">VLOOKUP(+$C$1,EES,6)</f>
        <v>0</v>
      </c>
      <c r="C80" s="291"/>
      <c r="D80" s="363" t="n">
        <f aca="false">F80-B80</f>
        <v>28075</v>
      </c>
      <c r="E80" s="363"/>
      <c r="F80" s="363" t="n">
        <v>28075</v>
      </c>
      <c r="G80" s="291"/>
      <c r="I80" s="313"/>
      <c r="J80" s="306" t="s">
        <v>238</v>
      </c>
      <c r="K80" s="306"/>
      <c r="L80" s="311" t="n">
        <f aca="false">+B21*-1</f>
        <v>-105000</v>
      </c>
      <c r="M80" s="313"/>
      <c r="N80" s="356"/>
      <c r="O80" s="313"/>
      <c r="P80" s="313"/>
    </row>
    <row r="81" customFormat="false" ht="18" hidden="false" customHeight="true" outlineLevel="0" collapsed="false">
      <c r="A81" s="277" t="s">
        <v>57</v>
      </c>
      <c r="B81" s="337" t="n">
        <v>0</v>
      </c>
      <c r="C81" s="291"/>
      <c r="D81" s="363" t="n">
        <f aca="false">F81-B81</f>
        <v>0</v>
      </c>
      <c r="E81" s="363"/>
      <c r="F81" s="363" t="n">
        <v>0</v>
      </c>
      <c r="G81" s="291"/>
      <c r="I81" s="313"/>
      <c r="J81" s="306" t="s">
        <v>239</v>
      </c>
      <c r="K81" s="306"/>
      <c r="L81" s="311" t="n">
        <f aca="false">+D32*-1</f>
        <v>-0</v>
      </c>
      <c r="M81" s="313"/>
      <c r="N81" s="356"/>
      <c r="O81" s="313"/>
      <c r="P81" s="313"/>
    </row>
    <row r="82" customFormat="false" ht="18" hidden="false" customHeight="true" outlineLevel="0" collapsed="false">
      <c r="A82" s="277" t="s">
        <v>51</v>
      </c>
      <c r="B82" s="337" t="n">
        <v>0</v>
      </c>
      <c r="C82" s="291"/>
      <c r="D82" s="363" t="n">
        <v>0</v>
      </c>
      <c r="E82" s="291"/>
      <c r="F82" s="364" t="n">
        <v>0</v>
      </c>
      <c r="G82" s="291"/>
      <c r="I82" s="313"/>
      <c r="J82" s="306" t="s">
        <v>240</v>
      </c>
      <c r="K82" s="306"/>
      <c r="L82" s="311" t="n">
        <f aca="false">+B24*-1</f>
        <v>-276239</v>
      </c>
      <c r="M82" s="313"/>
      <c r="N82" s="356"/>
      <c r="O82" s="313"/>
      <c r="P82" s="313"/>
    </row>
    <row r="83" customFormat="false" ht="18" hidden="false" customHeight="true" outlineLevel="0" collapsed="false">
      <c r="A83" s="277" t="s">
        <v>241</v>
      </c>
      <c r="B83" s="337" t="n">
        <v>0</v>
      </c>
      <c r="C83" s="365"/>
      <c r="D83" s="366" t="n">
        <v>0</v>
      </c>
      <c r="E83" s="365"/>
      <c r="F83" s="367" t="n">
        <v>0</v>
      </c>
      <c r="G83" s="291"/>
      <c r="I83" s="313"/>
      <c r="J83" s="368" t="s">
        <v>242</v>
      </c>
      <c r="K83" s="306"/>
      <c r="L83" s="358" t="n">
        <v>0</v>
      </c>
      <c r="M83" s="313"/>
      <c r="N83" s="356"/>
      <c r="O83" s="313"/>
      <c r="P83" s="313"/>
    </row>
    <row r="84" customFormat="false" ht="18" hidden="false" customHeight="true" outlineLevel="0" collapsed="false">
      <c r="A84" s="277" t="s">
        <v>243</v>
      </c>
      <c r="B84" s="369" t="n">
        <f aca="false">SUM(B78:B83)</f>
        <v>0</v>
      </c>
      <c r="C84" s="291"/>
      <c r="D84" s="370" t="n">
        <f aca="false">SUM(D78:D83)</f>
        <v>73193</v>
      </c>
      <c r="E84" s="291"/>
      <c r="F84" s="364" t="n">
        <f aca="false">SUM(F78:F83)</f>
        <v>73193</v>
      </c>
      <c r="G84" s="291"/>
      <c r="I84" s="313"/>
      <c r="J84" s="368" t="s">
        <v>244</v>
      </c>
      <c r="K84" s="306"/>
      <c r="L84" s="358" t="n">
        <v>0</v>
      </c>
      <c r="M84" s="313"/>
      <c r="N84" s="356"/>
      <c r="O84" s="313"/>
      <c r="P84" s="313"/>
    </row>
    <row r="85" customFormat="false" ht="18" hidden="false" customHeight="true" outlineLevel="0" collapsed="false">
      <c r="A85" s="277" t="s">
        <v>245</v>
      </c>
      <c r="B85" s="362" t="n">
        <f aca="false">VLOOKUP(+$C$1,EES,47)</f>
        <v>44427</v>
      </c>
      <c r="C85" s="371"/>
      <c r="D85" s="372"/>
      <c r="F85" s="371"/>
      <c r="G85" s="373"/>
      <c r="I85" s="313"/>
      <c r="J85" s="374" t="s">
        <v>246</v>
      </c>
      <c r="K85" s="306"/>
      <c r="L85" s="358" t="n">
        <v>0</v>
      </c>
      <c r="M85" s="313"/>
      <c r="N85" s="356"/>
      <c r="O85" s="313"/>
      <c r="P85" s="313"/>
    </row>
    <row r="86" customFormat="false" ht="18" hidden="false" customHeight="true" outlineLevel="0" collapsed="false">
      <c r="A86" s="277" t="s">
        <v>247</v>
      </c>
      <c r="B86" s="375" t="n">
        <f aca="false">SUM(B84:B85)</f>
        <v>44427</v>
      </c>
      <c r="C86" s="371"/>
      <c r="G86" s="373"/>
      <c r="I86" s="313"/>
      <c r="J86" s="306" t="s">
        <v>248</v>
      </c>
      <c r="K86" s="306"/>
      <c r="L86" s="358" t="n">
        <f aca="false">+F78-46962-21558</f>
        <v>-23402</v>
      </c>
      <c r="M86" s="313"/>
      <c r="N86" s="356"/>
      <c r="O86" s="313"/>
      <c r="P86" s="313"/>
    </row>
    <row r="87" customFormat="false" ht="18" hidden="false" customHeight="true" outlineLevel="0" collapsed="false">
      <c r="A87" s="330"/>
      <c r="B87" s="291"/>
      <c r="C87" s="371"/>
      <c r="G87" s="373"/>
      <c r="I87" s="313"/>
      <c r="J87" s="374" t="s">
        <v>249</v>
      </c>
      <c r="K87" s="306"/>
      <c r="L87" s="358" t="n">
        <v>0</v>
      </c>
      <c r="M87" s="313"/>
      <c r="N87" s="356"/>
      <c r="O87" s="313"/>
      <c r="P87" s="313"/>
    </row>
    <row r="88" customFormat="false" ht="18" hidden="false" customHeight="true" outlineLevel="0" collapsed="false">
      <c r="A88" s="330"/>
      <c r="B88" s="291"/>
      <c r="C88" s="371"/>
      <c r="G88" s="373"/>
      <c r="I88" s="313"/>
      <c r="J88" s="306" t="s">
        <v>250</v>
      </c>
      <c r="K88" s="306"/>
      <c r="L88" s="376" t="n">
        <f aca="false">SUM(L74:L87)</f>
        <v>43646</v>
      </c>
      <c r="M88" s="313"/>
      <c r="N88" s="356"/>
      <c r="O88" s="313"/>
      <c r="P88" s="313"/>
    </row>
    <row r="89" customFormat="false" ht="18" hidden="false" customHeight="true" outlineLevel="0" collapsed="false">
      <c r="B89" s="377"/>
      <c r="C89" s="371"/>
      <c r="G89" s="373"/>
      <c r="I89" s="378"/>
      <c r="J89" s="378"/>
      <c r="K89" s="378"/>
      <c r="L89" s="378"/>
      <c r="M89" s="378"/>
      <c r="N89" s="378"/>
      <c r="O89" s="378"/>
      <c r="P89" s="378"/>
    </row>
    <row r="90" customFormat="false" ht="18" hidden="false" customHeight="true" outlineLevel="0" collapsed="false">
      <c r="A90" s="330"/>
      <c r="C90" s="371"/>
      <c r="E90" s="278"/>
      <c r="F90" s="278"/>
      <c r="I90" s="379"/>
      <c r="J90" s="379"/>
      <c r="K90" s="380" t="s">
        <v>251</v>
      </c>
      <c r="L90" s="381" t="n">
        <f aca="false">+C1+1</f>
        <v>45927.9866940659</v>
      </c>
      <c r="M90" s="379"/>
      <c r="N90" s="379"/>
      <c r="O90" s="379"/>
      <c r="P90" s="379"/>
    </row>
    <row r="91" customFormat="false" ht="18" hidden="false" customHeight="true" outlineLevel="0" collapsed="false">
      <c r="A91" s="277" t="s">
        <v>252</v>
      </c>
      <c r="B91" s="382" t="n">
        <f aca="false">B86-B37</f>
        <v>-25573</v>
      </c>
      <c r="C91" s="279"/>
      <c r="D91" s="382" t="n">
        <f aca="false">D84-B33+B73-B85</f>
        <v>77492</v>
      </c>
      <c r="E91" s="297"/>
      <c r="F91" s="382" t="n">
        <f aca="false">D91+B91</f>
        <v>51919</v>
      </c>
      <c r="G91" s="383" t="s">
        <v>33</v>
      </c>
      <c r="I91" s="313"/>
      <c r="J91" s="355" t="s">
        <v>253</v>
      </c>
      <c r="K91" s="355"/>
      <c r="L91" s="355"/>
      <c r="M91" s="355"/>
      <c r="N91" s="355"/>
      <c r="O91" s="356"/>
      <c r="P91" s="356" t="s">
        <v>62</v>
      </c>
    </row>
    <row r="92" customFormat="false" ht="18" hidden="false" customHeight="true" outlineLevel="0" collapsed="false">
      <c r="C92" s="279"/>
      <c r="D92" s="281"/>
      <c r="E92" s="281"/>
      <c r="F92" s="384"/>
      <c r="I92" s="313"/>
      <c r="J92" s="385"/>
      <c r="K92" s="385"/>
      <c r="L92" s="309" t="s">
        <v>254</v>
      </c>
      <c r="M92" s="309"/>
      <c r="N92" s="356" t="s">
        <v>255</v>
      </c>
      <c r="O92" s="356"/>
      <c r="P92" s="356"/>
    </row>
    <row r="93" customFormat="false" ht="18" hidden="false" customHeight="true" outlineLevel="0" collapsed="false">
      <c r="A93" s="277" t="s">
        <v>256</v>
      </c>
      <c r="C93" s="279"/>
      <c r="F93" s="297" t="n">
        <f aca="false">+H5+H6+H7+H8+H9</f>
        <v>57938</v>
      </c>
      <c r="I93" s="313"/>
      <c r="J93" s="386" t="s">
        <v>257</v>
      </c>
      <c r="K93" s="386"/>
      <c r="L93" s="356" t="n">
        <v>0</v>
      </c>
      <c r="M93" s="313"/>
      <c r="N93" s="356" t="n">
        <v>0</v>
      </c>
      <c r="O93" s="313"/>
      <c r="P93" s="387" t="n">
        <f aca="false">SUM(L93:N93)</f>
        <v>0</v>
      </c>
    </row>
    <row r="94" customFormat="false" ht="18" hidden="false" customHeight="true" outlineLevel="0" collapsed="false">
      <c r="A94" s="277" t="s">
        <v>258</v>
      </c>
      <c r="F94" s="297" t="n">
        <f aca="false">+VLOOKUP($C$1,EES,41)</f>
        <v>-25573</v>
      </c>
      <c r="G94" s="383"/>
      <c r="I94" s="313"/>
      <c r="J94" s="386" t="s">
        <v>259</v>
      </c>
      <c r="K94" s="386"/>
      <c r="L94" s="388" t="n">
        <v>0</v>
      </c>
      <c r="M94" s="388"/>
      <c r="N94" s="356" t="n">
        <v>0</v>
      </c>
      <c r="O94" s="356"/>
      <c r="P94" s="387" t="n">
        <f aca="false">SUM(L94:N94)</f>
        <v>0</v>
      </c>
    </row>
    <row r="95" customFormat="false" ht="18" hidden="false" customHeight="true" outlineLevel="0" collapsed="false">
      <c r="A95" s="277" t="s">
        <v>260</v>
      </c>
      <c r="F95" s="382" t="n">
        <f aca="false">SUM(F93:F94)</f>
        <v>32365</v>
      </c>
      <c r="G95" s="371"/>
      <c r="I95" s="313"/>
      <c r="J95" s="389" t="s">
        <v>49</v>
      </c>
      <c r="K95" s="306"/>
      <c r="L95" s="388" t="n">
        <v>0</v>
      </c>
      <c r="M95" s="388"/>
      <c r="N95" s="356" t="n">
        <v>-53333</v>
      </c>
      <c r="O95" s="309" t="s">
        <v>261</v>
      </c>
      <c r="P95" s="387" t="n">
        <f aca="false">SUM(L95:N95)</f>
        <v>-53333</v>
      </c>
    </row>
    <row r="96" customFormat="false" ht="18" hidden="false" customHeight="true" outlineLevel="0" collapsed="false">
      <c r="G96" s="371"/>
      <c r="I96" s="313"/>
      <c r="J96" s="389" t="s">
        <v>262</v>
      </c>
      <c r="K96" s="306"/>
      <c r="L96" s="387" t="n">
        <v>0</v>
      </c>
      <c r="M96" s="306"/>
      <c r="N96" s="356" t="n">
        <v>0</v>
      </c>
      <c r="O96" s="306"/>
      <c r="P96" s="387" t="n">
        <f aca="false">SUM(L96:N96)</f>
        <v>0</v>
      </c>
    </row>
    <row r="97" customFormat="false" ht="18" hidden="false" customHeight="true" outlineLevel="0" collapsed="false">
      <c r="A97" s="277" t="s">
        <v>263</v>
      </c>
      <c r="C97" s="279"/>
      <c r="D97" s="291"/>
      <c r="E97" s="371"/>
      <c r="F97" s="297" t="n">
        <f aca="false">+J5+J6+J7+J8+J9</f>
        <v>97265.7</v>
      </c>
      <c r="G97" s="291"/>
      <c r="I97" s="313"/>
      <c r="J97" s="389" t="s">
        <v>264</v>
      </c>
      <c r="K97" s="306"/>
      <c r="L97" s="390" t="n">
        <v>0</v>
      </c>
      <c r="M97" s="306"/>
      <c r="N97" s="356" t="n">
        <v>0</v>
      </c>
      <c r="O97" s="356" t="s">
        <v>261</v>
      </c>
      <c r="P97" s="387" t="n">
        <f aca="false">SUM(L97:N97)</f>
        <v>0</v>
      </c>
    </row>
    <row r="98" customFormat="false" ht="18" hidden="false" customHeight="true" outlineLevel="0" collapsed="false">
      <c r="A98" s="277" t="s">
        <v>265</v>
      </c>
      <c r="C98" s="279"/>
      <c r="D98" s="291"/>
      <c r="E98" s="371"/>
      <c r="F98" s="297" t="n">
        <f aca="false">+VLOOKUP($C$1,EES,45)</f>
        <v>-5076</v>
      </c>
      <c r="I98" s="313"/>
      <c r="J98" s="389" t="s">
        <v>50</v>
      </c>
      <c r="K98" s="306"/>
      <c r="L98" s="388" t="n">
        <v>0</v>
      </c>
      <c r="M98" s="306"/>
      <c r="N98" s="356" t="n">
        <v>18884</v>
      </c>
      <c r="O98" s="356" t="s">
        <v>261</v>
      </c>
      <c r="P98" s="387" t="n">
        <f aca="false">SUM(L98:N98)</f>
        <v>18884</v>
      </c>
    </row>
    <row r="99" customFormat="false" ht="15" hidden="false" customHeight="true" outlineLevel="0" collapsed="false">
      <c r="A99" s="391" t="s">
        <v>266</v>
      </c>
      <c r="B99" s="291"/>
      <c r="C99" s="291"/>
      <c r="D99" s="291"/>
      <c r="E99" s="291"/>
      <c r="F99" s="382" t="n">
        <f aca="false">SUM(F97:F98)</f>
        <v>92189.7</v>
      </c>
      <c r="G99" s="371"/>
      <c r="H99" s="291"/>
      <c r="I99" s="313"/>
      <c r="J99" s="389"/>
      <c r="K99" s="306"/>
      <c r="L99" s="388" t="n">
        <v>0</v>
      </c>
      <c r="M99" s="306"/>
      <c r="N99" s="356" t="n">
        <v>0</v>
      </c>
      <c r="O99" s="356"/>
      <c r="P99" s="387" t="n">
        <f aca="false">SUM(L99:N99)</f>
        <v>0</v>
      </c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  <c r="CD99" s="291"/>
      <c r="CE99" s="291"/>
      <c r="CF99" s="291"/>
      <c r="CG99" s="291"/>
      <c r="CH99" s="291"/>
      <c r="CI99" s="291"/>
      <c r="CJ99" s="291"/>
      <c r="CK99" s="291"/>
      <c r="CL99" s="291"/>
      <c r="CM99" s="291"/>
      <c r="CN99" s="291"/>
      <c r="CO99" s="291"/>
      <c r="CP99" s="291"/>
      <c r="CQ99" s="291"/>
      <c r="CR99" s="291"/>
      <c r="CS99" s="291"/>
      <c r="CT99" s="291"/>
      <c r="CU99" s="291"/>
      <c r="CV99" s="291"/>
      <c r="CW99" s="291"/>
      <c r="CX99" s="291"/>
      <c r="CY99" s="291"/>
      <c r="CZ99" s="291"/>
      <c r="DA99" s="291"/>
      <c r="DB99" s="291"/>
      <c r="DC99" s="291"/>
      <c r="DD99" s="291"/>
      <c r="DE99" s="291"/>
      <c r="DF99" s="291"/>
      <c r="DG99" s="291"/>
      <c r="DH99" s="291"/>
      <c r="DI99" s="291"/>
      <c r="DJ99" s="291"/>
      <c r="DK99" s="291"/>
      <c r="DL99" s="291"/>
      <c r="DM99" s="291"/>
      <c r="DN99" s="291"/>
      <c r="DO99" s="291"/>
      <c r="DP99" s="291"/>
      <c r="DQ99" s="291"/>
      <c r="DR99" s="291"/>
      <c r="DS99" s="291"/>
      <c r="DT99" s="291"/>
      <c r="DU99" s="291"/>
      <c r="DV99" s="291"/>
      <c r="DW99" s="291"/>
      <c r="DX99" s="291"/>
      <c r="DY99" s="291"/>
      <c r="DZ99" s="291"/>
      <c r="EA99" s="291"/>
      <c r="EB99" s="291"/>
      <c r="EC99" s="291"/>
      <c r="ED99" s="291"/>
      <c r="EE99" s="291"/>
      <c r="EF99" s="291"/>
      <c r="EG99" s="291"/>
      <c r="EH99" s="291"/>
      <c r="EI99" s="291"/>
      <c r="EJ99" s="291"/>
      <c r="EK99" s="291"/>
      <c r="EL99" s="291"/>
      <c r="EM99" s="291"/>
      <c r="EN99" s="291"/>
      <c r="EO99" s="291"/>
      <c r="EP99" s="291"/>
      <c r="EQ99" s="291"/>
      <c r="ER99" s="291"/>
      <c r="ES99" s="291"/>
      <c r="ET99" s="291"/>
      <c r="EU99" s="291"/>
      <c r="EV99" s="291"/>
      <c r="EW99" s="291"/>
      <c r="EX99" s="291"/>
      <c r="EY99" s="291"/>
      <c r="EZ99" s="291"/>
      <c r="FA99" s="291"/>
      <c r="FB99" s="291"/>
      <c r="FC99" s="291"/>
      <c r="FD99" s="291"/>
      <c r="FE99" s="291"/>
      <c r="FF99" s="291"/>
      <c r="FG99" s="291"/>
      <c r="FH99" s="291"/>
      <c r="FI99" s="291"/>
      <c r="FJ99" s="291"/>
      <c r="FK99" s="291"/>
      <c r="FL99" s="291"/>
      <c r="FM99" s="291"/>
      <c r="FN99" s="291"/>
      <c r="FO99" s="291"/>
      <c r="FP99" s="291"/>
      <c r="FQ99" s="291"/>
      <c r="FR99" s="291"/>
      <c r="FS99" s="291"/>
      <c r="FT99" s="291"/>
      <c r="FU99" s="291"/>
      <c r="FV99" s="291"/>
      <c r="FW99" s="291"/>
      <c r="FX99" s="291"/>
      <c r="FY99" s="291"/>
      <c r="FZ99" s="291"/>
      <c r="GA99" s="291"/>
      <c r="GB99" s="291"/>
      <c r="GC99" s="291"/>
      <c r="GD99" s="291"/>
      <c r="GE99" s="291"/>
      <c r="GF99" s="291"/>
      <c r="GG99" s="291"/>
      <c r="GH99" s="291"/>
      <c r="GI99" s="291"/>
      <c r="GJ99" s="291"/>
      <c r="GK99" s="291"/>
      <c r="GL99" s="291"/>
      <c r="GM99" s="291"/>
      <c r="GN99" s="291"/>
      <c r="GO99" s="291"/>
      <c r="GP99" s="291"/>
      <c r="GQ99" s="291"/>
      <c r="GR99" s="291"/>
      <c r="GS99" s="291"/>
      <c r="GT99" s="291"/>
      <c r="GU99" s="291"/>
      <c r="GV99" s="291"/>
      <c r="GW99" s="291"/>
      <c r="GX99" s="291"/>
      <c r="GY99" s="291"/>
      <c r="GZ99" s="291"/>
      <c r="HA99" s="291"/>
      <c r="HB99" s="291"/>
      <c r="HC99" s="291"/>
      <c r="HD99" s="291"/>
      <c r="HE99" s="291"/>
      <c r="HF99" s="291"/>
      <c r="HG99" s="291"/>
      <c r="HH99" s="291"/>
      <c r="HI99" s="291"/>
      <c r="HJ99" s="291"/>
      <c r="HK99" s="291"/>
      <c r="HL99" s="291"/>
      <c r="HM99" s="291"/>
      <c r="HN99" s="291"/>
      <c r="HO99" s="291"/>
      <c r="HP99" s="291"/>
      <c r="HQ99" s="291"/>
      <c r="HR99" s="291"/>
      <c r="HS99" s="291"/>
      <c r="HT99" s="291"/>
      <c r="HU99" s="291"/>
      <c r="HV99" s="291"/>
      <c r="HW99" s="291"/>
      <c r="HX99" s="291"/>
      <c r="HY99" s="291"/>
      <c r="HZ99" s="291"/>
      <c r="IA99" s="291"/>
      <c r="IB99" s="291"/>
      <c r="IC99" s="291"/>
      <c r="ID99" s="291"/>
      <c r="IE99" s="291"/>
      <c r="IF99" s="291"/>
      <c r="IG99" s="291"/>
      <c r="IH99" s="291"/>
      <c r="II99" s="291"/>
      <c r="IJ99" s="291"/>
      <c r="IK99" s="291"/>
      <c r="IL99" s="291"/>
      <c r="IM99" s="291"/>
      <c r="IN99" s="291"/>
      <c r="IO99" s="291"/>
      <c r="IP99" s="291"/>
      <c r="IQ99" s="291"/>
      <c r="IR99" s="291"/>
      <c r="IS99" s="291"/>
      <c r="IT99" s="291"/>
      <c r="IU99" s="291"/>
      <c r="IV99" s="291"/>
      <c r="IW99" s="291"/>
    </row>
    <row r="100" customFormat="false" ht="18" hidden="false" customHeight="true" outlineLevel="0" collapsed="false">
      <c r="I100" s="313"/>
      <c r="J100" s="392" t="s">
        <v>48</v>
      </c>
      <c r="K100" s="386"/>
      <c r="L100" s="388" t="n">
        <v>0</v>
      </c>
      <c r="M100" s="306"/>
      <c r="N100" s="356" t="n">
        <v>30000</v>
      </c>
      <c r="O100" s="356"/>
      <c r="P100" s="387" t="n">
        <f aca="false">SUM(L100:N100)</f>
        <v>30000</v>
      </c>
    </row>
    <row r="101" customFormat="false" ht="18" hidden="false" customHeight="true" outlineLevel="0" collapsed="false">
      <c r="A101" s="277" t="s">
        <v>267</v>
      </c>
      <c r="C101" s="279"/>
      <c r="D101" s="291"/>
      <c r="E101" s="297"/>
      <c r="F101" s="297" t="n">
        <f aca="false">+F33</f>
        <v>97265.7</v>
      </c>
      <c r="I101" s="313"/>
      <c r="J101" s="386" t="s">
        <v>268</v>
      </c>
      <c r="K101" s="386"/>
      <c r="L101" s="388" t="n">
        <v>0</v>
      </c>
      <c r="M101" s="388"/>
      <c r="N101" s="356" t="n">
        <v>0</v>
      </c>
      <c r="O101" s="356"/>
      <c r="P101" s="387" t="n">
        <f aca="false">SUM(L101:N101)</f>
        <v>0</v>
      </c>
    </row>
    <row r="102" customFormat="false" ht="18" hidden="false" customHeight="true" outlineLevel="0" collapsed="false">
      <c r="A102" s="277" t="s">
        <v>269</v>
      </c>
      <c r="D102" s="291"/>
      <c r="E102" s="291"/>
      <c r="F102" s="297" t="n">
        <f aca="false">+EES!AO36</f>
        <v>-5076</v>
      </c>
      <c r="I102" s="313"/>
      <c r="J102" s="393" t="s">
        <v>27</v>
      </c>
      <c r="K102" s="393"/>
      <c r="L102" s="388" t="n">
        <v>0</v>
      </c>
      <c r="M102" s="388"/>
      <c r="N102" s="356" t="n">
        <v>0</v>
      </c>
      <c r="O102" s="394" t="s">
        <v>261</v>
      </c>
      <c r="P102" s="387" t="n">
        <f aca="false">SUM(L102:N102)</f>
        <v>0</v>
      </c>
    </row>
    <row r="103" customFormat="false" ht="18" hidden="false" customHeight="true" outlineLevel="0" collapsed="false">
      <c r="A103" s="277" t="s">
        <v>270</v>
      </c>
      <c r="F103" s="382" t="n">
        <f aca="false">SUM(F101:F102)</f>
        <v>92189.7</v>
      </c>
      <c r="I103" s="313"/>
      <c r="J103" s="395" t="s">
        <v>271</v>
      </c>
      <c r="K103" s="395"/>
      <c r="L103" s="396" t="n">
        <v>0</v>
      </c>
      <c r="M103" s="387"/>
      <c r="N103" s="397" t="n">
        <v>13446</v>
      </c>
      <c r="O103" s="394"/>
      <c r="P103" s="387" t="n">
        <f aca="false">SUM(L103:N103)</f>
        <v>13446</v>
      </c>
    </row>
    <row r="104" customFormat="false" ht="13.5" hidden="false" customHeight="true" outlineLevel="0" collapsed="false">
      <c r="I104" s="313"/>
      <c r="J104" s="314" t="s">
        <v>272</v>
      </c>
      <c r="K104" s="306"/>
      <c r="L104" s="397" t="n">
        <f aca="false">SUM(L93:L103)</f>
        <v>0</v>
      </c>
      <c r="M104" s="397"/>
      <c r="N104" s="397" t="n">
        <f aca="false">SUM(N93:N103)</f>
        <v>8997</v>
      </c>
      <c r="O104" s="398"/>
      <c r="P104" s="387"/>
    </row>
    <row r="105" customFormat="false" ht="14.1" hidden="false" customHeight="true" outlineLevel="0" collapsed="false">
      <c r="F105" s="371"/>
      <c r="I105" s="313"/>
      <c r="J105" s="399" t="s">
        <v>273</v>
      </c>
      <c r="K105" s="306"/>
      <c r="L105" s="394"/>
      <c r="M105" s="394" t="n">
        <f aca="false">L104+N104</f>
        <v>8997</v>
      </c>
      <c r="N105" s="398"/>
      <c r="O105" s="394"/>
      <c r="P105" s="356"/>
    </row>
    <row r="106" customFormat="false" ht="14.1" hidden="false" customHeight="true" outlineLevel="0" collapsed="false">
      <c r="F106" s="279" t="s">
        <v>274</v>
      </c>
      <c r="I106" s="400" t="s">
        <v>275</v>
      </c>
      <c r="J106" s="400"/>
      <c r="K106" s="306"/>
      <c r="L106" s="387"/>
      <c r="M106" s="387" t="n">
        <f aca="false">SUM(B5:B9)*-1</f>
        <v>-45041</v>
      </c>
      <c r="N106" s="394"/>
      <c r="O106" s="394"/>
      <c r="P106" s="356"/>
    </row>
    <row r="107" customFormat="false" ht="14.1" hidden="false" customHeight="true" outlineLevel="0" collapsed="false">
      <c r="A107" s="401"/>
      <c r="B107" s="402"/>
      <c r="C107" s="403"/>
      <c r="D107" s="404" t="s">
        <v>276</v>
      </c>
      <c r="E107" s="291"/>
      <c r="F107" s="312" t="n">
        <f aca="false">+OCCMarkets!H37</f>
        <v>0</v>
      </c>
      <c r="G107" s="291"/>
      <c r="H107" s="291" t="s">
        <v>277</v>
      </c>
      <c r="I107" s="313"/>
      <c r="J107" s="405" t="s">
        <v>278</v>
      </c>
      <c r="K107" s="314"/>
      <c r="L107" s="387"/>
      <c r="M107" s="387" t="n">
        <f aca="false">-B37</f>
        <v>-70000</v>
      </c>
      <c r="N107" s="394"/>
      <c r="O107" s="394"/>
      <c r="P107" s="356"/>
    </row>
    <row r="108" customFormat="false" ht="15" hidden="false" customHeight="true" outlineLevel="0" collapsed="false">
      <c r="A108" s="401"/>
      <c r="B108" s="402"/>
      <c r="C108" s="406"/>
      <c r="D108" s="404" t="s">
        <v>276</v>
      </c>
      <c r="E108" s="291"/>
      <c r="F108" s="312" t="n">
        <f aca="false">+EES!M36</f>
        <v>0</v>
      </c>
      <c r="G108" s="291"/>
      <c r="H108" s="291" t="s">
        <v>279</v>
      </c>
      <c r="I108" s="313"/>
      <c r="J108" s="314" t="s">
        <v>280</v>
      </c>
      <c r="K108" s="306"/>
      <c r="L108" s="396"/>
      <c r="M108" s="407"/>
      <c r="N108" s="397"/>
      <c r="O108" s="355"/>
      <c r="P108" s="356"/>
    </row>
    <row r="109" customFormat="false" ht="15" hidden="false" customHeight="true" outlineLevel="0" collapsed="false">
      <c r="A109" s="408"/>
      <c r="B109" s="409"/>
      <c r="C109" s="410"/>
      <c r="D109" s="411"/>
      <c r="E109" s="411"/>
      <c r="F109" s="411" t="s">
        <v>281</v>
      </c>
      <c r="G109" s="379"/>
      <c r="H109" s="379"/>
      <c r="I109" s="313"/>
      <c r="J109" s="314"/>
      <c r="K109" s="306"/>
      <c r="L109" s="412"/>
      <c r="M109" s="412" t="n">
        <f aca="false">+M105+M106+M107+M108</f>
        <v>-106044</v>
      </c>
      <c r="N109" s="413"/>
      <c r="O109" s="355"/>
      <c r="P109" s="356"/>
      <c r="Q109" s="379"/>
      <c r="R109" s="379"/>
      <c r="S109" s="379"/>
      <c r="T109" s="379"/>
      <c r="U109" s="379"/>
      <c r="V109" s="379"/>
      <c r="W109" s="379"/>
      <c r="X109" s="379"/>
      <c r="Y109" s="379"/>
      <c r="Z109" s="379"/>
      <c r="AA109" s="379"/>
      <c r="AB109" s="379"/>
      <c r="AC109" s="379"/>
      <c r="AD109" s="379"/>
      <c r="AE109" s="379"/>
      <c r="AF109" s="379"/>
      <c r="AG109" s="379"/>
      <c r="AH109" s="379"/>
      <c r="AI109" s="379"/>
      <c r="AJ109" s="379"/>
      <c r="AK109" s="379"/>
      <c r="AL109" s="379"/>
      <c r="AM109" s="379"/>
      <c r="AN109" s="379"/>
      <c r="AO109" s="379"/>
      <c r="AP109" s="379"/>
      <c r="AQ109" s="379"/>
      <c r="AR109" s="379"/>
      <c r="AS109" s="379"/>
      <c r="AT109" s="379"/>
      <c r="AU109" s="379"/>
      <c r="AV109" s="379"/>
      <c r="AW109" s="379"/>
      <c r="AX109" s="379"/>
      <c r="AY109" s="379"/>
      <c r="AZ109" s="379"/>
      <c r="BA109" s="379"/>
      <c r="BB109" s="379"/>
      <c r="BC109" s="379"/>
      <c r="BD109" s="379"/>
      <c r="BE109" s="379"/>
      <c r="BF109" s="379"/>
      <c r="BG109" s="379"/>
      <c r="BH109" s="379"/>
      <c r="BI109" s="379"/>
      <c r="BJ109" s="379"/>
      <c r="BK109" s="379"/>
      <c r="BL109" s="379"/>
      <c r="BM109" s="379"/>
      <c r="BN109" s="379"/>
      <c r="BO109" s="379"/>
      <c r="BP109" s="379"/>
      <c r="BQ109" s="379"/>
      <c r="BR109" s="379"/>
      <c r="BS109" s="379"/>
      <c r="BT109" s="379"/>
      <c r="BU109" s="379"/>
      <c r="BV109" s="379"/>
      <c r="BW109" s="379"/>
      <c r="BX109" s="379"/>
      <c r="BY109" s="379"/>
      <c r="BZ109" s="379"/>
      <c r="CA109" s="379"/>
      <c r="CB109" s="379"/>
      <c r="CC109" s="379"/>
      <c r="CD109" s="379"/>
      <c r="CE109" s="379"/>
      <c r="CF109" s="379"/>
      <c r="CG109" s="379"/>
      <c r="CH109" s="379"/>
      <c r="CI109" s="379"/>
      <c r="CJ109" s="379"/>
      <c r="CK109" s="379"/>
      <c r="CL109" s="379"/>
      <c r="CM109" s="379"/>
      <c r="CN109" s="379"/>
      <c r="CO109" s="379"/>
      <c r="CP109" s="379"/>
      <c r="CQ109" s="379"/>
      <c r="CR109" s="379"/>
      <c r="CS109" s="379"/>
      <c r="CT109" s="379"/>
      <c r="CU109" s="379"/>
      <c r="CV109" s="379"/>
      <c r="CW109" s="379"/>
      <c r="CX109" s="379"/>
      <c r="CY109" s="379"/>
      <c r="CZ109" s="379"/>
      <c r="DA109" s="379"/>
      <c r="DB109" s="379"/>
      <c r="DC109" s="379"/>
      <c r="DD109" s="379"/>
      <c r="DE109" s="379"/>
      <c r="DF109" s="379"/>
      <c r="DG109" s="379"/>
      <c r="DH109" s="379"/>
      <c r="DI109" s="379"/>
      <c r="DJ109" s="379"/>
      <c r="DK109" s="379"/>
      <c r="DL109" s="379"/>
      <c r="DM109" s="379"/>
      <c r="DN109" s="379"/>
      <c r="DO109" s="379"/>
      <c r="DP109" s="379"/>
      <c r="DQ109" s="379"/>
      <c r="DR109" s="379"/>
      <c r="DS109" s="379"/>
      <c r="DT109" s="379"/>
      <c r="DU109" s="379"/>
      <c r="DV109" s="379"/>
      <c r="DW109" s="379"/>
      <c r="DX109" s="379"/>
      <c r="DY109" s="379"/>
      <c r="DZ109" s="379"/>
      <c r="EA109" s="379"/>
      <c r="EB109" s="379"/>
      <c r="EC109" s="379"/>
      <c r="ED109" s="379"/>
      <c r="EE109" s="379"/>
      <c r="EF109" s="379"/>
      <c r="EG109" s="379"/>
      <c r="EH109" s="379"/>
      <c r="EI109" s="379"/>
      <c r="EJ109" s="379"/>
      <c r="EK109" s="379"/>
      <c r="EL109" s="379"/>
      <c r="EM109" s="379"/>
      <c r="EN109" s="379"/>
      <c r="EO109" s="379"/>
      <c r="EP109" s="379"/>
      <c r="EQ109" s="379"/>
      <c r="ER109" s="379"/>
      <c r="ES109" s="379"/>
      <c r="ET109" s="379"/>
      <c r="EU109" s="379"/>
      <c r="EV109" s="379"/>
      <c r="EW109" s="379"/>
      <c r="EX109" s="379"/>
      <c r="EY109" s="379"/>
      <c r="EZ109" s="379"/>
      <c r="FA109" s="379"/>
      <c r="FB109" s="379"/>
      <c r="FC109" s="379"/>
      <c r="FD109" s="379"/>
      <c r="FE109" s="379"/>
      <c r="FF109" s="379"/>
      <c r="FG109" s="379"/>
      <c r="FH109" s="379"/>
      <c r="FI109" s="379"/>
      <c r="FJ109" s="379"/>
      <c r="FK109" s="379"/>
      <c r="FL109" s="379"/>
      <c r="FM109" s="379"/>
      <c r="FN109" s="379"/>
      <c r="FO109" s="379"/>
      <c r="FP109" s="379"/>
      <c r="FQ109" s="379"/>
      <c r="FR109" s="379"/>
      <c r="FS109" s="379"/>
      <c r="FT109" s="379"/>
      <c r="FU109" s="379"/>
      <c r="FV109" s="379"/>
      <c r="FW109" s="379"/>
      <c r="FX109" s="379"/>
      <c r="FY109" s="379"/>
      <c r="FZ109" s="379"/>
      <c r="GA109" s="379"/>
      <c r="GB109" s="379"/>
      <c r="GC109" s="379"/>
      <c r="GD109" s="379"/>
      <c r="GE109" s="379"/>
      <c r="GF109" s="379"/>
      <c r="GG109" s="379"/>
      <c r="GH109" s="379"/>
      <c r="GI109" s="379"/>
      <c r="GJ109" s="379"/>
      <c r="GK109" s="379"/>
      <c r="GL109" s="379"/>
      <c r="GM109" s="379"/>
      <c r="GN109" s="379"/>
      <c r="GO109" s="379"/>
      <c r="GP109" s="379"/>
      <c r="GQ109" s="379"/>
      <c r="GR109" s="379"/>
      <c r="GS109" s="379"/>
      <c r="GT109" s="379"/>
      <c r="GU109" s="379"/>
      <c r="GV109" s="379"/>
      <c r="GW109" s="379"/>
      <c r="GX109" s="379"/>
      <c r="GY109" s="379"/>
      <c r="GZ109" s="379"/>
      <c r="HA109" s="379"/>
      <c r="HB109" s="379"/>
      <c r="HC109" s="379"/>
      <c r="HD109" s="379"/>
      <c r="HE109" s="379"/>
      <c r="HF109" s="379"/>
      <c r="HG109" s="379"/>
      <c r="HH109" s="379"/>
      <c r="HI109" s="379"/>
      <c r="HJ109" s="379"/>
      <c r="HK109" s="379"/>
      <c r="HL109" s="379"/>
      <c r="HM109" s="379"/>
      <c r="HN109" s="379"/>
      <c r="HO109" s="379"/>
      <c r="HP109" s="379"/>
      <c r="HQ109" s="379"/>
      <c r="HR109" s="379"/>
      <c r="HS109" s="379"/>
      <c r="HT109" s="379"/>
      <c r="HU109" s="379"/>
      <c r="HV109" s="379"/>
      <c r="HW109" s="379"/>
      <c r="HX109" s="379"/>
      <c r="HY109" s="379"/>
      <c r="HZ109" s="379"/>
      <c r="IA109" s="379"/>
      <c r="IB109" s="379"/>
      <c r="IC109" s="379"/>
      <c r="ID109" s="379"/>
      <c r="IE109" s="379"/>
      <c r="IF109" s="379"/>
      <c r="IG109" s="379"/>
      <c r="IH109" s="379"/>
      <c r="II109" s="379"/>
      <c r="IJ109" s="379"/>
      <c r="IK109" s="379"/>
      <c r="IL109" s="379"/>
      <c r="IM109" s="379"/>
      <c r="IN109" s="379"/>
      <c r="IO109" s="379"/>
      <c r="IP109" s="379"/>
      <c r="IQ109" s="379"/>
      <c r="IR109" s="379"/>
      <c r="IS109" s="379"/>
      <c r="IT109" s="379"/>
      <c r="IU109" s="379"/>
      <c r="IV109" s="379"/>
      <c r="IW109" s="379"/>
    </row>
    <row r="110" customFormat="false" ht="14.1" hidden="false" customHeight="true" outlineLevel="0" collapsed="false">
      <c r="A110" s="414"/>
      <c r="B110" s="415"/>
      <c r="C110" s="410"/>
      <c r="D110" s="411"/>
      <c r="E110" s="411"/>
      <c r="F110" s="411"/>
      <c r="G110" s="379"/>
      <c r="H110" s="379"/>
      <c r="I110" s="379"/>
      <c r="J110" s="379"/>
      <c r="K110" s="379"/>
      <c r="L110" s="379"/>
      <c r="M110" s="379"/>
      <c r="N110" s="379"/>
      <c r="O110" s="379"/>
      <c r="P110" s="379"/>
      <c r="Q110" s="379"/>
      <c r="R110" s="379"/>
      <c r="S110" s="379"/>
      <c r="T110" s="379"/>
      <c r="U110" s="379"/>
      <c r="V110" s="379"/>
      <c r="W110" s="379"/>
      <c r="X110" s="379"/>
      <c r="Y110" s="379"/>
      <c r="Z110" s="379"/>
      <c r="AA110" s="379"/>
      <c r="AB110" s="379"/>
      <c r="AC110" s="379"/>
      <c r="AD110" s="379"/>
      <c r="AE110" s="379"/>
      <c r="AF110" s="379"/>
      <c r="AG110" s="379"/>
      <c r="AH110" s="379"/>
      <c r="AI110" s="379"/>
      <c r="AJ110" s="379"/>
      <c r="AK110" s="379"/>
      <c r="AL110" s="379"/>
      <c r="AM110" s="379"/>
      <c r="AN110" s="379"/>
      <c r="AO110" s="379"/>
      <c r="AP110" s="379"/>
      <c r="AQ110" s="379"/>
      <c r="AR110" s="379"/>
      <c r="AS110" s="379"/>
      <c r="AT110" s="379"/>
      <c r="AU110" s="379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379"/>
      <c r="BG110" s="379"/>
      <c r="BH110" s="379"/>
      <c r="BI110" s="379"/>
      <c r="BJ110" s="379"/>
      <c r="BK110" s="379"/>
      <c r="BL110" s="379"/>
      <c r="BM110" s="379"/>
      <c r="BN110" s="379"/>
      <c r="BO110" s="379"/>
      <c r="BP110" s="379"/>
      <c r="BQ110" s="379"/>
      <c r="BR110" s="379"/>
      <c r="BS110" s="379"/>
      <c r="BT110" s="379"/>
      <c r="BU110" s="379"/>
      <c r="BV110" s="379"/>
      <c r="BW110" s="379"/>
      <c r="BX110" s="379"/>
      <c r="BY110" s="379"/>
      <c r="BZ110" s="379"/>
      <c r="CA110" s="379"/>
      <c r="CB110" s="379"/>
      <c r="CC110" s="379"/>
      <c r="CD110" s="379"/>
      <c r="CE110" s="379"/>
      <c r="CF110" s="379"/>
      <c r="CG110" s="379"/>
      <c r="CH110" s="379"/>
      <c r="CI110" s="379"/>
      <c r="CJ110" s="379"/>
      <c r="CK110" s="379"/>
      <c r="CL110" s="379"/>
      <c r="CM110" s="379"/>
      <c r="CN110" s="379"/>
      <c r="CO110" s="379"/>
      <c r="CP110" s="379"/>
      <c r="CQ110" s="379"/>
      <c r="CR110" s="379"/>
      <c r="CS110" s="379"/>
      <c r="CT110" s="379"/>
      <c r="CU110" s="379"/>
      <c r="CV110" s="379"/>
      <c r="CW110" s="379"/>
      <c r="CX110" s="379"/>
      <c r="CY110" s="379"/>
      <c r="CZ110" s="379"/>
      <c r="DA110" s="379"/>
      <c r="DB110" s="379"/>
      <c r="DC110" s="379"/>
      <c r="DD110" s="379"/>
      <c r="DE110" s="379"/>
      <c r="DF110" s="379"/>
      <c r="DG110" s="379"/>
      <c r="DH110" s="379"/>
      <c r="DI110" s="379"/>
      <c r="DJ110" s="379"/>
      <c r="DK110" s="379"/>
      <c r="DL110" s="379"/>
      <c r="DM110" s="379"/>
      <c r="DN110" s="379"/>
      <c r="DO110" s="379"/>
      <c r="DP110" s="379"/>
      <c r="DQ110" s="379"/>
      <c r="DR110" s="379"/>
      <c r="DS110" s="379"/>
      <c r="DT110" s="379"/>
      <c r="DU110" s="379"/>
      <c r="DV110" s="379"/>
      <c r="DW110" s="379"/>
      <c r="DX110" s="379"/>
      <c r="DY110" s="379"/>
      <c r="DZ110" s="379"/>
      <c r="EA110" s="379"/>
      <c r="EB110" s="379"/>
      <c r="EC110" s="379"/>
      <c r="ED110" s="379"/>
      <c r="EE110" s="379"/>
      <c r="EF110" s="379"/>
      <c r="EG110" s="379"/>
      <c r="EH110" s="379"/>
      <c r="EI110" s="379"/>
      <c r="EJ110" s="379"/>
      <c r="EK110" s="379"/>
      <c r="EL110" s="379"/>
      <c r="EM110" s="379"/>
      <c r="EN110" s="379"/>
      <c r="EO110" s="379"/>
      <c r="EP110" s="379"/>
      <c r="EQ110" s="379"/>
      <c r="ER110" s="379"/>
      <c r="ES110" s="379"/>
      <c r="ET110" s="379"/>
      <c r="EU110" s="379"/>
      <c r="EV110" s="379"/>
      <c r="EW110" s="379"/>
      <c r="EX110" s="379"/>
      <c r="EY110" s="379"/>
      <c r="EZ110" s="379"/>
      <c r="FA110" s="379"/>
      <c r="FB110" s="379"/>
      <c r="FC110" s="379"/>
      <c r="FD110" s="379"/>
      <c r="FE110" s="379"/>
      <c r="FF110" s="379"/>
      <c r="FG110" s="379"/>
      <c r="FH110" s="379"/>
      <c r="FI110" s="379"/>
      <c r="FJ110" s="379"/>
      <c r="FK110" s="379"/>
      <c r="FL110" s="379"/>
      <c r="FM110" s="379"/>
      <c r="FN110" s="379"/>
      <c r="FO110" s="379"/>
      <c r="FP110" s="379"/>
      <c r="FQ110" s="379"/>
      <c r="FR110" s="379"/>
      <c r="FS110" s="379"/>
      <c r="FT110" s="379"/>
      <c r="FU110" s="379"/>
      <c r="FV110" s="379"/>
      <c r="FW110" s="379"/>
      <c r="FX110" s="379"/>
      <c r="FY110" s="379"/>
      <c r="FZ110" s="379"/>
      <c r="GA110" s="379"/>
      <c r="GB110" s="379"/>
      <c r="GC110" s="379"/>
      <c r="GD110" s="379"/>
      <c r="GE110" s="379"/>
      <c r="GF110" s="379"/>
      <c r="GG110" s="379"/>
      <c r="GH110" s="379"/>
      <c r="GI110" s="379"/>
      <c r="GJ110" s="379"/>
      <c r="GK110" s="379"/>
      <c r="GL110" s="379"/>
      <c r="GM110" s="379"/>
      <c r="GN110" s="379"/>
      <c r="GO110" s="379"/>
      <c r="GP110" s="379"/>
      <c r="GQ110" s="379"/>
      <c r="GR110" s="379"/>
      <c r="GS110" s="379"/>
      <c r="GT110" s="379"/>
      <c r="GU110" s="379"/>
      <c r="GV110" s="379"/>
      <c r="GW110" s="379"/>
      <c r="GX110" s="379"/>
      <c r="GY110" s="379"/>
      <c r="GZ110" s="379"/>
      <c r="HA110" s="379"/>
      <c r="HB110" s="379"/>
      <c r="HC110" s="379"/>
      <c r="HD110" s="379"/>
      <c r="HE110" s="379"/>
      <c r="HF110" s="379"/>
      <c r="HG110" s="379"/>
      <c r="HH110" s="379"/>
      <c r="HI110" s="379"/>
      <c r="HJ110" s="379"/>
      <c r="HK110" s="379"/>
      <c r="HL110" s="379"/>
      <c r="HM110" s="379"/>
      <c r="HN110" s="379"/>
      <c r="HO110" s="379"/>
      <c r="HP110" s="379"/>
      <c r="HQ110" s="379"/>
      <c r="HR110" s="379"/>
      <c r="HS110" s="379"/>
      <c r="HT110" s="379"/>
      <c r="HU110" s="379"/>
      <c r="HV110" s="379"/>
      <c r="HW110" s="379"/>
      <c r="HX110" s="379"/>
      <c r="HY110" s="379"/>
      <c r="HZ110" s="379"/>
      <c r="IA110" s="379"/>
      <c r="IB110" s="379"/>
      <c r="IC110" s="379"/>
      <c r="ID110" s="379"/>
      <c r="IE110" s="379"/>
      <c r="IF110" s="379"/>
      <c r="IG110" s="379"/>
      <c r="IH110" s="379"/>
      <c r="II110" s="379"/>
      <c r="IJ110" s="379"/>
      <c r="IK110" s="379"/>
      <c r="IL110" s="379"/>
      <c r="IM110" s="379"/>
      <c r="IN110" s="379"/>
      <c r="IO110" s="379"/>
      <c r="IP110" s="379"/>
      <c r="IQ110" s="379"/>
      <c r="IR110" s="379"/>
      <c r="IS110" s="379"/>
      <c r="IT110" s="379"/>
      <c r="IU110" s="379"/>
      <c r="IV110" s="379"/>
      <c r="IW110" s="379"/>
    </row>
    <row r="111" customFormat="false" ht="12.95" hidden="false" customHeight="true" outlineLevel="0" collapsed="false">
      <c r="A111" s="25"/>
      <c r="B111" s="416"/>
      <c r="C111" s="417"/>
      <c r="D111" s="411"/>
      <c r="E111" s="411"/>
      <c r="F111" s="411"/>
      <c r="G111" s="379"/>
      <c r="H111" s="379"/>
      <c r="I111" s="379"/>
      <c r="J111" s="379"/>
      <c r="K111" s="379"/>
      <c r="L111" s="379"/>
      <c r="M111" s="379"/>
      <c r="N111" s="379"/>
      <c r="O111" s="379"/>
      <c r="P111" s="379"/>
      <c r="Q111" s="379"/>
      <c r="R111" s="379"/>
      <c r="S111" s="379"/>
      <c r="T111" s="379"/>
      <c r="U111" s="379"/>
      <c r="V111" s="379"/>
      <c r="W111" s="379"/>
      <c r="X111" s="379"/>
      <c r="Y111" s="379"/>
      <c r="Z111" s="379"/>
      <c r="AA111" s="379"/>
      <c r="AB111" s="379"/>
      <c r="AC111" s="379"/>
      <c r="AD111" s="379"/>
      <c r="AE111" s="379"/>
      <c r="AF111" s="379"/>
      <c r="AG111" s="379"/>
      <c r="AH111" s="379"/>
      <c r="AI111" s="379"/>
      <c r="AJ111" s="379"/>
      <c r="AK111" s="379"/>
      <c r="AL111" s="379"/>
      <c r="AM111" s="379"/>
      <c r="AN111" s="379"/>
      <c r="AO111" s="379"/>
      <c r="AP111" s="379"/>
      <c r="AQ111" s="379"/>
      <c r="AR111" s="379"/>
      <c r="AS111" s="379"/>
      <c r="AT111" s="379"/>
      <c r="AU111" s="379"/>
      <c r="AV111" s="379"/>
      <c r="AW111" s="379"/>
      <c r="AX111" s="379"/>
      <c r="AY111" s="379"/>
      <c r="AZ111" s="379"/>
      <c r="BA111" s="379"/>
      <c r="BB111" s="379"/>
      <c r="BC111" s="379"/>
      <c r="BD111" s="379"/>
      <c r="BE111" s="379"/>
      <c r="BF111" s="379"/>
      <c r="BG111" s="379"/>
      <c r="BH111" s="379"/>
      <c r="BI111" s="379"/>
      <c r="BJ111" s="379"/>
      <c r="BK111" s="379"/>
      <c r="BL111" s="379"/>
      <c r="BM111" s="379"/>
      <c r="BN111" s="379"/>
      <c r="BO111" s="379"/>
      <c r="BP111" s="379"/>
      <c r="BQ111" s="379"/>
      <c r="BR111" s="379"/>
      <c r="BS111" s="379"/>
      <c r="BT111" s="379"/>
      <c r="BU111" s="379"/>
      <c r="BV111" s="379"/>
      <c r="BW111" s="379"/>
      <c r="BX111" s="379"/>
      <c r="BY111" s="379"/>
      <c r="BZ111" s="379"/>
      <c r="CA111" s="379"/>
      <c r="CB111" s="379"/>
      <c r="CC111" s="379"/>
      <c r="CD111" s="379"/>
      <c r="CE111" s="379"/>
      <c r="CF111" s="379"/>
      <c r="CG111" s="379"/>
      <c r="CH111" s="379"/>
      <c r="CI111" s="379"/>
      <c r="CJ111" s="379"/>
      <c r="CK111" s="379"/>
      <c r="CL111" s="379"/>
      <c r="CM111" s="379"/>
      <c r="CN111" s="379"/>
      <c r="CO111" s="379"/>
      <c r="CP111" s="379"/>
      <c r="CQ111" s="379"/>
      <c r="CR111" s="379"/>
      <c r="CS111" s="379"/>
      <c r="CT111" s="379"/>
      <c r="CU111" s="379"/>
      <c r="CV111" s="379"/>
      <c r="CW111" s="379"/>
      <c r="CX111" s="379"/>
      <c r="CY111" s="379"/>
      <c r="CZ111" s="379"/>
      <c r="DA111" s="379"/>
      <c r="DB111" s="379"/>
      <c r="DC111" s="379"/>
      <c r="DD111" s="379"/>
      <c r="DE111" s="379"/>
      <c r="DF111" s="379"/>
      <c r="DG111" s="379"/>
      <c r="DH111" s="379"/>
      <c r="DI111" s="379"/>
      <c r="DJ111" s="379"/>
      <c r="DK111" s="379"/>
      <c r="DL111" s="379"/>
      <c r="DM111" s="379"/>
      <c r="DN111" s="379"/>
      <c r="DO111" s="379"/>
      <c r="DP111" s="379"/>
      <c r="DQ111" s="379"/>
      <c r="DR111" s="379"/>
      <c r="DS111" s="379"/>
      <c r="DT111" s="379"/>
      <c r="DU111" s="379"/>
      <c r="DV111" s="379"/>
      <c r="DW111" s="379"/>
      <c r="DX111" s="379"/>
      <c r="DY111" s="379"/>
      <c r="DZ111" s="379"/>
      <c r="EA111" s="379"/>
      <c r="EB111" s="379"/>
      <c r="EC111" s="379"/>
      <c r="ED111" s="379"/>
      <c r="EE111" s="379"/>
      <c r="EF111" s="379"/>
      <c r="EG111" s="379"/>
      <c r="EH111" s="379"/>
      <c r="EI111" s="379"/>
      <c r="EJ111" s="379"/>
      <c r="EK111" s="379"/>
      <c r="EL111" s="379"/>
      <c r="EM111" s="379"/>
      <c r="EN111" s="379"/>
      <c r="EO111" s="379"/>
      <c r="EP111" s="379"/>
      <c r="EQ111" s="379"/>
      <c r="ER111" s="379"/>
      <c r="ES111" s="379"/>
      <c r="ET111" s="379"/>
      <c r="EU111" s="379"/>
      <c r="EV111" s="379"/>
      <c r="EW111" s="379"/>
      <c r="EX111" s="379"/>
      <c r="EY111" s="379"/>
      <c r="EZ111" s="379"/>
      <c r="FA111" s="379"/>
      <c r="FB111" s="379"/>
      <c r="FC111" s="379"/>
      <c r="FD111" s="379"/>
      <c r="FE111" s="379"/>
      <c r="FF111" s="379"/>
      <c r="FG111" s="379"/>
      <c r="FH111" s="379"/>
      <c r="FI111" s="379"/>
      <c r="FJ111" s="379"/>
      <c r="FK111" s="379"/>
      <c r="FL111" s="379"/>
      <c r="FM111" s="379"/>
      <c r="FN111" s="379"/>
      <c r="FO111" s="379"/>
      <c r="FP111" s="379"/>
      <c r="FQ111" s="379"/>
      <c r="FR111" s="379"/>
      <c r="FS111" s="379"/>
      <c r="FT111" s="379"/>
      <c r="FU111" s="379"/>
      <c r="FV111" s="379"/>
      <c r="FW111" s="379"/>
      <c r="FX111" s="379"/>
      <c r="FY111" s="379"/>
      <c r="FZ111" s="379"/>
      <c r="GA111" s="379"/>
      <c r="GB111" s="379"/>
      <c r="GC111" s="379"/>
      <c r="GD111" s="379"/>
      <c r="GE111" s="379"/>
      <c r="GF111" s="379"/>
      <c r="GG111" s="379"/>
      <c r="GH111" s="379"/>
      <c r="GI111" s="379"/>
      <c r="GJ111" s="379"/>
      <c r="GK111" s="379"/>
      <c r="GL111" s="379"/>
      <c r="GM111" s="379"/>
      <c r="GN111" s="379"/>
      <c r="GO111" s="379"/>
      <c r="GP111" s="379"/>
      <c r="GQ111" s="379"/>
      <c r="GR111" s="379"/>
      <c r="GS111" s="379"/>
      <c r="GT111" s="379"/>
      <c r="GU111" s="379"/>
      <c r="GV111" s="379"/>
      <c r="GW111" s="379"/>
      <c r="GX111" s="379"/>
      <c r="GY111" s="379"/>
      <c r="GZ111" s="379"/>
      <c r="HA111" s="379"/>
      <c r="HB111" s="379"/>
      <c r="HC111" s="379"/>
      <c r="HD111" s="379"/>
      <c r="HE111" s="379"/>
      <c r="HF111" s="379"/>
      <c r="HG111" s="379"/>
      <c r="HH111" s="379"/>
      <c r="HI111" s="379"/>
      <c r="HJ111" s="379"/>
      <c r="HK111" s="379"/>
      <c r="HL111" s="379"/>
      <c r="HM111" s="379"/>
      <c r="HN111" s="379"/>
      <c r="HO111" s="379"/>
      <c r="HP111" s="379"/>
      <c r="HQ111" s="379"/>
      <c r="HR111" s="379"/>
      <c r="HS111" s="379"/>
      <c r="HT111" s="379"/>
      <c r="HU111" s="379"/>
      <c r="HV111" s="379"/>
      <c r="HW111" s="379"/>
      <c r="HX111" s="379"/>
      <c r="HY111" s="379"/>
      <c r="HZ111" s="379"/>
      <c r="IA111" s="379"/>
      <c r="IB111" s="379"/>
      <c r="IC111" s="379"/>
      <c r="ID111" s="379"/>
      <c r="IE111" s="379"/>
      <c r="IF111" s="379"/>
      <c r="IG111" s="379"/>
      <c r="IH111" s="379"/>
      <c r="II111" s="379"/>
      <c r="IJ111" s="379"/>
      <c r="IK111" s="379"/>
      <c r="IL111" s="379"/>
      <c r="IM111" s="379"/>
      <c r="IN111" s="379"/>
      <c r="IO111" s="379"/>
      <c r="IP111" s="379"/>
      <c r="IQ111" s="379"/>
      <c r="IR111" s="379"/>
      <c r="IS111" s="379"/>
      <c r="IT111" s="379"/>
      <c r="IU111" s="379"/>
      <c r="IV111" s="379"/>
      <c r="IW111" s="379"/>
    </row>
    <row r="112" customFormat="false" ht="14.1" hidden="false" customHeight="true" outlineLevel="0" collapsed="false">
      <c r="A112" s="25"/>
      <c r="B112" s="379"/>
      <c r="C112" s="418"/>
      <c r="D112" s="411"/>
      <c r="E112" s="411"/>
      <c r="F112" s="411"/>
      <c r="G112" s="379"/>
      <c r="H112" s="379"/>
      <c r="I112" s="379"/>
      <c r="J112" s="379"/>
      <c r="K112" s="379"/>
      <c r="L112" s="379"/>
      <c r="M112" s="379"/>
      <c r="N112" s="379"/>
      <c r="O112" s="379"/>
      <c r="P112" s="379"/>
      <c r="Q112" s="379"/>
      <c r="R112" s="379"/>
      <c r="S112" s="379"/>
      <c r="T112" s="379"/>
      <c r="U112" s="379"/>
      <c r="V112" s="379"/>
      <c r="W112" s="379"/>
      <c r="X112" s="379"/>
      <c r="Y112" s="379"/>
      <c r="Z112" s="379"/>
      <c r="AA112" s="379"/>
      <c r="AB112" s="379"/>
      <c r="AC112" s="379"/>
      <c r="AD112" s="379"/>
      <c r="AE112" s="379"/>
      <c r="AF112" s="379"/>
      <c r="AG112" s="379"/>
      <c r="AH112" s="379"/>
      <c r="AI112" s="379"/>
      <c r="AJ112" s="379"/>
      <c r="AK112" s="379"/>
      <c r="AL112" s="379"/>
      <c r="AM112" s="379"/>
      <c r="AN112" s="379"/>
      <c r="AO112" s="379"/>
      <c r="AP112" s="379"/>
      <c r="AQ112" s="379"/>
      <c r="AR112" s="379"/>
      <c r="AS112" s="379"/>
      <c r="AT112" s="379"/>
      <c r="AU112" s="379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79"/>
      <c r="BG112" s="379"/>
      <c r="BH112" s="379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79"/>
      <c r="BS112" s="379"/>
      <c r="BT112" s="379"/>
      <c r="BU112" s="379"/>
      <c r="BV112" s="379"/>
      <c r="BW112" s="379"/>
      <c r="BX112" s="379"/>
      <c r="BY112" s="379"/>
      <c r="BZ112" s="379"/>
      <c r="CA112" s="379"/>
      <c r="CB112" s="379"/>
      <c r="CC112" s="379"/>
      <c r="CD112" s="379"/>
      <c r="CE112" s="379"/>
      <c r="CF112" s="379"/>
      <c r="CG112" s="379"/>
      <c r="CH112" s="379"/>
      <c r="CI112" s="379"/>
      <c r="CJ112" s="379"/>
      <c r="CK112" s="379"/>
      <c r="CL112" s="379"/>
      <c r="CM112" s="379"/>
      <c r="CN112" s="379"/>
      <c r="CO112" s="379"/>
      <c r="CP112" s="379"/>
      <c r="CQ112" s="379"/>
      <c r="CR112" s="379"/>
      <c r="CS112" s="379"/>
      <c r="CT112" s="379"/>
      <c r="CU112" s="379"/>
      <c r="CV112" s="379"/>
      <c r="CW112" s="379"/>
      <c r="CX112" s="379"/>
      <c r="CY112" s="379"/>
      <c r="CZ112" s="379"/>
      <c r="DA112" s="379"/>
      <c r="DB112" s="379"/>
      <c r="DC112" s="379"/>
      <c r="DD112" s="379"/>
      <c r="DE112" s="379"/>
      <c r="DF112" s="379"/>
      <c r="DG112" s="379"/>
      <c r="DH112" s="379"/>
      <c r="DI112" s="379"/>
      <c r="DJ112" s="379"/>
      <c r="DK112" s="379"/>
      <c r="DL112" s="379"/>
      <c r="DM112" s="379"/>
      <c r="DN112" s="379"/>
      <c r="DO112" s="379"/>
      <c r="DP112" s="379"/>
      <c r="DQ112" s="379"/>
      <c r="DR112" s="379"/>
      <c r="DS112" s="379"/>
      <c r="DT112" s="379"/>
      <c r="DU112" s="379"/>
      <c r="DV112" s="379"/>
      <c r="DW112" s="379"/>
      <c r="DX112" s="379"/>
      <c r="DY112" s="379"/>
      <c r="DZ112" s="379"/>
      <c r="EA112" s="379"/>
      <c r="EB112" s="379"/>
      <c r="EC112" s="379"/>
      <c r="ED112" s="379"/>
      <c r="EE112" s="379"/>
      <c r="EF112" s="379"/>
      <c r="EG112" s="379"/>
      <c r="EH112" s="379"/>
      <c r="EI112" s="379"/>
      <c r="EJ112" s="379"/>
      <c r="EK112" s="379"/>
      <c r="EL112" s="379"/>
      <c r="EM112" s="379"/>
      <c r="EN112" s="379"/>
      <c r="EO112" s="379"/>
      <c r="EP112" s="379"/>
      <c r="EQ112" s="379"/>
      <c r="ER112" s="379"/>
      <c r="ES112" s="379"/>
      <c r="ET112" s="379"/>
      <c r="EU112" s="379"/>
      <c r="EV112" s="379"/>
      <c r="EW112" s="379"/>
      <c r="EX112" s="379"/>
      <c r="EY112" s="379"/>
      <c r="EZ112" s="379"/>
      <c r="FA112" s="379"/>
      <c r="FB112" s="379"/>
      <c r="FC112" s="379"/>
      <c r="FD112" s="379"/>
      <c r="FE112" s="379"/>
      <c r="FF112" s="379"/>
      <c r="FG112" s="379"/>
      <c r="FH112" s="379"/>
      <c r="FI112" s="379"/>
      <c r="FJ112" s="379"/>
      <c r="FK112" s="379"/>
      <c r="FL112" s="379"/>
      <c r="FM112" s="379"/>
      <c r="FN112" s="379"/>
      <c r="FO112" s="379"/>
      <c r="FP112" s="379"/>
      <c r="FQ112" s="379"/>
      <c r="FR112" s="379"/>
      <c r="FS112" s="379"/>
      <c r="FT112" s="379"/>
      <c r="FU112" s="379"/>
      <c r="FV112" s="379"/>
      <c r="FW112" s="379"/>
      <c r="FX112" s="379"/>
      <c r="FY112" s="379"/>
      <c r="FZ112" s="379"/>
      <c r="GA112" s="379"/>
      <c r="GB112" s="379"/>
      <c r="GC112" s="379"/>
      <c r="GD112" s="379"/>
      <c r="GE112" s="379"/>
      <c r="GF112" s="379"/>
      <c r="GG112" s="379"/>
      <c r="GH112" s="379"/>
      <c r="GI112" s="379"/>
      <c r="GJ112" s="379"/>
      <c r="GK112" s="379"/>
      <c r="GL112" s="379"/>
      <c r="GM112" s="379"/>
      <c r="GN112" s="379"/>
      <c r="GO112" s="379"/>
      <c r="GP112" s="379"/>
      <c r="GQ112" s="379"/>
      <c r="GR112" s="379"/>
      <c r="GS112" s="379"/>
      <c r="GT112" s="379"/>
      <c r="GU112" s="379"/>
      <c r="GV112" s="379"/>
      <c r="GW112" s="379"/>
      <c r="GX112" s="379"/>
      <c r="GY112" s="379"/>
      <c r="GZ112" s="379"/>
      <c r="HA112" s="379"/>
      <c r="HB112" s="379"/>
      <c r="HC112" s="379"/>
      <c r="HD112" s="379"/>
      <c r="HE112" s="379"/>
      <c r="HF112" s="379"/>
      <c r="HG112" s="379"/>
      <c r="HH112" s="379"/>
      <c r="HI112" s="379"/>
      <c r="HJ112" s="379"/>
      <c r="HK112" s="379"/>
      <c r="HL112" s="379"/>
      <c r="HM112" s="379"/>
      <c r="HN112" s="379"/>
      <c r="HO112" s="379"/>
      <c r="HP112" s="379"/>
      <c r="HQ112" s="379"/>
      <c r="HR112" s="379"/>
      <c r="HS112" s="379"/>
      <c r="HT112" s="379"/>
      <c r="HU112" s="379"/>
      <c r="HV112" s="379"/>
      <c r="HW112" s="379"/>
      <c r="HX112" s="379"/>
      <c r="HY112" s="379"/>
      <c r="HZ112" s="379"/>
      <c r="IA112" s="379"/>
      <c r="IB112" s="379"/>
      <c r="IC112" s="379"/>
      <c r="ID112" s="379"/>
      <c r="IE112" s="379"/>
      <c r="IF112" s="379"/>
      <c r="IG112" s="379"/>
      <c r="IH112" s="379"/>
      <c r="II112" s="379"/>
      <c r="IJ112" s="379"/>
      <c r="IK112" s="379"/>
      <c r="IL112" s="379"/>
      <c r="IM112" s="379"/>
      <c r="IN112" s="379"/>
      <c r="IO112" s="379"/>
      <c r="IP112" s="379"/>
      <c r="IQ112" s="379"/>
      <c r="IR112" s="379"/>
      <c r="IS112" s="379"/>
      <c r="IT112" s="379"/>
      <c r="IU112" s="379"/>
      <c r="IV112" s="379"/>
      <c r="IW112" s="379"/>
    </row>
    <row r="113" customFormat="false" ht="12.95" hidden="false" customHeight="true" outlineLevel="0" collapsed="false">
      <c r="A113" s="285"/>
      <c r="C113" s="372"/>
    </row>
    <row r="114" customFormat="false" ht="12.95" hidden="false" customHeight="true" outlineLevel="0" collapsed="false">
      <c r="C114" s="352"/>
    </row>
    <row r="115" customFormat="false" ht="12.95" hidden="false" customHeight="true" outlineLevel="0" collapsed="false">
      <c r="C115" s="352"/>
    </row>
    <row r="116" customFormat="false" ht="12.95" hidden="false" customHeight="true" outlineLevel="0" collapsed="false">
      <c r="C116" s="352"/>
    </row>
    <row r="117" customFormat="false" ht="12.95" hidden="false" customHeight="true" outlineLevel="0" collapsed="false">
      <c r="C117" s="352"/>
    </row>
    <row r="118" customFormat="false" ht="12.95" hidden="false" customHeight="true" outlineLevel="0" collapsed="false">
      <c r="C118" s="352"/>
    </row>
    <row r="119" customFormat="false" ht="12.95" hidden="false" customHeight="true" outlineLevel="0" collapsed="false">
      <c r="C119" s="352"/>
    </row>
  </sheetData>
  <mergeCells count="4">
    <mergeCell ref="C1:D1"/>
    <mergeCell ref="L5:R5"/>
    <mergeCell ref="J73:L73"/>
    <mergeCell ref="J91:N91"/>
  </mergeCells>
  <printOptions headings="false" gridLines="false" gridLinesSet="true" horizontalCentered="true" verticalCentered="false"/>
  <pageMargins left="0" right="0" top="0.270138888888889" bottom="0.25" header="0.511811023622047" footer="0.511811023622047"/>
  <pageSetup paperSize="1" scale="3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2000-07-14T14:57:33Z</dcterms:created>
  <dc:creator>msharif</dc:creator>
  <dc:description/>
  <dc:language>en-US</dc:language>
  <cp:lastModifiedBy>psulliv</cp:lastModifiedBy>
  <cp:lastPrinted>2000-07-31T10:34:09Z</cp:lastPrinted>
  <cp:revision>0</cp:revision>
  <dc:subject/>
  <dc:title/>
</cp:coreProperties>
</file>