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ies" sheetId="1" state="visible" r:id="rId3"/>
    <sheet name="EOLSupplies" sheetId="2" state="visible" r:id="rId4"/>
    <sheet name="BaseloadMarkets" sheetId="3" state="visible" r:id="rId5"/>
    <sheet name="SwingMarkets" sheetId="4" state="visible" r:id="rId6"/>
    <sheet name="EOLMarkets" sheetId="5" state="visible" r:id="rId7"/>
    <sheet name="OCCMarkets" sheetId="6" state="visible" r:id="rId8"/>
    <sheet name="EES" sheetId="7" state="visible" r:id="rId9"/>
    <sheet name="Border" sheetId="8" state="visible" r:id="rId10"/>
    <sheet name="Summary" sheetId="9" state="visible" r:id="rId11"/>
    <sheet name="5 Day" sheetId="10" state="visible" r:id="rId12"/>
    <sheet name="Hub" sheetId="11" state="visible" r:id="rId13"/>
    <sheet name="Oxy" sheetId="12" state="visible" r:id="rId14"/>
    <sheet name="Smurfit" sheetId="13" state="visible" r:id="rId15"/>
  </sheets>
  <definedNames>
    <definedName function="false" hidden="false" localSheetId="2" name="_xlnm.Print_Titles" vbProcedure="false">BaseloadMarkets!$A:$A</definedName>
    <definedName function="false" hidden="false" localSheetId="7" name="_xlnm.Print_Area" vbProcedure="false">Border!$A$3:$T$35</definedName>
    <definedName function="false" hidden="false" localSheetId="7" name="_xlnm.Print_Titles" vbProcedure="false">Border!$A:$A</definedName>
    <definedName function="false" hidden="false" localSheetId="4" name="_xlnm.Print_Area" vbProcedure="false">EOLMarkets!$A$1:$ET$37</definedName>
    <definedName function="false" hidden="false" localSheetId="4" name="_xlnm.Print_Titles" vbProcedure="false">EOLMarkets!$A:$A</definedName>
    <definedName function="false" hidden="false" localSheetId="1" name="_xlnm.Print_Area" vbProcedure="false">EOLSupplies!$A$1:$DV$37</definedName>
    <definedName function="false" hidden="false" localSheetId="1" name="_xlnm.Print_Titles" vbProcedure="false">EOLSupplies!$A:$A</definedName>
    <definedName function="false" hidden="false" localSheetId="5" name="_xlnm.Print_Titles" vbProcedure="false">OCCMarkets!$A:$A</definedName>
    <definedName function="false" hidden="false" localSheetId="8" name="_xlnm.Print_Area" vbProcedure="false">Summary!$A$1:$R$109</definedName>
    <definedName function="false" hidden="false" localSheetId="3" name="_xlnm.Print_Titles" vbProcedure="false">SwingMarkets!$A:$A</definedName>
    <definedName function="false" hidden="false" name="BaseloadMarkets" vbProcedure="false">BaseloadMarkets!$A$1:$DU$41</definedName>
    <definedName function="false" hidden="false" name="CanFibre" vbProcedure="false">OCCMarkets!$A$1:$AB$37</definedName>
    <definedName function="false" hidden="false" name="EES" vbProcedure="false">EES!$A$1:$AR$36</definedName>
    <definedName function="false" hidden="false" name="EOLMarkets" vbProcedure="false">EOLMarkets!$A$1:$IK$37</definedName>
    <definedName function="false" hidden="false" name="EOLMarkets2" vbProcedure="false">#REF!</definedName>
    <definedName function="false" hidden="false" name="EOLMarkets3" vbProcedure="false">#REF!</definedName>
    <definedName function="false" hidden="false" name="EOLMarkets4" vbProcedure="false">#REF!</definedName>
    <definedName function="false" hidden="false" name="EOLMarkets5" vbProcedure="false">#REF!</definedName>
    <definedName function="false" hidden="false" name="EOLMarkets6" vbProcedure="false">#REF!</definedName>
    <definedName function="false" hidden="false" name="EOLSuplies4" vbProcedure="false">#REF!</definedName>
    <definedName function="false" hidden="false" name="EOLSuppies3" vbProcedure="false">#REF!</definedName>
    <definedName function="false" hidden="false" name="EOLSupplies" vbProcedure="false">EOLSupplies!$A$1:$ED$37</definedName>
    <definedName function="false" hidden="false" name="EOLSupplies2" vbProcedure="false">#REF!</definedName>
    <definedName function="false" hidden="false" name="EOLSupplies3" vbProcedure="false">#REF!</definedName>
    <definedName function="false" hidden="false" name="EOLSupplies4" vbProcedure="false">#REF!</definedName>
    <definedName function="false" hidden="false" name="EOLSupplies5" vbProcedure="false">#REF!</definedName>
    <definedName function="false" hidden="false" name="Filtrol" vbProcedure="false">OCCMarkets!$A$1:$U$37</definedName>
    <definedName function="false" hidden="false" name="Hub" vbProcedure="false">Hub!$A$1:$HA$38</definedName>
    <definedName function="false" hidden="false" name="Oxy" vbProcedure="false">Oxy!$A$1:$G$37</definedName>
    <definedName function="false" hidden="false" name="Pasadena" vbProcedure="false">OCCMarkets!$A$1:$N$37</definedName>
    <definedName function="false" hidden="false" name="Smurfit" vbProcedure="false">Smurfit!$A$1:$AO$38</definedName>
    <definedName function="false" hidden="false" name="Supplies" vbProcedure="false">Supplies!$A$1:$BE$44</definedName>
    <definedName function="false" hidden="false" name="Top" vbProcedure="false">BaseloadMarkets!$A$1</definedName>
    <definedName function="false" hidden="false" localSheetId="1" name="CanFibre" vbProcedure="false">EOLSupplies!$A$1:$B$37</definedName>
    <definedName function="false" hidden="false" localSheetId="1" name="Filtrol" vbProcedure="false">EOLSupplies!$A$1:$B$37</definedName>
    <definedName function="false" hidden="false" localSheetId="1" name="Pasadena" vbProcedure="false">EOLSupplies!$A$1:$B$37</definedName>
    <definedName function="false" hidden="false" localSheetId="1" name="Smurfit" vbProcedure="false">EOLSupplies!$A$1:$B$37</definedName>
    <definedName function="false" hidden="false" localSheetId="1" name="Top" vbProcedure="false">EOLSupplies!$A$1</definedName>
    <definedName function="false" hidden="false" localSheetId="3" name="CanFibre" vbProcedure="false">SwingMarkets!$A$1:$B$37</definedName>
    <definedName function="false" hidden="false" localSheetId="3" name="Filtrol" vbProcedure="false">SwingMarkets!$A$1:$B$37</definedName>
    <definedName function="false" hidden="false" localSheetId="3" name="Pasadena" vbProcedure="false">SwingMarkets!$A$1:$B$37</definedName>
    <definedName function="false" hidden="false" localSheetId="3" name="Smurfit" vbProcedure="false">SwingMarkets!$A$1:$B$37</definedName>
    <definedName function="false" hidden="false" localSheetId="3" name="Top" vbProcedure="false">SwingMarkets!$A$1</definedName>
    <definedName function="false" hidden="false" localSheetId="4" name="CanFibre" vbProcedure="false">EOLMarkets!$A$1:$B$37</definedName>
    <definedName function="false" hidden="false" localSheetId="4" name="Filtrol" vbProcedure="false">EOLMarkets!$A$1:$B$37</definedName>
    <definedName function="false" hidden="false" localSheetId="4" name="Pasadena" vbProcedure="false">EOLMarkets!$A$1:$B$37</definedName>
    <definedName function="false" hidden="false" localSheetId="4" name="Smurfit" vbProcedure="false">EOLMarkets!$A$1:$B$37</definedName>
    <definedName function="false" hidden="false" localSheetId="4" name="Top" vbProcedure="false">EOLMarkets!$A$1</definedName>
    <definedName function="false" hidden="false" localSheetId="5" name="Smurfit" vbProcedure="false">OCCMarkets!$A$1:$BK$37</definedName>
    <definedName function="false" hidden="false" localSheetId="5" name="Top" vbProcedure="false">OCCMarkets!$A$1</definedName>
    <definedName function="false" hidden="false" localSheetId="8" name="EES" vbProcedure="false">EES!$A$1:$AR$36</definedName>
    <definedName function="false" hidden="false" localSheetId="8" name="Oxy" vbProcedure="false">Oxy!$A$1:$G$37</definedName>
    <definedName function="false" hidden="false" localSheetId="10" name="Oxy" vbProcedure="false">Hub!$A$1:$G$37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<sst xmlns="http://schemas.openxmlformats.org/spreadsheetml/2006/main" count="1431" uniqueCount="321">
  <si>
    <t xml:space="preserve">Supplies</t>
  </si>
  <si>
    <t xml:space="preserve">Border Avg +.005</t>
  </si>
  <si>
    <t xml:space="preserve">Border Avg +.01</t>
  </si>
  <si>
    <t xml:space="preserve">Border Avg +.0075</t>
  </si>
  <si>
    <t xml:space="preserve">Border Avg +.0225</t>
  </si>
  <si>
    <t xml:space="preserve">Border Avg +.0325</t>
  </si>
  <si>
    <t xml:space="preserve">Border Avg +.025</t>
  </si>
  <si>
    <t xml:space="preserve">Border Avg +.0025</t>
  </si>
  <si>
    <t xml:space="preserve">Border Avg +.03</t>
  </si>
  <si>
    <t xml:space="preserve">Tiered</t>
  </si>
  <si>
    <t xml:space="preserve">Complex</t>
  </si>
  <si>
    <t xml:space="preserve">GDA</t>
  </si>
  <si>
    <t xml:space="preserve">$0.17 Exch Fee</t>
  </si>
  <si>
    <t xml:space="preserve">Various</t>
  </si>
  <si>
    <t xml:space="preserve">Counterparty</t>
  </si>
  <si>
    <t xml:space="preserve">Oxy</t>
  </si>
  <si>
    <t xml:space="preserve">Amoco</t>
  </si>
  <si>
    <t xml:space="preserve">City Of Pasadena</t>
  </si>
  <si>
    <t xml:space="preserve">Aquila Energy</t>
  </si>
  <si>
    <t xml:space="preserve">Burlington</t>
  </si>
  <si>
    <t xml:space="preserve">CA Hub</t>
  </si>
  <si>
    <t xml:space="preserve">Cinergy</t>
  </si>
  <si>
    <t xml:space="preserve">Conoco</t>
  </si>
  <si>
    <t xml:space="preserve">Cook</t>
  </si>
  <si>
    <t xml:space="preserve">Duke</t>
  </si>
  <si>
    <t xml:space="preserve">EPME</t>
  </si>
  <si>
    <t xml:space="preserve">Oneok</t>
  </si>
  <si>
    <t xml:space="preserve">Southern</t>
  </si>
  <si>
    <t xml:space="preserve">Tenaska</t>
  </si>
  <si>
    <t xml:space="preserve">Vintage Gas</t>
  </si>
  <si>
    <t xml:space="preserve">USGT</t>
  </si>
  <si>
    <t xml:space="preserve">TransCan</t>
  </si>
  <si>
    <t xml:space="preserve">EES</t>
  </si>
  <si>
    <t xml:space="preserve">Texaco</t>
  </si>
  <si>
    <t xml:space="preserve">CA HUB</t>
  </si>
  <si>
    <t xml:space="preserve">Engage</t>
  </si>
  <si>
    <t xml:space="preserve">SDG&amp;E</t>
  </si>
  <si>
    <t xml:space="preserve">Coral</t>
  </si>
  <si>
    <t xml:space="preserve">SDGE</t>
  </si>
  <si>
    <t xml:space="preserve">Vintage</t>
  </si>
  <si>
    <t xml:space="preserve">Western</t>
  </si>
  <si>
    <t xml:space="preserve">Nevada Power</t>
  </si>
  <si>
    <t xml:space="preserve"> </t>
  </si>
  <si>
    <t xml:space="preserve">Contract #</t>
  </si>
  <si>
    <t xml:space="preserve">KS0202DD</t>
  </si>
  <si>
    <t xml:space="preserve">P2702</t>
  </si>
  <si>
    <t xml:space="preserve">Match Glendale</t>
  </si>
  <si>
    <t xml:space="preserve">Net To Pasadena</t>
  </si>
  <si>
    <t xml:space="preserve">Deal #</t>
  </si>
  <si>
    <t xml:space="preserve">287198/288557</t>
  </si>
  <si>
    <t xml:space="preserve">Total</t>
  </si>
  <si>
    <t xml:space="preserve">Pipeline</t>
  </si>
  <si>
    <t xml:space="preserve">PG&amp;E</t>
  </si>
  <si>
    <t xml:space="preserve">KRS</t>
  </si>
  <si>
    <t xml:space="preserve">CA Prod</t>
  </si>
  <si>
    <t xml:space="preserve">Topock</t>
  </si>
  <si>
    <t xml:space="preserve">Ehrenberg</t>
  </si>
  <si>
    <t xml:space="preserve">Storage</t>
  </si>
  <si>
    <t xml:space="preserve">TW Needles</t>
  </si>
  <si>
    <t xml:space="preserve">TW</t>
  </si>
  <si>
    <t xml:space="preserve">Ehren</t>
  </si>
  <si>
    <t xml:space="preserve">Stor/Need</t>
  </si>
  <si>
    <t xml:space="preserve">Needles</t>
  </si>
  <si>
    <t xml:space="preserve">Need</t>
  </si>
  <si>
    <t xml:space="preserve">Stor</t>
  </si>
  <si>
    <t xml:space="preserve">Topock/Ehren</t>
  </si>
  <si>
    <t xml:space="preserve">Top/stor</t>
  </si>
  <si>
    <t xml:space="preserve">Top</t>
  </si>
  <si>
    <t xml:space="preserve">Storage/top</t>
  </si>
  <si>
    <t xml:space="preserve">top/need</t>
  </si>
  <si>
    <t xml:space="preserve">CA/Stor/need</t>
  </si>
  <si>
    <t xml:space="preserve">MOJA/SCAL</t>
  </si>
  <si>
    <t xml:space="preserve">Totals</t>
  </si>
  <si>
    <t xml:space="preserve">Short Position:</t>
  </si>
  <si>
    <t xml:space="preserve">Markets</t>
  </si>
  <si>
    <t xml:space="preserve">Border Avg + .02</t>
  </si>
  <si>
    <t xml:space="preserve">Border Avg Flat</t>
  </si>
  <si>
    <t xml:space="preserve">Border Avg +.02</t>
  </si>
  <si>
    <t xml:space="preserve">279839 / 279841 / 279844 / 279850</t>
  </si>
  <si>
    <t xml:space="preserve">280102 / 280105 / 280107</t>
  </si>
  <si>
    <t xml:space="preserve">278148 / 278165</t>
  </si>
  <si>
    <t xml:space="preserve">276530 / 276534</t>
  </si>
  <si>
    <t xml:space="preserve">EOL</t>
  </si>
  <si>
    <t xml:space="preserve">Daily</t>
  </si>
  <si>
    <t xml:space="preserve">Cumulative</t>
  </si>
  <si>
    <t xml:space="preserve">Baseload</t>
  </si>
  <si>
    <t xml:space="preserve">Swing</t>
  </si>
  <si>
    <t xml:space="preserve">CounterParty</t>
  </si>
  <si>
    <t xml:space="preserve">Day Of</t>
  </si>
  <si>
    <t xml:space="preserve">Reliant</t>
  </si>
  <si>
    <t xml:space="preserve">TransCanada</t>
  </si>
  <si>
    <t xml:space="preserve">MTD</t>
  </si>
  <si>
    <t xml:space="preserve">Week</t>
  </si>
  <si>
    <t xml:space="preserve">EPNG Top</t>
  </si>
  <si>
    <t xml:space="preserve">Long/(Short)</t>
  </si>
  <si>
    <t xml:space="preserve">Delivered</t>
  </si>
  <si>
    <t xml:space="preserve">Nom</t>
  </si>
  <si>
    <t xml:space="preserve">Sched</t>
  </si>
  <si>
    <t xml:space="preserve">Long/Short</t>
  </si>
  <si>
    <t xml:space="preserve">Match Astra 283283</t>
  </si>
  <si>
    <t xml:space="preserve">Border Avg -.0025</t>
  </si>
  <si>
    <t xml:space="preserve">GDPA -.005</t>
  </si>
  <si>
    <t xml:space="preserve">Border Avg +.05</t>
  </si>
  <si>
    <t xml:space="preserve">281243 / 281274</t>
  </si>
  <si>
    <t xml:space="preserve">OCC</t>
  </si>
  <si>
    <t xml:space="preserve">Glendale</t>
  </si>
  <si>
    <t xml:space="preserve">Sempra</t>
  </si>
  <si>
    <t xml:space="preserve">SoCal</t>
  </si>
  <si>
    <t xml:space="preserve">Williams</t>
  </si>
  <si>
    <t xml:space="preserve">Nine Energy</t>
  </si>
  <si>
    <t xml:space="preserve">Match BP Amoco 111826</t>
  </si>
  <si>
    <t xml:space="preserve">Topock / Ehrenberg</t>
  </si>
  <si>
    <t xml:space="preserve">Top/Ehren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</si>
  <si>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</si>
  <si>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</si>
  <si>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</si>
  <si>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</si>
  <si>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</si>
  <si>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Tues</t>
  </si>
  <si>
    <t xml:space="preserve">Wed</t>
  </si>
  <si>
    <t xml:space="preserve">9KUB</t>
  </si>
  <si>
    <t xml:space="preserve">Net</t>
  </si>
  <si>
    <t xml:space="preserve">ConAgra</t>
  </si>
  <si>
    <t xml:space="preserve">PanCan</t>
  </si>
  <si>
    <t xml:space="preserve">JC Energy</t>
  </si>
  <si>
    <t xml:space="preserve">Stor/CA Prod</t>
  </si>
  <si>
    <t xml:space="preserve">Ehren/Top</t>
  </si>
  <si>
    <t xml:space="preserve">Top/Stor</t>
  </si>
  <si>
    <t xml:space="preserve">276547 / 276552</t>
  </si>
  <si>
    <t xml:space="preserve">276540 / 276545</t>
  </si>
  <si>
    <t xml:space="preserve">Dynegy</t>
  </si>
  <si>
    <t xml:space="preserve">77350/249248</t>
  </si>
  <si>
    <t xml:space="preserve">C09</t>
  </si>
  <si>
    <t xml:space="preserve">City of Pasedena</t>
  </si>
  <si>
    <t xml:space="preserve">3rd Party</t>
  </si>
  <si>
    <t xml:space="preserve">Nevada</t>
  </si>
  <si>
    <t xml:space="preserve">F08</t>
  </si>
  <si>
    <t xml:space="preserve">3rd party/</t>
  </si>
  <si>
    <t xml:space="preserve">C219</t>
  </si>
  <si>
    <t xml:space="preserve">S18</t>
  </si>
  <si>
    <t xml:space="preserve">C01</t>
  </si>
  <si>
    <t xml:space="preserve">S07</t>
  </si>
  <si>
    <t xml:space="preserve">S19</t>
  </si>
  <si>
    <t xml:space="preserve">S88</t>
  </si>
  <si>
    <t xml:space="preserve">TOTAL</t>
  </si>
  <si>
    <t xml:space="preserve">Pasadena</t>
  </si>
  <si>
    <t xml:space="preserve">9KUB/9KUC</t>
  </si>
  <si>
    <t xml:space="preserve">Power</t>
  </si>
  <si>
    <t xml:space="preserve">Akzo/Filtrol</t>
  </si>
  <si>
    <t xml:space="preserve">Wheeler</t>
  </si>
  <si>
    <t xml:space="preserve">Filtrol</t>
  </si>
  <si>
    <t xml:space="preserve">CanFibre</t>
  </si>
  <si>
    <t xml:space="preserve">Smurfit</t>
  </si>
  <si>
    <t xml:space="preserve">Demand</t>
  </si>
  <si>
    <t xml:space="preserve">Top/Ehr</t>
  </si>
  <si>
    <t xml:space="preserve">50% Length</t>
  </si>
  <si>
    <t xml:space="preserve">Scheduled</t>
  </si>
  <si>
    <t xml:space="preserve">Imbalance</t>
  </si>
  <si>
    <t xml:space="preserve">Kern</t>
  </si>
  <si>
    <t xml:space="preserve">TOP</t>
  </si>
  <si>
    <t xml:space="preserve">ACCESS DEMAND SPLIT</t>
  </si>
  <si>
    <t xml:space="preserve">Texaco &amp;</t>
  </si>
  <si>
    <t xml:space="preserve">Aquila</t>
  </si>
  <si>
    <t xml:space="preserve">EES </t>
  </si>
  <si>
    <t xml:space="preserve">EL Paso</t>
  </si>
  <si>
    <t xml:space="preserve">Barrett</t>
  </si>
  <si>
    <t xml:space="preserve">Deal #:</t>
  </si>
  <si>
    <t xml:space="preserve">El Paso</t>
  </si>
  <si>
    <t xml:space="preserve">Stor/</t>
  </si>
  <si>
    <t xml:space="preserve">Top/</t>
  </si>
  <si>
    <t xml:space="preserve">ACCESS</t>
  </si>
  <si>
    <t xml:space="preserve">Non-ECT</t>
  </si>
  <si>
    <t xml:space="preserve">Date</t>
  </si>
  <si>
    <t xml:space="preserve">EPNG</t>
  </si>
  <si>
    <t xml:space="preserve">9KUB-Top/Ehr</t>
  </si>
  <si>
    <t xml:space="preserve">9KUC-Ehr</t>
  </si>
  <si>
    <t xml:space="preserve">KS0202DD/KRS</t>
  </si>
  <si>
    <t xml:space="preserve">Netout</t>
  </si>
  <si>
    <t xml:space="preserve">NEED</t>
  </si>
  <si>
    <t xml:space="preserve">ehren</t>
  </si>
  <si>
    <t xml:space="preserve">DEMAND</t>
  </si>
  <si>
    <t xml:space="preserve">DIFFERENCE</t>
  </si>
  <si>
    <t xml:space="preserve">Socal Border Demand and Projections:</t>
  </si>
  <si>
    <t xml:space="preserve">MARKETS</t>
  </si>
  <si>
    <t xml:space="preserve">SUPPLIES</t>
  </si>
  <si>
    <t xml:space="preserve">EES BORDER DEMAND</t>
  </si>
  <si>
    <t xml:space="preserve">PHYSICAL STORAGE INJECTIONS</t>
  </si>
  <si>
    <t xml:space="preserve">NEGATIVE CARRYOVER</t>
  </si>
  <si>
    <t xml:space="preserve">TOLERANCE (10%)</t>
  </si>
  <si>
    <t xml:space="preserve">IMBALANCE SALES</t>
  </si>
  <si>
    <t xml:space="preserve">CUSTOMER DEMAND</t>
  </si>
  <si>
    <t xml:space="preserve">TOTAL BORDER DEMAND</t>
  </si>
  <si>
    <t xml:space="preserve">    STORAGE WITHDRAWAL</t>
  </si>
  <si>
    <t xml:space="preserve">POSITIVE CARRYOVER</t>
  </si>
  <si>
    <t xml:space="preserve">    EL PASO/TW    TO       SOCAL</t>
  </si>
  <si>
    <t xml:space="preserve">KERN, PG&amp;E, MOJAVE, &amp; T.W. TO BORDER</t>
  </si>
  <si>
    <t xml:space="preserve">IMBALANCE PURCHASES</t>
  </si>
  <si>
    <t xml:space="preserve">TOTAL BORDER SUPPLY</t>
  </si>
  <si>
    <t xml:space="preserve">ACTUALS THRU</t>
  </si>
  <si>
    <t xml:space="preserve">TOTAL     DAILY BALANCE LONG/(SHORT)</t>
  </si>
  <si>
    <t xml:space="preserve">MTD BALANCE LONG/(SHORT) </t>
  </si>
  <si>
    <t xml:space="preserve">DATE:</t>
  </si>
  <si>
    <t xml:space="preserve">Cumulative Scheduled Per Big Mama</t>
  </si>
  <si>
    <t xml:space="preserve">Cumulative Scheduled Per Unify</t>
  </si>
  <si>
    <t xml:space="preserve">Variance</t>
  </si>
  <si>
    <t xml:space="preserve">Differences between SoCal</t>
  </si>
  <si>
    <t xml:space="preserve">OCC Reports and EPNG Reports</t>
  </si>
  <si>
    <t xml:space="preserve">Socal Imbalance Summary</t>
  </si>
  <si>
    <t xml:space="preserve">Monthly Projected</t>
  </si>
  <si>
    <t xml:space="preserve">Current Fow Date</t>
  </si>
  <si>
    <t xml:space="preserve">Month-to-Date</t>
  </si>
  <si>
    <t xml:space="preserve">Base Border Markets:</t>
  </si>
  <si>
    <t xml:space="preserve">Mkt. Positions</t>
  </si>
  <si>
    <t xml:space="preserve">Smurfit Stone Container</t>
  </si>
  <si>
    <t xml:space="preserve">City Of Glendale (Match Amoco)</t>
  </si>
  <si>
    <t xml:space="preserve">Sempra Energy Sales</t>
  </si>
  <si>
    <t xml:space="preserve">Total Baseload Mkts</t>
  </si>
  <si>
    <t xml:space="preserve">Swing Border Markets:</t>
  </si>
  <si>
    <t xml:space="preserve">EOL Markets Baseload</t>
  </si>
  <si>
    <t xml:space="preserve">EOL Markets Swing</t>
  </si>
  <si>
    <t xml:space="preserve">Occidental Purchase Deal No. 107872</t>
  </si>
  <si>
    <t xml:space="preserve">Obligation Per Day:</t>
  </si>
  <si>
    <t xml:space="preserve">Total Monthly Obligation:</t>
  </si>
  <si>
    <t xml:space="preserve">Daily Obligation:</t>
  </si>
  <si>
    <t xml:space="preserve">Month-to-Date Obligation:</t>
  </si>
  <si>
    <t xml:space="preserve">Total Swing Market</t>
  </si>
  <si>
    <t xml:space="preserve">Daily Scheduled:</t>
  </si>
  <si>
    <t xml:space="preserve">Month-to-Date Scheduled:</t>
  </si>
  <si>
    <t xml:space="preserve">Daily Over/(Under):</t>
  </si>
  <si>
    <t xml:space="preserve">Month-to-Date Over/(Under):</t>
  </si>
  <si>
    <t xml:space="preserve">CA Hub Park Deal 279921</t>
  </si>
  <si>
    <t xml:space="preserve">     Plus:  EES Demand</t>
  </si>
  <si>
    <t xml:space="preserve">     Non-Core</t>
  </si>
  <si>
    <t xml:space="preserve">Total Markets</t>
  </si>
  <si>
    <t xml:space="preserve">Firm Border Supplies:</t>
  </si>
  <si>
    <t xml:space="preserve">BP Amoco Match Glendale</t>
  </si>
  <si>
    <t xml:space="preserve">City Of Pasadena (Net)</t>
  </si>
  <si>
    <t xml:space="preserve">CA Hub Lend Deal 170289</t>
  </si>
  <si>
    <t xml:space="preserve">CA Hub Lend Deal 204411</t>
  </si>
  <si>
    <t xml:space="preserve">CA Hub Lend Deal 205318</t>
  </si>
  <si>
    <t xml:space="preserve">Total Baseload Supplies</t>
  </si>
  <si>
    <t xml:space="preserve">Swing Border Supplies:</t>
  </si>
  <si>
    <t xml:space="preserve">EOL Supplies Baseload</t>
  </si>
  <si>
    <t xml:space="preserve">EOL Supplies Swing</t>
  </si>
  <si>
    <t xml:space="preserve">CA Hub Lend Deal 293824</t>
  </si>
  <si>
    <t xml:space="preserve">Weekdays Only Beginning 06/12/00</t>
  </si>
  <si>
    <t xml:space="preserve">Total Swing Supplies</t>
  </si>
  <si>
    <t xml:space="preserve">Total Supplies</t>
  </si>
  <si>
    <t xml:space="preserve">Net Demand for Transport</t>
  </si>
  <si>
    <t xml:space="preserve">Daily Position Break-out</t>
  </si>
  <si>
    <t xml:space="preserve">Beginning Balance</t>
  </si>
  <si>
    <t xml:space="preserve">Total Transport</t>
  </si>
  <si>
    <t xml:space="preserve">EOL Supply</t>
  </si>
  <si>
    <t xml:space="preserve">EOL Market</t>
  </si>
  <si>
    <t xml:space="preserve">Non-EOL Swing Supply</t>
  </si>
  <si>
    <t xml:space="preserve">Non-EOL Swing Market</t>
  </si>
  <si>
    <t xml:space="preserve">Oxy Call over 20,000</t>
  </si>
  <si>
    <t xml:space="preserve">Extra KRS</t>
  </si>
  <si>
    <t xml:space="preserve">California Prod.</t>
  </si>
  <si>
    <t xml:space="preserve">Extra EPNG</t>
  </si>
  <si>
    <t xml:space="preserve">Transport to EES</t>
  </si>
  <si>
    <t xml:space="preserve">El Paso cuts</t>
  </si>
  <si>
    <t xml:space="preserve">     Plus:  Swing Supplies</t>
  </si>
  <si>
    <t xml:space="preserve">TW Cuts</t>
  </si>
  <si>
    <t xml:space="preserve">Total to EES</t>
  </si>
  <si>
    <t xml:space="preserve">Ending Balance</t>
  </si>
  <si>
    <t xml:space="preserve">Next Day --</t>
  </si>
  <si>
    <t xml:space="preserve">Total Daily Balance:</t>
  </si>
  <si>
    <t xml:space="preserve">Assumptions</t>
  </si>
  <si>
    <t xml:space="preserve">Our Transport</t>
  </si>
  <si>
    <t xml:space="preserve">Border Purchases</t>
  </si>
  <si>
    <t xml:space="preserve">Daily ECT Imbalance:</t>
  </si>
  <si>
    <t xml:space="preserve">May Beg. Position</t>
  </si>
  <si>
    <t xml:space="preserve">Daily EES Imbalance:</t>
  </si>
  <si>
    <t xml:space="preserve">Purchases</t>
  </si>
  <si>
    <t xml:space="preserve">Total ECT/EES Daily Imbalance:</t>
  </si>
  <si>
    <t xml:space="preserve">9KUB Topock</t>
  </si>
  <si>
    <t xml:space="preserve">=</t>
  </si>
  <si>
    <t xml:space="preserve">Wheeler Ridge</t>
  </si>
  <si>
    <t xml:space="preserve">Month-to-Date Imbalance   ECT:</t>
  </si>
  <si>
    <t xml:space="preserve">     Topock - 98UY</t>
  </si>
  <si>
    <t xml:space="preserve">Month-to-Date Imbalance   EES:</t>
  </si>
  <si>
    <t xml:space="preserve">9KUC-Ehrenberg</t>
  </si>
  <si>
    <t xml:space="preserve">Total Month-to-Date Imbalance:</t>
  </si>
  <si>
    <t xml:space="preserve">ECT Imbalance Projected at Month-End:</t>
  </si>
  <si>
    <t xml:space="preserve">Kern-Must sell</t>
  </si>
  <si>
    <t xml:space="preserve">EES Imbalance Projected at Month-End:</t>
  </si>
  <si>
    <t xml:space="preserve">Total Imbalance Projected at Month-End:</t>
  </si>
  <si>
    <t xml:space="preserve">TW </t>
  </si>
  <si>
    <t xml:space="preserve">Available to Sell</t>
  </si>
  <si>
    <t xml:space="preserve">    Less Market short</t>
  </si>
  <si>
    <t xml:space="preserve">(assumes no OFO's on weekends)</t>
  </si>
  <si>
    <t xml:space="preserve">     Less Pasadena, Can Fibre,Filtrol, Smurfit</t>
  </si>
  <si>
    <t xml:space="preserve">assumes</t>
  </si>
  <si>
    <t xml:space="preserve">to ECT over 06/01 - 06/30</t>
  </si>
  <si>
    <t xml:space="preserve">     Less EES</t>
  </si>
  <si>
    <t xml:space="preserve">to EES over 06/01 - 06/30</t>
  </si>
  <si>
    <t xml:space="preserve">     less  mid month basloads</t>
  </si>
  <si>
    <t xml:space="preserve">accounts for the Oxy Plan to fulfill the 600000 total obligation</t>
  </si>
  <si>
    <t xml:space="preserve">5 Day Balancing</t>
  </si>
  <si>
    <t xml:space="preserve">Non-Core</t>
  </si>
  <si>
    <t xml:space="preserve">Total </t>
  </si>
  <si>
    <t xml:space="preserve">5 Day</t>
  </si>
  <si>
    <t xml:space="preserve">Access</t>
  </si>
  <si>
    <t xml:space="preserve">Total 5</t>
  </si>
  <si>
    <t xml:space="preserve">Usage</t>
  </si>
  <si>
    <t xml:space="preserve">Balance</t>
  </si>
  <si>
    <t xml:space="preserve">50% Demand</t>
  </si>
  <si>
    <t xml:space="preserve">Day Balance</t>
  </si>
  <si>
    <t xml:space="preserve">Hub Deals</t>
  </si>
  <si>
    <t xml:space="preserve">Deal No.:</t>
  </si>
  <si>
    <t xml:space="preserve">Daily Receipt Nom</t>
  </si>
  <si>
    <t xml:space="preserve">Daily Sched</t>
  </si>
  <si>
    <t xml:space="preserve">Obligation</t>
  </si>
  <si>
    <t xml:space="preserve">Daily Delivery Nom</t>
  </si>
  <si>
    <t xml:space="preserve">Daily Recpt Nom</t>
  </si>
  <si>
    <t xml:space="preserve">Occidental</t>
  </si>
  <si>
    <t xml:space="preserve">Deal No.</t>
  </si>
  <si>
    <t xml:space="preserve">Obligated Take</t>
  </si>
  <si>
    <t xml:space="preserve">Per Day</t>
  </si>
  <si>
    <t xml:space="preserve">Smurfit Accounts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</si>
</sst>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0"/>
    <numFmt numFmtId="167" formatCode="\$#,##0.000000"/>
    <numFmt numFmtId="168" formatCode="mmmm\-yy"/>
    <numFmt numFmtId="169" formatCode="#,##0"/>
    <numFmt numFmtId="170" formatCode="_(* #,##0_);_(* \(#,##0\);_(* \-??_);_(@_)"/>
    <numFmt numFmtId="171" formatCode="[$-409]d\-mmm"/>
    <numFmt numFmtId="172" formatCode="[$-409]#,##0_);[RED]\(#,##0\)"/>
    <numFmt numFmtId="173" formatCode="[$-409]m/d/yyyy"/>
    <numFmt numFmtId="174" formatCode="@"/>
    <numFmt numFmtId="175" formatCode="mmmm\-yyyy"/>
    <numFmt numFmtId="176" formatCode="0.0000"/>
    <numFmt numFmtId="177" formatCode="[$-409]#,##0_);\(#,##0\)"/>
    <numFmt numFmtId="178" formatCode="[$-409]m/d/yyyy\ h:mm"/>
    <numFmt numFmtId="179" formatCode="dd\-mmm\-yy"/>
    <numFmt numFmtId="180" formatCode="[$-409]d\-mmm\-yy"/>
    <numFmt numFmtId="181" formatCode="0%"/>
  </numFmts>
  <fonts count="4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3366"/>
      <name val="Arial"/>
      <family val="2"/>
    </font>
    <font>
      <b val="true"/>
      <sz val="10"/>
      <color rgb="FF800000"/>
      <name val="Arial"/>
      <family val="2"/>
    </font>
    <font>
      <sz val="10"/>
      <color rgb="FF000080"/>
      <name val="Arial"/>
      <family val="2"/>
    </font>
    <font>
      <b val="true"/>
      <u val="single"/>
      <sz val="14"/>
      <color rgb="FF000000"/>
      <name val="Arial"/>
      <family val="2"/>
    </font>
    <font>
      <b val="true"/>
      <u val="single"/>
      <sz val="24"/>
      <color rgb="FF000000"/>
      <name val="Arial"/>
      <family val="2"/>
    </font>
    <font>
      <sz val="24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u val="single"/>
      <sz val="9"/>
      <color rgb="FF000000"/>
      <name val="Arial"/>
      <family val="2"/>
    </font>
    <font>
      <b val="true"/>
      <sz val="7.5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4"/>
      <name val="Arial"/>
      <family val="2"/>
    </font>
    <font>
      <b val="true"/>
      <sz val="11"/>
      <color rgb="FF000080"/>
      <name val="Arial"/>
      <family val="2"/>
    </font>
    <font>
      <i val="true"/>
      <sz val="11"/>
      <name val="Arial"/>
      <family val="2"/>
    </font>
    <font>
      <b val="true"/>
      <sz val="10"/>
      <name val="Arial"/>
      <family val="2"/>
    </font>
    <font>
      <b val="true"/>
      <sz val="11"/>
      <color rgb="FF80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FF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2"/>
    </font>
    <font>
      <b val="true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>
        <color rgb="FF008080"/>
      </left>
      <right/>
      <top style="thick">
        <color rgb="FF008080"/>
      </top>
      <bottom style="thick">
        <color rgb="FF008080"/>
      </bottom>
      <diagonal/>
    </border>
    <border diagonalUp="false" diagonalDown="false">
      <left/>
      <right/>
      <top style="thick">
        <color rgb="FF008080"/>
      </top>
      <bottom style="thick">
        <color rgb="FF008080"/>
      </bottom>
      <diagonal/>
    </border>
    <border diagonalUp="false" diagonalDown="false">
      <left/>
      <right style="thick">
        <color rgb="FF008080"/>
      </right>
      <top style="thick">
        <color rgb="FF008080"/>
      </top>
      <bottom style="thick">
        <color rgb="FF008080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5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5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4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3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5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8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2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4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2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4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9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1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9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570960</xdr:colOff>
      <xdr:row>35</xdr:row>
      <xdr:rowOff>37800</xdr:rowOff>
    </xdr:from>
    <xdr:to>
      <xdr:col>17</xdr:col>
      <xdr:colOff>572040</xdr:colOff>
      <xdr:row>36</xdr:row>
      <xdr:rowOff>95040</xdr:rowOff>
    </xdr:to>
    <xdr:sp>
      <xdr:nvSpPr>
        <xdr:cNvPr id="0" name="Line 1"/>
        <xdr:cNvSpPr/>
      </xdr:nvSpPr>
      <xdr:spPr>
        <a:xfrm flipV="1">
          <a:off x="13639320" y="6777000"/>
          <a:ext cx="1080" cy="219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12.82"/>
    <col collapsed="false" customWidth="true" hidden="false" outlineLevel="0" max="3" min="3" style="2" width="22.15"/>
    <col collapsed="false" customWidth="true" hidden="false" outlineLevel="0" max="5" min="4" style="2" width="16.15"/>
    <col collapsed="false" customWidth="true" hidden="false" outlineLevel="0" max="6" min="6" style="2" width="17.82"/>
    <col collapsed="false" customWidth="true" hidden="false" outlineLevel="0" max="7" min="7" style="2" width="19.49"/>
    <col collapsed="false" customWidth="true" hidden="false" outlineLevel="0" max="10" min="8" style="2" width="16.15"/>
    <col collapsed="false" customWidth="true" hidden="false" outlineLevel="0" max="11" min="11" style="2" width="19.65"/>
    <col collapsed="false" customWidth="true" hidden="false" outlineLevel="0" max="13" min="12" style="2" width="19.15"/>
    <col collapsed="false" customWidth="true" hidden="false" outlineLevel="0" max="15" min="14" style="2" width="20.65"/>
    <col collapsed="false" customWidth="true" hidden="false" outlineLevel="0" max="16" min="16" style="2" width="18.15"/>
    <col collapsed="false" customWidth="true" hidden="false" outlineLevel="0" max="20" min="17" style="2" width="16.15"/>
    <col collapsed="false" customWidth="true" hidden="false" outlineLevel="0" max="22" min="21" style="2" width="17.82"/>
    <col collapsed="false" customWidth="true" hidden="false" outlineLevel="0" max="23" min="23" style="2" width="16.15"/>
    <col collapsed="false" customWidth="true" hidden="false" outlineLevel="0" max="24" min="24" style="2" width="18.82"/>
    <col collapsed="false" customWidth="true" hidden="false" outlineLevel="0" max="42" min="25" style="2" width="16.15"/>
    <col collapsed="false" customWidth="true" hidden="false" outlineLevel="0" max="43" min="43" style="3" width="15.15"/>
    <col collapsed="false" customWidth="true" hidden="false" outlineLevel="0" max="44" min="44" style="1" width="20.99"/>
    <col collapsed="false" customWidth="true" hidden="false" outlineLevel="0" max="55" min="45" style="2" width="16.15"/>
    <col collapsed="false" customWidth="true" hidden="false" outlineLevel="0" max="56" min="56" style="1" width="12.82"/>
    <col collapsed="false" customWidth="true" hidden="false" outlineLevel="0" max="57" min="57" style="4" width="12.82"/>
    <col collapsed="false" customWidth="true" hidden="false" outlineLevel="0" max="61" min="58" style="1" width="12.82"/>
    <col collapsed="false" customWidth="false" hidden="false" outlineLevel="0" max="257" min="62" style="1" width="9.32"/>
  </cols>
  <sheetData>
    <row r="1" customFormat="false" ht="18" hidden="false" customHeight="false" outlineLevel="0" collapsed="false">
      <c r="A1" s="5" t="s">
        <v>0</v>
      </c>
      <c r="B1" s="6"/>
      <c r="C1" s="7" t="n">
        <f aca="false">+BaseloadMarkets!B1</f>
        <v>36678</v>
      </c>
      <c r="D1" s="8"/>
      <c r="E1" s="8"/>
      <c r="F1" s="8" t="n">
        <v>2.77</v>
      </c>
      <c r="G1" s="8" t="s">
        <v>1</v>
      </c>
      <c r="H1" s="8" t="s">
        <v>2</v>
      </c>
      <c r="I1" s="8" t="n">
        <v>0</v>
      </c>
      <c r="J1" s="8" t="n">
        <v>0</v>
      </c>
      <c r="K1" s="8" t="n">
        <v>0</v>
      </c>
      <c r="L1" s="8" t="s">
        <v>3</v>
      </c>
      <c r="M1" s="8" t="s">
        <v>4</v>
      </c>
      <c r="N1" s="8" t="s">
        <v>5</v>
      </c>
      <c r="O1" s="8" t="s">
        <v>6</v>
      </c>
      <c r="P1" s="8" t="n">
        <v>4.22</v>
      </c>
      <c r="Q1" s="8" t="n">
        <v>3.43</v>
      </c>
      <c r="R1" s="8" t="n">
        <v>4.03</v>
      </c>
      <c r="S1" s="8" t="n">
        <v>4.26</v>
      </c>
      <c r="T1" s="8" t="n">
        <v>4.28</v>
      </c>
      <c r="U1" s="8" t="n">
        <v>4.26</v>
      </c>
      <c r="V1" s="8" t="s">
        <v>7</v>
      </c>
      <c r="W1" s="8" t="s">
        <v>8</v>
      </c>
      <c r="X1" s="8" t="s">
        <v>8</v>
      </c>
      <c r="Y1" s="8" t="s">
        <v>6</v>
      </c>
      <c r="Z1" s="8" t="s">
        <v>6</v>
      </c>
      <c r="AA1" s="8" t="n">
        <v>4.17</v>
      </c>
      <c r="AB1" s="8" t="n">
        <v>4.39</v>
      </c>
      <c r="AC1" s="8" t="s">
        <v>9</v>
      </c>
      <c r="AD1" s="8" t="n">
        <v>4.46</v>
      </c>
      <c r="AE1" s="8" t="n">
        <v>4.43</v>
      </c>
      <c r="AF1" s="8" t="n">
        <v>4.4</v>
      </c>
      <c r="AG1" s="8" t="s">
        <v>10</v>
      </c>
      <c r="AH1" s="8" t="n">
        <v>4.56</v>
      </c>
      <c r="AI1" s="8" t="n">
        <v>4.44</v>
      </c>
      <c r="AJ1" s="8" t="s">
        <v>11</v>
      </c>
      <c r="AK1" s="8" t="n">
        <v>4.455</v>
      </c>
      <c r="AL1" s="8" t="s">
        <v>10</v>
      </c>
      <c r="AM1" s="8" t="n">
        <v>4.44</v>
      </c>
      <c r="AN1" s="8" t="s">
        <v>12</v>
      </c>
      <c r="AO1" s="8"/>
      <c r="AP1" s="8" t="s">
        <v>9</v>
      </c>
      <c r="AQ1" s="8" t="n">
        <v>4.815</v>
      </c>
      <c r="AR1" s="8" t="n">
        <v>4.895</v>
      </c>
      <c r="AS1" s="8" t="n">
        <v>4.73</v>
      </c>
      <c r="AT1" s="8" t="s">
        <v>10</v>
      </c>
      <c r="AU1" s="8" t="n">
        <v>4.8</v>
      </c>
      <c r="AV1" s="8" t="n">
        <v>4.8</v>
      </c>
      <c r="AW1" s="8"/>
      <c r="AX1" s="8"/>
      <c r="AY1" s="8"/>
      <c r="AZ1" s="8" t="s">
        <v>13</v>
      </c>
      <c r="BA1" s="8" t="s">
        <v>13</v>
      </c>
      <c r="BB1" s="8"/>
      <c r="BC1" s="8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9" t="s">
        <v>14</v>
      </c>
      <c r="B2" s="10"/>
      <c r="C2" s="11"/>
      <c r="D2" s="11" t="s">
        <v>15</v>
      </c>
      <c r="E2" s="11" t="s">
        <v>16</v>
      </c>
      <c r="F2" s="11" t="s">
        <v>17</v>
      </c>
      <c r="G2" s="11" t="s">
        <v>18</v>
      </c>
      <c r="H2" s="11" t="s">
        <v>19</v>
      </c>
      <c r="I2" s="11" t="s">
        <v>20</v>
      </c>
      <c r="J2" s="11" t="s">
        <v>20</v>
      </c>
      <c r="K2" s="11" t="s">
        <v>20</v>
      </c>
      <c r="L2" s="11" t="s">
        <v>21</v>
      </c>
      <c r="M2" s="11" t="s">
        <v>22</v>
      </c>
      <c r="N2" s="11" t="s">
        <v>22</v>
      </c>
      <c r="O2" s="11" t="s">
        <v>23</v>
      </c>
      <c r="P2" s="11" t="s">
        <v>24</v>
      </c>
      <c r="Q2" s="11" t="s">
        <v>25</v>
      </c>
      <c r="R2" s="11" t="s">
        <v>25</v>
      </c>
      <c r="S2" s="11" t="s">
        <v>25</v>
      </c>
      <c r="T2" s="11" t="s">
        <v>25</v>
      </c>
      <c r="U2" s="11" t="s">
        <v>25</v>
      </c>
      <c r="V2" s="11" t="s">
        <v>26</v>
      </c>
      <c r="W2" s="11" t="s">
        <v>26</v>
      </c>
      <c r="X2" s="11" t="s">
        <v>27</v>
      </c>
      <c r="Y2" s="11" t="s">
        <v>28</v>
      </c>
      <c r="Z2" s="11" t="s">
        <v>29</v>
      </c>
      <c r="AA2" s="11" t="s">
        <v>27</v>
      </c>
      <c r="AB2" s="11" t="s">
        <v>15</v>
      </c>
      <c r="AC2" s="11" t="s">
        <v>30</v>
      </c>
      <c r="AD2" s="11" t="s">
        <v>31</v>
      </c>
      <c r="AE2" s="11" t="s">
        <v>32</v>
      </c>
      <c r="AF2" s="11" t="s">
        <v>33</v>
      </c>
      <c r="AG2" s="11" t="s">
        <v>34</v>
      </c>
      <c r="AH2" s="11" t="s">
        <v>33</v>
      </c>
      <c r="AI2" s="11" t="s">
        <v>35</v>
      </c>
      <c r="AJ2" s="11" t="s">
        <v>15</v>
      </c>
      <c r="AK2" s="11" t="s">
        <v>23</v>
      </c>
      <c r="AL2" s="11" t="s">
        <v>34</v>
      </c>
      <c r="AM2" s="11" t="s">
        <v>36</v>
      </c>
      <c r="AN2" s="11" t="s">
        <v>34</v>
      </c>
      <c r="AO2" s="11" t="s">
        <v>37</v>
      </c>
      <c r="AP2" s="11" t="s">
        <v>26</v>
      </c>
      <c r="AQ2" s="12" t="s">
        <v>38</v>
      </c>
      <c r="AR2" s="12" t="s">
        <v>38</v>
      </c>
      <c r="AS2" s="12" t="s">
        <v>38</v>
      </c>
      <c r="AT2" s="11" t="s">
        <v>34</v>
      </c>
      <c r="AU2" s="12" t="s">
        <v>32</v>
      </c>
      <c r="AV2" s="12" t="s">
        <v>39</v>
      </c>
      <c r="AW2" s="12" t="s">
        <v>40</v>
      </c>
      <c r="AX2" s="12" t="s">
        <v>40</v>
      </c>
      <c r="AY2" s="12" t="s">
        <v>28</v>
      </c>
      <c r="AZ2" s="12" t="s">
        <v>19</v>
      </c>
      <c r="BA2" s="12" t="s">
        <v>30</v>
      </c>
      <c r="BB2" s="12" t="s">
        <v>41</v>
      </c>
      <c r="BC2" s="11" t="s">
        <v>26</v>
      </c>
      <c r="BD2" s="13"/>
      <c r="BE2" s="11" t="s">
        <v>42</v>
      </c>
      <c r="BF2" s="11" t="s">
        <v>42</v>
      </c>
      <c r="BG2" s="11" t="s">
        <v>42</v>
      </c>
      <c r="BH2" s="11" t="s">
        <v>42</v>
      </c>
      <c r="BI2" s="11" t="s">
        <v>42</v>
      </c>
      <c r="BJ2" s="11" t="s">
        <v>42</v>
      </c>
      <c r="BK2" s="11" t="s">
        <v>42</v>
      </c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9" t="s">
        <v>43</v>
      </c>
      <c r="B3" s="10" t="s">
        <v>44</v>
      </c>
      <c r="C3" s="14" t="s">
        <v>44</v>
      </c>
      <c r="D3" s="11" t="s">
        <v>45</v>
      </c>
      <c r="E3" s="11" t="s">
        <v>46</v>
      </c>
      <c r="F3" s="11" t="s">
        <v>47</v>
      </c>
      <c r="G3" s="11" t="s">
        <v>42</v>
      </c>
      <c r="H3" s="11" t="s">
        <v>42</v>
      </c>
      <c r="I3" s="11" t="s">
        <v>42</v>
      </c>
      <c r="J3" s="11" t="s">
        <v>42</v>
      </c>
      <c r="K3" s="11" t="s">
        <v>42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5"/>
      <c r="AN3" s="15"/>
      <c r="AO3" s="15"/>
      <c r="AP3" s="11"/>
      <c r="AQ3" s="12"/>
      <c r="AR3" s="12"/>
      <c r="AS3" s="12"/>
      <c r="AT3" s="11"/>
      <c r="AU3" s="12"/>
      <c r="AV3" s="12"/>
      <c r="AW3" s="12"/>
      <c r="AX3" s="12"/>
      <c r="AY3" s="12"/>
      <c r="AZ3" s="12"/>
      <c r="BA3" s="12"/>
      <c r="BB3" s="12" t="n">
        <v>1005</v>
      </c>
      <c r="BC3" s="11" t="s">
        <v>42</v>
      </c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.75" hidden="false" customHeight="false" outlineLevel="0" collapsed="false">
      <c r="A4" s="9" t="s">
        <v>48</v>
      </c>
      <c r="B4" s="10"/>
      <c r="C4" s="14"/>
      <c r="D4" s="11" t="n">
        <v>107872</v>
      </c>
      <c r="E4" s="11" t="n">
        <v>111826</v>
      </c>
      <c r="F4" s="11" t="n">
        <v>215110</v>
      </c>
      <c r="G4" s="11" t="n">
        <v>279684</v>
      </c>
      <c r="H4" s="11" t="n">
        <v>269855</v>
      </c>
      <c r="I4" s="11" t="n">
        <v>170289</v>
      </c>
      <c r="J4" s="11" t="n">
        <v>204411</v>
      </c>
      <c r="K4" s="11" t="n">
        <v>205318</v>
      </c>
      <c r="L4" s="11" t="n">
        <v>268762</v>
      </c>
      <c r="M4" s="11" t="n">
        <v>271060</v>
      </c>
      <c r="N4" s="11" t="n">
        <v>278020</v>
      </c>
      <c r="O4" s="11" t="n">
        <v>272618</v>
      </c>
      <c r="P4" s="11" t="n">
        <v>278361</v>
      </c>
      <c r="Q4" s="11" t="n">
        <v>269889</v>
      </c>
      <c r="R4" s="11" t="n">
        <v>278007</v>
      </c>
      <c r="S4" s="11" t="n">
        <v>279749</v>
      </c>
      <c r="T4" s="11" t="n">
        <v>279761</v>
      </c>
      <c r="U4" s="11" t="n">
        <v>280302</v>
      </c>
      <c r="V4" s="11" t="n">
        <v>271858</v>
      </c>
      <c r="W4" s="11" t="n">
        <v>278132</v>
      </c>
      <c r="X4" s="11" t="n">
        <v>275542</v>
      </c>
      <c r="Y4" s="11" t="n">
        <v>272623</v>
      </c>
      <c r="Z4" s="11" t="n">
        <v>278352</v>
      </c>
      <c r="AA4" s="11" t="s">
        <v>49</v>
      </c>
      <c r="AB4" s="11" t="n">
        <v>288777</v>
      </c>
      <c r="AC4" s="11"/>
      <c r="AD4" s="11" t="n">
        <v>288588</v>
      </c>
      <c r="AE4" s="11" t="n">
        <v>288238</v>
      </c>
      <c r="AF4" s="11" t="n">
        <v>287351</v>
      </c>
      <c r="AG4" s="11" t="n">
        <v>290090</v>
      </c>
      <c r="AH4" s="11" t="n">
        <v>290220</v>
      </c>
      <c r="AI4" s="11" t="n">
        <v>291208</v>
      </c>
      <c r="AJ4" s="11" t="n">
        <v>291710</v>
      </c>
      <c r="AK4" s="11" t="n">
        <v>291633</v>
      </c>
      <c r="AL4" s="11" t="n">
        <v>293480</v>
      </c>
      <c r="AM4" s="11" t="n">
        <v>294469</v>
      </c>
      <c r="AN4" s="11" t="n">
        <v>293824</v>
      </c>
      <c r="AO4" s="11" t="n">
        <v>291671</v>
      </c>
      <c r="AP4" s="11" t="n">
        <v>295837</v>
      </c>
      <c r="AQ4" s="12" t="n">
        <v>295623</v>
      </c>
      <c r="AR4" s="12" t="n">
        <v>295718</v>
      </c>
      <c r="AS4" s="12" t="n">
        <v>295507</v>
      </c>
      <c r="AT4" s="11"/>
      <c r="AU4" s="12"/>
      <c r="AV4" s="12"/>
      <c r="AW4" s="12"/>
      <c r="AX4" s="12"/>
      <c r="AY4" s="12"/>
      <c r="AZ4" s="12"/>
      <c r="BA4" s="12"/>
      <c r="BB4" s="12" t="n">
        <v>294479</v>
      </c>
      <c r="BC4" s="11" t="n">
        <v>293292</v>
      </c>
      <c r="BD4" s="11" t="s">
        <v>50</v>
      </c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false" outlineLevel="0" collapsed="false">
      <c r="A5" s="16" t="s">
        <v>51</v>
      </c>
      <c r="B5" s="17" t="s">
        <v>52</v>
      </c>
      <c r="C5" s="18" t="s">
        <v>53</v>
      </c>
      <c r="D5" s="18" t="s">
        <v>54</v>
      </c>
      <c r="E5" s="18" t="s">
        <v>55</v>
      </c>
      <c r="F5" s="18" t="s">
        <v>53</v>
      </c>
      <c r="G5" s="18" t="s">
        <v>56</v>
      </c>
      <c r="H5" s="18" t="s">
        <v>55</v>
      </c>
      <c r="I5" s="18" t="s">
        <v>57</v>
      </c>
      <c r="J5" s="18" t="s">
        <v>57</v>
      </c>
      <c r="K5" s="18" t="s">
        <v>57</v>
      </c>
      <c r="L5" s="18" t="s">
        <v>58</v>
      </c>
      <c r="M5" s="18" t="s">
        <v>58</v>
      </c>
      <c r="N5" s="18" t="s">
        <v>58</v>
      </c>
      <c r="O5" s="18" t="s">
        <v>55</v>
      </c>
      <c r="P5" s="18" t="s">
        <v>55</v>
      </c>
      <c r="Q5" s="18" t="s">
        <v>59</v>
      </c>
      <c r="R5" s="18" t="s">
        <v>55</v>
      </c>
      <c r="S5" s="18" t="s">
        <v>56</v>
      </c>
      <c r="T5" s="18" t="s">
        <v>55</v>
      </c>
      <c r="U5" s="18" t="s">
        <v>56</v>
      </c>
      <c r="V5" s="18" t="s">
        <v>55</v>
      </c>
      <c r="W5" s="18" t="s">
        <v>56</v>
      </c>
      <c r="X5" s="18" t="s">
        <v>55</v>
      </c>
      <c r="Y5" s="18" t="s">
        <v>59</v>
      </c>
      <c r="Z5" s="18" t="s">
        <v>54</v>
      </c>
      <c r="AA5" s="18" t="s">
        <v>60</v>
      </c>
      <c r="AB5" s="18" t="s">
        <v>57</v>
      </c>
      <c r="AC5" s="18" t="s">
        <v>61</v>
      </c>
      <c r="AD5" s="18" t="s">
        <v>55</v>
      </c>
      <c r="AE5" s="18" t="s">
        <v>62</v>
      </c>
      <c r="AF5" s="18" t="s">
        <v>54</v>
      </c>
      <c r="AG5" s="18" t="s">
        <v>57</v>
      </c>
      <c r="AH5" s="18" t="s">
        <v>57</v>
      </c>
      <c r="AI5" s="18" t="s">
        <v>63</v>
      </c>
      <c r="AJ5" s="18" t="s">
        <v>64</v>
      </c>
      <c r="AK5" s="18" t="s">
        <v>64</v>
      </c>
      <c r="AL5" s="18" t="s">
        <v>57</v>
      </c>
      <c r="AM5" s="18" t="s">
        <v>60</v>
      </c>
      <c r="AN5" s="18" t="s">
        <v>57</v>
      </c>
      <c r="AO5" s="18" t="s">
        <v>65</v>
      </c>
      <c r="AP5" s="18" t="s">
        <v>66</v>
      </c>
      <c r="AQ5" s="19" t="s">
        <v>67</v>
      </c>
      <c r="AR5" s="19" t="s">
        <v>67</v>
      </c>
      <c r="AS5" s="19" t="s">
        <v>67</v>
      </c>
      <c r="AT5" s="18" t="s">
        <v>57</v>
      </c>
      <c r="AU5" s="19" t="s">
        <v>68</v>
      </c>
      <c r="AV5" s="19" t="s">
        <v>54</v>
      </c>
      <c r="AW5" s="19" t="s">
        <v>60</v>
      </c>
      <c r="AX5" s="19" t="s">
        <v>57</v>
      </c>
      <c r="AY5" s="19" t="s">
        <v>63</v>
      </c>
      <c r="AZ5" s="19" t="s">
        <v>69</v>
      </c>
      <c r="BA5" s="19" t="s">
        <v>70</v>
      </c>
      <c r="BB5" s="19" t="s">
        <v>71</v>
      </c>
      <c r="BC5" s="18" t="s">
        <v>57</v>
      </c>
      <c r="BD5" s="17" t="s">
        <v>0</v>
      </c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20" t="n">
        <f aca="false">+BaseloadMarkets!A6</f>
        <v>36678</v>
      </c>
      <c r="B6" s="21" t="n">
        <v>3983</v>
      </c>
      <c r="C6" s="21" t="n">
        <v>22995</v>
      </c>
      <c r="D6" s="21" t="n">
        <f aca="false">27899+2101</f>
        <v>30000</v>
      </c>
      <c r="E6" s="21" t="n">
        <v>4178</v>
      </c>
      <c r="F6" s="21" t="n">
        <v>1000</v>
      </c>
      <c r="G6" s="21" t="n">
        <v>4999</v>
      </c>
      <c r="H6" s="21" t="n">
        <v>10000</v>
      </c>
      <c r="I6" s="21" t="n">
        <v>10000</v>
      </c>
      <c r="J6" s="21" t="n">
        <v>3333</v>
      </c>
      <c r="K6" s="21" t="n">
        <v>1333</v>
      </c>
      <c r="L6" s="21" t="n">
        <v>14999</v>
      </c>
      <c r="M6" s="21" t="n">
        <v>5000</v>
      </c>
      <c r="N6" s="21" t="n">
        <v>5000</v>
      </c>
      <c r="O6" s="21" t="n">
        <v>10000</v>
      </c>
      <c r="P6" s="21" t="n">
        <v>10000</v>
      </c>
      <c r="Q6" s="21" t="n">
        <v>5000</v>
      </c>
      <c r="R6" s="21" t="n">
        <v>10000</v>
      </c>
      <c r="S6" s="21" t="n">
        <v>50000</v>
      </c>
      <c r="T6" s="21" t="n">
        <v>10000</v>
      </c>
      <c r="U6" s="21" t="n">
        <v>36136</v>
      </c>
      <c r="V6" s="21" t="n">
        <v>5000</v>
      </c>
      <c r="W6" s="21" t="n">
        <v>10000</v>
      </c>
      <c r="X6" s="21" t="n">
        <v>10000</v>
      </c>
      <c r="Y6" s="21" t="n">
        <v>10000</v>
      </c>
      <c r="Z6" s="21" t="n">
        <v>3600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2"/>
      <c r="AR6" s="22"/>
      <c r="AS6" s="22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3" t="n">
        <f aca="false">SUM(B6:BC6)</f>
        <v>286556</v>
      </c>
      <c r="BE6" s="24" t="n">
        <f aca="false">A6</f>
        <v>36678</v>
      </c>
      <c r="BF6" s="25"/>
      <c r="BG6" s="25"/>
      <c r="BH6" s="26"/>
      <c r="BI6" s="26"/>
    </row>
    <row r="7" customFormat="false" ht="12.75" hidden="false" customHeight="false" outlineLevel="0" collapsed="false">
      <c r="A7" s="20" t="n">
        <f aca="false">+BaseloadMarkets!A7</f>
        <v>36679</v>
      </c>
      <c r="B7" s="21" t="n">
        <v>3983</v>
      </c>
      <c r="C7" s="21" t="n">
        <f aca="false">5309+10000</f>
        <v>15309</v>
      </c>
      <c r="D7" s="21" t="n">
        <v>30000</v>
      </c>
      <c r="E7" s="21" t="n">
        <v>4178</v>
      </c>
      <c r="F7" s="21" t="n">
        <v>1000</v>
      </c>
      <c r="G7" s="21" t="n">
        <v>4972</v>
      </c>
      <c r="H7" s="21" t="n">
        <v>10000</v>
      </c>
      <c r="I7" s="21" t="n">
        <v>10000</v>
      </c>
      <c r="J7" s="21" t="n">
        <v>3333</v>
      </c>
      <c r="K7" s="21" t="n">
        <v>1333</v>
      </c>
      <c r="L7" s="21" t="n">
        <v>14999</v>
      </c>
      <c r="M7" s="21" t="n">
        <v>5000</v>
      </c>
      <c r="N7" s="21" t="n">
        <v>5000</v>
      </c>
      <c r="O7" s="21" t="n">
        <v>10000</v>
      </c>
      <c r="P7" s="21" t="n">
        <v>10000</v>
      </c>
      <c r="Q7" s="21" t="n">
        <v>5000</v>
      </c>
      <c r="R7" s="21" t="n">
        <v>10000</v>
      </c>
      <c r="S7" s="21" t="n">
        <v>50000</v>
      </c>
      <c r="T7" s="21" t="n">
        <v>10000</v>
      </c>
      <c r="U7" s="21" t="n">
        <v>39175</v>
      </c>
      <c r="V7" s="21" t="n">
        <v>5000</v>
      </c>
      <c r="W7" s="21" t="n">
        <v>10000</v>
      </c>
      <c r="X7" s="21" t="n">
        <v>10000</v>
      </c>
      <c r="Y7" s="21" t="n">
        <v>10000</v>
      </c>
      <c r="Z7" s="21" t="n">
        <v>3600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2"/>
      <c r="AR7" s="22"/>
      <c r="AS7" s="22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3" t="n">
        <f aca="false">SUM(B7:BC7)</f>
        <v>281882</v>
      </c>
      <c r="BE7" s="24" t="n">
        <f aca="false">BE6+1</f>
        <v>36679</v>
      </c>
      <c r="BF7" s="25"/>
      <c r="BG7" s="25"/>
      <c r="BH7" s="26"/>
      <c r="BI7" s="26"/>
    </row>
    <row r="8" customFormat="false" ht="12.75" hidden="false" customHeight="false" outlineLevel="0" collapsed="false">
      <c r="A8" s="20" t="n">
        <f aca="false">+BaseloadMarkets!A8</f>
        <v>36680</v>
      </c>
      <c r="B8" s="21" t="n">
        <v>3983</v>
      </c>
      <c r="C8" s="21" t="n">
        <v>9555</v>
      </c>
      <c r="D8" s="21" t="n">
        <v>0</v>
      </c>
      <c r="E8" s="21" t="n">
        <v>4178</v>
      </c>
      <c r="F8" s="21" t="n">
        <v>1000</v>
      </c>
      <c r="G8" s="21" t="n">
        <v>4233</v>
      </c>
      <c r="H8" s="21" t="n">
        <v>10000</v>
      </c>
      <c r="I8" s="21" t="n">
        <v>10000</v>
      </c>
      <c r="J8" s="21" t="n">
        <v>3333</v>
      </c>
      <c r="K8" s="21" t="n">
        <v>1333</v>
      </c>
      <c r="L8" s="21" t="n">
        <v>14998</v>
      </c>
      <c r="M8" s="21" t="n">
        <v>5000</v>
      </c>
      <c r="N8" s="21" t="n">
        <v>5000</v>
      </c>
      <c r="O8" s="21" t="n">
        <v>10000</v>
      </c>
      <c r="P8" s="21" t="n">
        <v>10000</v>
      </c>
      <c r="Q8" s="21" t="n">
        <v>5000</v>
      </c>
      <c r="R8" s="21" t="n">
        <v>10000</v>
      </c>
      <c r="S8" s="21" t="n">
        <v>50000</v>
      </c>
      <c r="T8" s="21" t="n">
        <v>10000</v>
      </c>
      <c r="U8" s="21" t="n">
        <f aca="false">22000+6000+4000+5000+9490</f>
        <v>46490</v>
      </c>
      <c r="V8" s="21" t="n">
        <v>5000</v>
      </c>
      <c r="W8" s="21" t="n">
        <v>10000</v>
      </c>
      <c r="X8" s="21" t="n">
        <v>10000</v>
      </c>
      <c r="Y8" s="21" t="n">
        <v>10000</v>
      </c>
      <c r="Z8" s="21" t="n">
        <v>3600</v>
      </c>
      <c r="AA8" s="21" t="n">
        <v>1953</v>
      </c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2"/>
      <c r="AR8" s="22"/>
      <c r="AS8" s="22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3" t="n">
        <f aca="false">SUM(B8:BC8)</f>
        <v>254656</v>
      </c>
      <c r="BE8" s="24" t="n">
        <f aca="false">BE7+1</f>
        <v>36680</v>
      </c>
      <c r="BF8" s="25"/>
      <c r="BG8" s="25"/>
      <c r="BH8" s="26"/>
      <c r="BI8" s="26"/>
    </row>
    <row r="9" customFormat="false" ht="12.75" hidden="false" customHeight="false" outlineLevel="0" collapsed="false">
      <c r="A9" s="20" t="n">
        <f aca="false">+BaseloadMarkets!A9</f>
        <v>36681</v>
      </c>
      <c r="B9" s="21" t="n">
        <v>3983</v>
      </c>
      <c r="C9" s="21"/>
      <c r="D9" s="21" t="n">
        <v>0</v>
      </c>
      <c r="E9" s="21" t="n">
        <v>4178</v>
      </c>
      <c r="F9" s="21" t="n">
        <v>1000</v>
      </c>
      <c r="G9" s="21" t="n">
        <v>4135</v>
      </c>
      <c r="H9" s="21" t="n">
        <v>10000</v>
      </c>
      <c r="I9" s="21" t="n">
        <v>10000</v>
      </c>
      <c r="J9" s="21" t="n">
        <v>3333</v>
      </c>
      <c r="K9" s="21" t="n">
        <v>1333</v>
      </c>
      <c r="L9" s="21" t="n">
        <v>14989</v>
      </c>
      <c r="M9" s="21" t="n">
        <v>5000</v>
      </c>
      <c r="N9" s="21" t="n">
        <v>5000</v>
      </c>
      <c r="O9" s="21" t="n">
        <v>10000</v>
      </c>
      <c r="P9" s="21" t="n">
        <v>10000</v>
      </c>
      <c r="Q9" s="21" t="n">
        <v>5000</v>
      </c>
      <c r="R9" s="21" t="n">
        <v>10000</v>
      </c>
      <c r="S9" s="21" t="n">
        <v>50000</v>
      </c>
      <c r="T9" s="21" t="n">
        <v>10000</v>
      </c>
      <c r="U9" s="21" t="n">
        <f aca="false">50000-35000+25398</f>
        <v>40398</v>
      </c>
      <c r="V9" s="21" t="n">
        <v>5000</v>
      </c>
      <c r="W9" s="21" t="n">
        <v>10000</v>
      </c>
      <c r="X9" s="21" t="n">
        <v>10000</v>
      </c>
      <c r="Y9" s="21" t="n">
        <v>10000</v>
      </c>
      <c r="Z9" s="21" t="n">
        <v>3600</v>
      </c>
      <c r="AA9" s="21" t="n">
        <v>1709</v>
      </c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2"/>
      <c r="AR9" s="22"/>
      <c r="AS9" s="22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3" t="n">
        <f aca="false">SUM(B9:BC9)</f>
        <v>238658</v>
      </c>
      <c r="BE9" s="24" t="n">
        <f aca="false">BE8+1</f>
        <v>36681</v>
      </c>
      <c r="BF9" s="25"/>
      <c r="BG9" s="25"/>
      <c r="BH9" s="26"/>
      <c r="BI9" s="26"/>
    </row>
    <row r="10" customFormat="false" ht="12.75" hidden="false" customHeight="false" outlineLevel="0" collapsed="false">
      <c r="A10" s="20" t="n">
        <f aca="false">+BaseloadMarkets!A10</f>
        <v>36682</v>
      </c>
      <c r="B10" s="21" t="n">
        <v>3983</v>
      </c>
      <c r="C10" s="21"/>
      <c r="D10" s="21" t="n">
        <v>30000</v>
      </c>
      <c r="E10" s="21" t="n">
        <v>4178</v>
      </c>
      <c r="F10" s="21" t="n">
        <v>1000</v>
      </c>
      <c r="G10" s="21" t="n">
        <f aca="false">554+4278</f>
        <v>4832</v>
      </c>
      <c r="H10" s="21" t="n">
        <v>10000</v>
      </c>
      <c r="I10" s="21" t="n">
        <v>10000</v>
      </c>
      <c r="J10" s="21" t="n">
        <v>3333</v>
      </c>
      <c r="K10" s="21" t="n">
        <v>1333</v>
      </c>
      <c r="L10" s="21" t="n">
        <v>15000</v>
      </c>
      <c r="M10" s="21" t="n">
        <v>5000</v>
      </c>
      <c r="N10" s="21" t="n">
        <v>5000</v>
      </c>
      <c r="O10" s="21" t="n">
        <v>10000</v>
      </c>
      <c r="P10" s="21" t="n">
        <v>10000</v>
      </c>
      <c r="Q10" s="21" t="n">
        <v>5000</v>
      </c>
      <c r="R10" s="21" t="n">
        <v>10000</v>
      </c>
      <c r="S10" s="21" t="n">
        <v>50000</v>
      </c>
      <c r="T10" s="21" t="n">
        <v>10000</v>
      </c>
      <c r="U10" s="21" t="n">
        <f aca="false">50000-35000+30997</f>
        <v>45997</v>
      </c>
      <c r="V10" s="21" t="n">
        <v>5000</v>
      </c>
      <c r="W10" s="21" t="n">
        <v>10000</v>
      </c>
      <c r="X10" s="21" t="n">
        <v>10000</v>
      </c>
      <c r="Y10" s="21" t="n">
        <v>10000</v>
      </c>
      <c r="Z10" s="21" t="n">
        <v>3600</v>
      </c>
      <c r="AA10" s="21" t="n">
        <v>1974</v>
      </c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  <c r="AR10" s="22"/>
      <c r="AS10" s="22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3" t="n">
        <f aca="false">SUM(B10:BC10)</f>
        <v>275230</v>
      </c>
      <c r="BE10" s="24" t="n">
        <f aca="false">BE9+1</f>
        <v>36682</v>
      </c>
      <c r="BF10" s="25"/>
      <c r="BG10" s="25"/>
      <c r="BH10" s="26"/>
      <c r="BI10" s="26"/>
    </row>
    <row r="11" customFormat="false" ht="12.75" hidden="false" customHeight="false" outlineLevel="0" collapsed="false">
      <c r="A11" s="20" t="n">
        <f aca="false">+BaseloadMarkets!A11</f>
        <v>36683</v>
      </c>
      <c r="B11" s="21" t="n">
        <v>3983</v>
      </c>
      <c r="C11" s="21"/>
      <c r="D11" s="21" t="n">
        <v>30000</v>
      </c>
      <c r="E11" s="21" t="n">
        <v>4178</v>
      </c>
      <c r="F11" s="21" t="n">
        <v>1000</v>
      </c>
      <c r="G11" s="21" t="n">
        <v>4174</v>
      </c>
      <c r="H11" s="21" t="n">
        <v>10000</v>
      </c>
      <c r="I11" s="21" t="n">
        <v>10000</v>
      </c>
      <c r="J11" s="21" t="n">
        <v>3333</v>
      </c>
      <c r="K11" s="21" t="n">
        <v>1333</v>
      </c>
      <c r="L11" s="21" t="n">
        <v>14752</v>
      </c>
      <c r="M11" s="21" t="n">
        <v>5000</v>
      </c>
      <c r="N11" s="21" t="n">
        <v>5000</v>
      </c>
      <c r="O11" s="21" t="n">
        <v>10000</v>
      </c>
      <c r="P11" s="21" t="n">
        <v>10000</v>
      </c>
      <c r="Q11" s="21" t="n">
        <v>4143</v>
      </c>
      <c r="R11" s="21" t="n">
        <v>10000</v>
      </c>
      <c r="S11" s="21" t="n">
        <v>50000</v>
      </c>
      <c r="T11" s="21" t="n">
        <v>10000</v>
      </c>
      <c r="U11" s="21" t="n">
        <f aca="false">50000-35000+31049</f>
        <v>46049</v>
      </c>
      <c r="V11" s="21" t="n">
        <v>5000</v>
      </c>
      <c r="W11" s="21" t="n">
        <v>10000</v>
      </c>
      <c r="X11" s="21" t="n">
        <v>10000</v>
      </c>
      <c r="Y11" s="21" t="n">
        <v>10000</v>
      </c>
      <c r="Z11" s="21" t="n">
        <v>3600</v>
      </c>
      <c r="AA11" s="21" t="n">
        <v>5065</v>
      </c>
      <c r="AB11" s="21" t="n">
        <v>5000</v>
      </c>
      <c r="AC11" s="21" t="n">
        <f aca="false">10000+23413</f>
        <v>33413</v>
      </c>
      <c r="AD11" s="21" t="n">
        <v>10000</v>
      </c>
      <c r="AE11" s="21" t="n">
        <v>232</v>
      </c>
      <c r="AF11" s="21" t="n">
        <v>1400</v>
      </c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  <c r="AR11" s="22"/>
      <c r="AS11" s="22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3" t="n">
        <f aca="false">SUM(B11:BC11)</f>
        <v>326655</v>
      </c>
      <c r="BE11" s="24" t="n">
        <f aca="false">BE10+1</f>
        <v>36683</v>
      </c>
      <c r="BF11" s="25"/>
      <c r="BG11" s="25"/>
      <c r="BH11" s="26"/>
      <c r="BI11" s="26"/>
    </row>
    <row r="12" customFormat="false" ht="12.75" hidden="false" customHeight="false" outlineLevel="0" collapsed="false">
      <c r="A12" s="20" t="n">
        <f aca="false">+BaseloadMarkets!A12</f>
        <v>36684</v>
      </c>
      <c r="B12" s="21" t="n">
        <v>3984</v>
      </c>
      <c r="C12" s="21"/>
      <c r="D12" s="21" t="n">
        <v>10000</v>
      </c>
      <c r="E12" s="21" t="n">
        <v>4178</v>
      </c>
      <c r="F12" s="21" t="n">
        <v>1000</v>
      </c>
      <c r="G12" s="21" t="n">
        <v>4248</v>
      </c>
      <c r="H12" s="21" t="n">
        <v>5400</v>
      </c>
      <c r="I12" s="21" t="n">
        <v>10000</v>
      </c>
      <c r="J12" s="21" t="n">
        <v>3333</v>
      </c>
      <c r="K12" s="21" t="n">
        <v>1333</v>
      </c>
      <c r="L12" s="21" t="n">
        <v>11213</v>
      </c>
      <c r="M12" s="21" t="n">
        <v>5000</v>
      </c>
      <c r="N12" s="21" t="n">
        <v>5000</v>
      </c>
      <c r="O12" s="21" t="n">
        <v>10000</v>
      </c>
      <c r="P12" s="21" t="n">
        <v>10000</v>
      </c>
      <c r="Q12" s="21" t="n">
        <v>5000</v>
      </c>
      <c r="R12" s="21" t="n">
        <v>10000</v>
      </c>
      <c r="S12" s="21" t="n">
        <v>50000</v>
      </c>
      <c r="T12" s="21" t="n">
        <v>10000</v>
      </c>
      <c r="U12" s="21" t="n">
        <f aca="false">50000-35000+8998</f>
        <v>23998</v>
      </c>
      <c r="V12" s="21" t="n">
        <v>5000</v>
      </c>
      <c r="W12" s="21" t="n">
        <v>10000</v>
      </c>
      <c r="X12" s="21" t="n">
        <v>5926</v>
      </c>
      <c r="Y12" s="21" t="n">
        <v>10000</v>
      </c>
      <c r="Z12" s="21" t="n">
        <v>3600</v>
      </c>
      <c r="AA12" s="21" t="n">
        <v>6778</v>
      </c>
      <c r="AB12" s="21" t="n">
        <v>5000</v>
      </c>
      <c r="AC12" s="21"/>
      <c r="AD12" s="21" t="n">
        <f aca="false">939+1730</f>
        <v>2669</v>
      </c>
      <c r="AE12" s="21"/>
      <c r="AF12" s="21" t="n">
        <v>1400</v>
      </c>
      <c r="AG12" s="21" t="n">
        <v>12917</v>
      </c>
      <c r="AH12" s="21" t="n">
        <v>10000</v>
      </c>
      <c r="AI12" s="21"/>
      <c r="AJ12" s="21"/>
      <c r="AK12" s="21"/>
      <c r="AL12" s="21"/>
      <c r="AM12" s="21"/>
      <c r="AN12" s="21"/>
      <c r="AO12" s="21"/>
      <c r="AP12" s="21"/>
      <c r="AQ12" s="22"/>
      <c r="AR12" s="22"/>
      <c r="AS12" s="22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3" t="n">
        <f aca="false">SUM(B12:BC12)</f>
        <v>256977</v>
      </c>
      <c r="BE12" s="24" t="n">
        <f aca="false">BE11+1</f>
        <v>36684</v>
      </c>
      <c r="BF12" s="25"/>
      <c r="BG12" s="25"/>
      <c r="BH12" s="26"/>
      <c r="BI12" s="26"/>
    </row>
    <row r="13" customFormat="false" ht="12.75" hidden="false" customHeight="false" outlineLevel="0" collapsed="false">
      <c r="A13" s="20" t="n">
        <f aca="false">+BaseloadMarkets!A13</f>
        <v>36685</v>
      </c>
      <c r="B13" s="21" t="n">
        <v>3984</v>
      </c>
      <c r="C13" s="21" t="n">
        <v>8484</v>
      </c>
      <c r="D13" s="21" t="n">
        <v>30000</v>
      </c>
      <c r="E13" s="21" t="n">
        <v>4178</v>
      </c>
      <c r="F13" s="21" t="n">
        <v>1000</v>
      </c>
      <c r="G13" s="21" t="n">
        <v>4319</v>
      </c>
      <c r="H13" s="21" t="n">
        <v>10000</v>
      </c>
      <c r="I13" s="21" t="n">
        <v>10000</v>
      </c>
      <c r="J13" s="21" t="n">
        <v>3333</v>
      </c>
      <c r="K13" s="21" t="n">
        <v>1333</v>
      </c>
      <c r="L13" s="21" t="n">
        <v>14639</v>
      </c>
      <c r="M13" s="21" t="n">
        <v>5000</v>
      </c>
      <c r="N13" s="21" t="n">
        <v>5000</v>
      </c>
      <c r="O13" s="21" t="n">
        <v>10000</v>
      </c>
      <c r="P13" s="21" t="n">
        <v>10000</v>
      </c>
      <c r="Q13" s="21" t="n">
        <v>5000</v>
      </c>
      <c r="R13" s="21" t="n">
        <v>10000</v>
      </c>
      <c r="S13" s="21" t="n">
        <v>50000</v>
      </c>
      <c r="T13" s="21" t="n">
        <v>10000</v>
      </c>
      <c r="U13" s="21" t="n">
        <f aca="false">50000-35000+25605</f>
        <v>40605</v>
      </c>
      <c r="V13" s="21" t="n">
        <v>3202</v>
      </c>
      <c r="W13" s="21" t="n">
        <v>10000</v>
      </c>
      <c r="X13" s="21" t="n">
        <v>5689</v>
      </c>
      <c r="Y13" s="21" t="n">
        <v>10000</v>
      </c>
      <c r="Z13" s="21" t="n">
        <v>3600</v>
      </c>
      <c r="AA13" s="21"/>
      <c r="AB13" s="21" t="n">
        <v>5000</v>
      </c>
      <c r="AC13" s="21" t="n">
        <v>10000</v>
      </c>
      <c r="AD13" s="21" t="n">
        <v>5974</v>
      </c>
      <c r="AE13" s="21"/>
      <c r="AF13" s="21" t="n">
        <v>1400</v>
      </c>
      <c r="AG13" s="21" t="n">
        <v>12917</v>
      </c>
      <c r="AH13" s="21"/>
      <c r="AI13" s="21" t="n">
        <v>5000</v>
      </c>
      <c r="AJ13" s="21" t="n">
        <v>9100</v>
      </c>
      <c r="AK13" s="21" t="n">
        <v>20000</v>
      </c>
      <c r="AL13" s="21"/>
      <c r="AM13" s="21"/>
      <c r="AN13" s="21"/>
      <c r="AO13" s="21" t="n">
        <v>4712</v>
      </c>
      <c r="AP13" s="21"/>
      <c r="AQ13" s="22"/>
      <c r="AR13" s="22"/>
      <c r="AS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3" t="n">
        <f aca="false">SUM(B13:BC13)</f>
        <v>343469</v>
      </c>
      <c r="BE13" s="24" t="n">
        <f aca="false">BE12+1</f>
        <v>36685</v>
      </c>
      <c r="BF13" s="25"/>
      <c r="BG13" s="25"/>
      <c r="BH13" s="26"/>
      <c r="BI13" s="26"/>
    </row>
    <row r="14" customFormat="false" ht="12.75" hidden="false" customHeight="false" outlineLevel="0" collapsed="false">
      <c r="A14" s="20" t="n">
        <f aca="false">+BaseloadMarkets!A14</f>
        <v>36686</v>
      </c>
      <c r="B14" s="21" t="n">
        <v>3984</v>
      </c>
      <c r="C14" s="21"/>
      <c r="D14" s="21" t="n">
        <v>30000</v>
      </c>
      <c r="E14" s="21" t="n">
        <v>4178</v>
      </c>
      <c r="F14" s="21" t="n">
        <v>1000</v>
      </c>
      <c r="G14" s="21" t="n">
        <v>4333</v>
      </c>
      <c r="H14" s="21" t="n">
        <v>10000</v>
      </c>
      <c r="I14" s="21" t="n">
        <v>10000</v>
      </c>
      <c r="J14" s="21" t="n">
        <v>3333</v>
      </c>
      <c r="K14" s="21" t="n">
        <v>1333</v>
      </c>
      <c r="L14" s="21" t="n">
        <v>14995</v>
      </c>
      <c r="M14" s="21" t="n">
        <v>5000</v>
      </c>
      <c r="N14" s="21" t="n">
        <v>5000</v>
      </c>
      <c r="O14" s="21" t="n">
        <v>10000</v>
      </c>
      <c r="P14" s="21" t="n">
        <v>10000</v>
      </c>
      <c r="Q14" s="21" t="n">
        <v>5000</v>
      </c>
      <c r="R14" s="21" t="n">
        <v>10000</v>
      </c>
      <c r="S14" s="21" t="n">
        <v>50000</v>
      </c>
      <c r="T14" s="21" t="n">
        <v>10000</v>
      </c>
      <c r="U14" s="21" t="n">
        <f aca="false">50000-35000+26414</f>
        <v>41414</v>
      </c>
      <c r="V14" s="21" t="n">
        <v>5000</v>
      </c>
      <c r="W14" s="21" t="n">
        <v>10000</v>
      </c>
      <c r="X14" s="21" t="n">
        <v>10000</v>
      </c>
      <c r="Y14" s="21" t="n">
        <v>10000</v>
      </c>
      <c r="Z14" s="21" t="n">
        <v>3600</v>
      </c>
      <c r="AA14" s="21"/>
      <c r="AB14" s="21" t="n">
        <v>5000</v>
      </c>
      <c r="AC14" s="21"/>
      <c r="AD14" s="21" t="n">
        <f aca="false">5383+1909</f>
        <v>7292</v>
      </c>
      <c r="AE14" s="21"/>
      <c r="AF14" s="21" t="n">
        <v>1400</v>
      </c>
      <c r="AG14" s="21" t="n">
        <v>12917</v>
      </c>
      <c r="AH14" s="21"/>
      <c r="AI14" s="21"/>
      <c r="AJ14" s="21"/>
      <c r="AK14" s="21"/>
      <c r="AL14" s="21" t="n">
        <v>14091</v>
      </c>
      <c r="AM14" s="21"/>
      <c r="AN14" s="21"/>
      <c r="AO14" s="21"/>
      <c r="AP14" s="21"/>
      <c r="AQ14" s="22"/>
      <c r="AR14" s="22"/>
      <c r="AS14" s="22"/>
      <c r="AT14" s="21"/>
      <c r="AU14" s="21"/>
      <c r="AV14" s="21"/>
      <c r="AW14" s="21"/>
      <c r="AX14" s="21"/>
      <c r="AY14" s="21"/>
      <c r="AZ14" s="21"/>
      <c r="BA14" s="21"/>
      <c r="BB14" s="21" t="n">
        <v>10000</v>
      </c>
      <c r="BC14" s="21" t="n">
        <v>10000</v>
      </c>
      <c r="BD14" s="23" t="n">
        <f aca="false">SUM(B14:BC14)</f>
        <v>328870</v>
      </c>
      <c r="BE14" s="24" t="n">
        <f aca="false">BE13+1</f>
        <v>36686</v>
      </c>
      <c r="BF14" s="25"/>
      <c r="BG14" s="25"/>
      <c r="BH14" s="26"/>
      <c r="BI14" s="26"/>
    </row>
    <row r="15" customFormat="false" ht="12.75" hidden="false" customHeight="false" outlineLevel="0" collapsed="false">
      <c r="A15" s="20" t="n">
        <f aca="false">+BaseloadMarkets!A15</f>
        <v>36687</v>
      </c>
      <c r="B15" s="21" t="n">
        <v>3984</v>
      </c>
      <c r="C15" s="21"/>
      <c r="D15" s="21" t="n">
        <v>0</v>
      </c>
      <c r="E15" s="21" t="n">
        <v>4178</v>
      </c>
      <c r="F15" s="21" t="n">
        <v>1000</v>
      </c>
      <c r="G15" s="21" t="n">
        <v>4087</v>
      </c>
      <c r="H15" s="21" t="n">
        <v>10000</v>
      </c>
      <c r="I15" s="21" t="n">
        <v>10000</v>
      </c>
      <c r="J15" s="21" t="n">
        <v>3333</v>
      </c>
      <c r="K15" s="21" t="n">
        <v>1333</v>
      </c>
      <c r="L15" s="21" t="n">
        <v>14999</v>
      </c>
      <c r="M15" s="21" t="n">
        <v>5000</v>
      </c>
      <c r="N15" s="21" t="n">
        <v>5000</v>
      </c>
      <c r="O15" s="21" t="n">
        <v>10000</v>
      </c>
      <c r="P15" s="21" t="n">
        <v>10000</v>
      </c>
      <c r="Q15" s="21" t="n">
        <v>5000</v>
      </c>
      <c r="R15" s="21" t="n">
        <v>10000</v>
      </c>
      <c r="S15" s="21" t="n">
        <v>50000</v>
      </c>
      <c r="T15" s="21" t="n">
        <v>10000</v>
      </c>
      <c r="U15" s="21" t="n">
        <f aca="false">50000-35000+27930</f>
        <v>42930</v>
      </c>
      <c r="V15" s="21" t="n">
        <v>5000</v>
      </c>
      <c r="W15" s="21" t="n">
        <v>10000</v>
      </c>
      <c r="X15" s="21" t="n">
        <v>5847</v>
      </c>
      <c r="Y15" s="21" t="n">
        <v>10000</v>
      </c>
      <c r="Z15" s="21" t="n">
        <v>3600</v>
      </c>
      <c r="AA15" s="21"/>
      <c r="AB15" s="21" t="n">
        <v>5000</v>
      </c>
      <c r="AC15" s="21" t="n">
        <v>20000</v>
      </c>
      <c r="AD15" s="21"/>
      <c r="AE15" s="21"/>
      <c r="AF15" s="21" t="n">
        <v>1400</v>
      </c>
      <c r="AG15" s="21" t="n">
        <v>12917</v>
      </c>
      <c r="AH15" s="21"/>
      <c r="AI15" s="21"/>
      <c r="AJ15" s="21"/>
      <c r="AK15" s="21"/>
      <c r="AL15" s="21" t="n">
        <v>14091</v>
      </c>
      <c r="AM15" s="21" t="n">
        <v>10000</v>
      </c>
      <c r="AN15" s="21"/>
      <c r="AO15" s="21"/>
      <c r="AP15" s="21"/>
      <c r="AQ15" s="22"/>
      <c r="AR15" s="22"/>
      <c r="AS15" s="22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3" t="n">
        <f aca="false">SUM(B15:BC15)</f>
        <v>298699</v>
      </c>
      <c r="BE15" s="24" t="n">
        <f aca="false">BE14+1</f>
        <v>36687</v>
      </c>
      <c r="BF15" s="25"/>
      <c r="BG15" s="25"/>
      <c r="BH15" s="26"/>
      <c r="BI15" s="26"/>
    </row>
    <row r="16" customFormat="false" ht="12.75" hidden="false" customHeight="false" outlineLevel="0" collapsed="false">
      <c r="A16" s="20" t="n">
        <f aca="false">+BaseloadMarkets!A16</f>
        <v>36688</v>
      </c>
      <c r="B16" s="21" t="n">
        <v>3984</v>
      </c>
      <c r="C16" s="21"/>
      <c r="D16" s="21" t="n">
        <v>0</v>
      </c>
      <c r="E16" s="21" t="n">
        <v>4178</v>
      </c>
      <c r="F16" s="21" t="n">
        <v>1000</v>
      </c>
      <c r="G16" s="21" t="n">
        <v>4334</v>
      </c>
      <c r="H16" s="21" t="n">
        <v>10000</v>
      </c>
      <c r="I16" s="21" t="n">
        <v>10000</v>
      </c>
      <c r="J16" s="21" t="n">
        <v>3333</v>
      </c>
      <c r="K16" s="21" t="n">
        <v>1333</v>
      </c>
      <c r="L16" s="21" t="n">
        <v>14578</v>
      </c>
      <c r="M16" s="21" t="n">
        <v>5000</v>
      </c>
      <c r="N16" s="21" t="n">
        <v>5000</v>
      </c>
      <c r="O16" s="21" t="n">
        <v>10000</v>
      </c>
      <c r="P16" s="21" t="n">
        <v>10000</v>
      </c>
      <c r="Q16" s="21" t="n">
        <v>4859</v>
      </c>
      <c r="R16" s="21" t="n">
        <v>10000</v>
      </c>
      <c r="S16" s="21" t="n">
        <v>50000</v>
      </c>
      <c r="T16" s="21" t="n">
        <v>10000</v>
      </c>
      <c r="U16" s="21" t="n">
        <f aca="false">50000-35000+29106</f>
        <v>44106</v>
      </c>
      <c r="V16" s="21" t="n">
        <v>5000</v>
      </c>
      <c r="W16" s="21" t="n">
        <v>10000</v>
      </c>
      <c r="X16" s="21" t="n">
        <v>4997</v>
      </c>
      <c r="Y16" s="21" t="n">
        <v>9613</v>
      </c>
      <c r="Z16" s="21" t="n">
        <v>3600</v>
      </c>
      <c r="AA16" s="21"/>
      <c r="AB16" s="21" t="n">
        <v>5000</v>
      </c>
      <c r="AC16" s="21" t="n">
        <v>20000</v>
      </c>
      <c r="AD16" s="21"/>
      <c r="AE16" s="21"/>
      <c r="AF16" s="21" t="n">
        <v>1400</v>
      </c>
      <c r="AG16" s="21" t="n">
        <v>12917</v>
      </c>
      <c r="AH16" s="21"/>
      <c r="AI16" s="21"/>
      <c r="AJ16" s="21"/>
      <c r="AK16" s="21"/>
      <c r="AL16" s="21" t="n">
        <v>14091</v>
      </c>
      <c r="AM16" s="21" t="n">
        <v>10000</v>
      </c>
      <c r="AN16" s="21"/>
      <c r="AO16" s="21"/>
      <c r="AP16" s="21"/>
      <c r="AQ16" s="22"/>
      <c r="AR16" s="22"/>
      <c r="AS16" s="22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3" t="n">
        <f aca="false">SUM(B16:BC16)</f>
        <v>298323</v>
      </c>
      <c r="BE16" s="24" t="n">
        <f aca="false">BE15+1</f>
        <v>36688</v>
      </c>
      <c r="BF16" s="25"/>
      <c r="BG16" s="25"/>
      <c r="BH16" s="26"/>
      <c r="BI16" s="26"/>
    </row>
    <row r="17" customFormat="false" ht="12.75" hidden="false" customHeight="false" outlineLevel="0" collapsed="false">
      <c r="A17" s="20" t="n">
        <f aca="false">+BaseloadMarkets!A17</f>
        <v>36689</v>
      </c>
      <c r="B17" s="21" t="n">
        <v>3984</v>
      </c>
      <c r="C17" s="21"/>
      <c r="D17" s="21" t="n">
        <v>30000</v>
      </c>
      <c r="E17" s="21" t="n">
        <v>4178</v>
      </c>
      <c r="F17" s="21" t="n">
        <v>1000</v>
      </c>
      <c r="G17" s="21" t="n">
        <v>4262</v>
      </c>
      <c r="H17" s="21" t="n">
        <v>10000</v>
      </c>
      <c r="I17" s="21" t="n">
        <v>10000</v>
      </c>
      <c r="J17" s="21" t="n">
        <v>3333</v>
      </c>
      <c r="K17" s="21" t="n">
        <v>1333</v>
      </c>
      <c r="L17" s="21" t="n">
        <v>14646</v>
      </c>
      <c r="M17" s="21" t="n">
        <v>5000</v>
      </c>
      <c r="N17" s="21" t="n">
        <v>5000</v>
      </c>
      <c r="O17" s="21" t="n">
        <v>10000</v>
      </c>
      <c r="P17" s="21" t="n">
        <v>10000</v>
      </c>
      <c r="Q17" s="21" t="n">
        <v>4882</v>
      </c>
      <c r="R17" s="21" t="n">
        <v>10000</v>
      </c>
      <c r="S17" s="21" t="n">
        <v>50000</v>
      </c>
      <c r="T17" s="21" t="n">
        <v>10000</v>
      </c>
      <c r="U17" s="21" t="n">
        <f aca="false">50000-35000+25741</f>
        <v>40741</v>
      </c>
      <c r="V17" s="21" t="n">
        <v>5000</v>
      </c>
      <c r="W17" s="21" t="n">
        <v>10000</v>
      </c>
      <c r="X17" s="21" t="n">
        <v>5722</v>
      </c>
      <c r="Y17" s="21" t="n">
        <f aca="false">5000+3000+1906</f>
        <v>9906</v>
      </c>
      <c r="Z17" s="21" t="n">
        <v>3600</v>
      </c>
      <c r="AA17" s="21"/>
      <c r="AB17" s="21" t="n">
        <v>5000</v>
      </c>
      <c r="AC17" s="21" t="n">
        <v>20000</v>
      </c>
      <c r="AD17" s="21"/>
      <c r="AE17" s="21"/>
      <c r="AF17" s="21" t="n">
        <v>1400</v>
      </c>
      <c r="AG17" s="21" t="n">
        <v>12917</v>
      </c>
      <c r="AH17" s="21"/>
      <c r="AI17" s="21"/>
      <c r="AJ17" s="21"/>
      <c r="AK17" s="21"/>
      <c r="AL17" s="21" t="n">
        <v>14091</v>
      </c>
      <c r="AM17" s="21" t="n">
        <v>10000</v>
      </c>
      <c r="AN17" s="21" t="n">
        <v>10333</v>
      </c>
      <c r="AO17" s="21"/>
      <c r="AP17" s="21"/>
      <c r="AQ17" s="22"/>
      <c r="AR17" s="22"/>
      <c r="AS17" s="22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3" t="n">
        <f aca="false">SUM(B17:BC17)</f>
        <v>336328</v>
      </c>
      <c r="BE17" s="24" t="n">
        <f aca="false">BE16+1</f>
        <v>36689</v>
      </c>
      <c r="BF17" s="25"/>
      <c r="BG17" s="25"/>
      <c r="BH17" s="26"/>
      <c r="BI17" s="26"/>
    </row>
    <row r="18" customFormat="false" ht="12.75" hidden="false" customHeight="false" outlineLevel="0" collapsed="false">
      <c r="A18" s="20" t="n">
        <f aca="false">+BaseloadMarkets!A18</f>
        <v>36690</v>
      </c>
      <c r="B18" s="21" t="n">
        <v>3984</v>
      </c>
      <c r="C18" s="21"/>
      <c r="D18" s="21" t="n">
        <v>30000</v>
      </c>
      <c r="E18" s="21" t="n">
        <v>4178</v>
      </c>
      <c r="F18" s="21" t="n">
        <v>1000</v>
      </c>
      <c r="G18" s="21" t="n">
        <v>4319</v>
      </c>
      <c r="H18" s="21" t="n">
        <v>10000</v>
      </c>
      <c r="I18" s="21" t="n">
        <v>10000</v>
      </c>
      <c r="J18" s="21" t="n">
        <v>3333</v>
      </c>
      <c r="K18" s="21" t="n">
        <v>1333</v>
      </c>
      <c r="L18" s="21" t="n">
        <v>10792</v>
      </c>
      <c r="M18" s="21" t="n">
        <v>5000</v>
      </c>
      <c r="N18" s="21" t="n">
        <v>5000</v>
      </c>
      <c r="O18" s="21" t="n">
        <v>10000</v>
      </c>
      <c r="P18" s="21" t="n">
        <v>10000</v>
      </c>
      <c r="Q18" s="21" t="n">
        <v>5000</v>
      </c>
      <c r="R18" s="21" t="n">
        <v>10000</v>
      </c>
      <c r="S18" s="21" t="n">
        <v>50000</v>
      </c>
      <c r="T18" s="21" t="n">
        <v>10000</v>
      </c>
      <c r="U18" s="21" t="n">
        <f aca="false">50000-35000+18957</f>
        <v>33957</v>
      </c>
      <c r="V18" s="21" t="n">
        <v>5000</v>
      </c>
      <c r="W18" s="21" t="n">
        <v>10000</v>
      </c>
      <c r="X18" s="21" t="n">
        <v>10000</v>
      </c>
      <c r="Y18" s="21" t="n">
        <v>10000</v>
      </c>
      <c r="Z18" s="21" t="n">
        <v>3600</v>
      </c>
      <c r="AA18" s="21"/>
      <c r="AB18" s="21" t="n">
        <v>5000</v>
      </c>
      <c r="AC18" s="21"/>
      <c r="AD18" s="21" t="n">
        <v>20000</v>
      </c>
      <c r="AE18" s="21"/>
      <c r="AF18" s="21" t="n">
        <v>1400</v>
      </c>
      <c r="AG18" s="21" t="n">
        <v>12917</v>
      </c>
      <c r="AH18" s="21"/>
      <c r="AI18" s="21"/>
      <c r="AJ18" s="21"/>
      <c r="AK18" s="21"/>
      <c r="AL18" s="21" t="n">
        <v>14091</v>
      </c>
      <c r="AM18" s="21"/>
      <c r="AN18" s="21" t="n">
        <v>10333</v>
      </c>
      <c r="AO18" s="21"/>
      <c r="AP18" s="21" t="n">
        <v>20000</v>
      </c>
      <c r="AQ18" s="22" t="n">
        <v>10000</v>
      </c>
      <c r="AR18" s="22" t="n">
        <v>10000</v>
      </c>
      <c r="AS18" s="22" t="n">
        <v>10000</v>
      </c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3" t="n">
        <f aca="false">SUM(B18:BC18)</f>
        <v>370237</v>
      </c>
      <c r="BE18" s="24" t="n">
        <f aca="false">BE17+1</f>
        <v>36690</v>
      </c>
      <c r="BF18" s="25"/>
      <c r="BG18" s="25"/>
      <c r="BH18" s="26"/>
      <c r="BI18" s="26"/>
    </row>
    <row r="19" customFormat="false" ht="12.75" hidden="false" customHeight="false" outlineLevel="0" collapsed="false">
      <c r="A19" s="20" t="n">
        <f aca="false">+BaseloadMarkets!A19</f>
        <v>36691</v>
      </c>
      <c r="B19" s="21" t="n">
        <v>3984</v>
      </c>
      <c r="C19" s="21"/>
      <c r="D19" s="21" t="n">
        <v>30000</v>
      </c>
      <c r="E19" s="21" t="n">
        <v>4178</v>
      </c>
      <c r="F19" s="21" t="n">
        <v>1000</v>
      </c>
      <c r="G19" s="21" t="n">
        <v>4216</v>
      </c>
      <c r="H19" s="21" t="n">
        <v>0</v>
      </c>
      <c r="I19" s="21" t="n">
        <v>10000</v>
      </c>
      <c r="J19" s="21" t="n">
        <v>3333</v>
      </c>
      <c r="K19" s="21" t="n">
        <v>1333</v>
      </c>
      <c r="L19" s="21" t="n">
        <v>14282</v>
      </c>
      <c r="M19" s="21" t="n">
        <v>5000</v>
      </c>
      <c r="N19" s="21" t="n">
        <v>5000</v>
      </c>
      <c r="O19" s="21" t="n">
        <v>10000</v>
      </c>
      <c r="P19" s="21" t="n">
        <v>10000</v>
      </c>
      <c r="Q19" s="21" t="n">
        <v>5000</v>
      </c>
      <c r="R19" s="21" t="n">
        <v>10000</v>
      </c>
      <c r="S19" s="21" t="n">
        <v>50000</v>
      </c>
      <c r="T19" s="21" t="n">
        <v>10000</v>
      </c>
      <c r="U19" s="21" t="n">
        <f aca="false">50000-5000+3654</f>
        <v>48654</v>
      </c>
      <c r="V19" s="21" t="n">
        <v>5000</v>
      </c>
      <c r="W19" s="21" t="n">
        <v>10000</v>
      </c>
      <c r="X19" s="21" t="n">
        <v>10000</v>
      </c>
      <c r="Y19" s="21" t="n">
        <v>10000</v>
      </c>
      <c r="Z19" s="21" t="n">
        <v>3600</v>
      </c>
      <c r="AA19" s="21" t="n">
        <v>1744</v>
      </c>
      <c r="AB19" s="21" t="n">
        <v>5000</v>
      </c>
      <c r="AC19" s="21"/>
      <c r="AD19" s="21"/>
      <c r="AE19" s="21"/>
      <c r="AF19" s="21" t="n">
        <v>1400</v>
      </c>
      <c r="AG19" s="21" t="n">
        <v>12917</v>
      </c>
      <c r="AH19" s="21"/>
      <c r="AI19" s="21"/>
      <c r="AJ19" s="21"/>
      <c r="AK19" s="21"/>
      <c r="AL19" s="21" t="n">
        <v>14091</v>
      </c>
      <c r="AM19" s="21"/>
      <c r="AN19" s="21" t="n">
        <v>10333</v>
      </c>
      <c r="AO19" s="21"/>
      <c r="AP19" s="21"/>
      <c r="AQ19" s="22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3" t="n">
        <f aca="false">SUM(B19:BC19)</f>
        <v>310065</v>
      </c>
      <c r="BE19" s="24" t="n">
        <f aca="false">BE18+1</f>
        <v>36691</v>
      </c>
      <c r="BF19" s="25"/>
      <c r="BG19" s="25"/>
      <c r="BH19" s="26"/>
      <c r="BI19" s="26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20" t="n">
        <f aca="false">+BaseloadMarkets!A20</f>
        <v>36692</v>
      </c>
      <c r="B20" s="21" t="n">
        <v>3984</v>
      </c>
      <c r="C20" s="21"/>
      <c r="D20" s="21" t="n">
        <v>30000</v>
      </c>
      <c r="E20" s="21" t="n">
        <v>4178</v>
      </c>
      <c r="F20" s="21" t="n">
        <v>1000</v>
      </c>
      <c r="G20" s="21" t="n">
        <v>5000</v>
      </c>
      <c r="H20" s="21" t="n">
        <v>6198</v>
      </c>
      <c r="I20" s="21" t="n">
        <v>10000</v>
      </c>
      <c r="J20" s="21" t="n">
        <v>3333</v>
      </c>
      <c r="K20" s="21" t="n">
        <v>1333</v>
      </c>
      <c r="L20" s="21" t="n">
        <v>14494</v>
      </c>
      <c r="M20" s="21" t="n">
        <v>5000</v>
      </c>
      <c r="N20" s="21" t="n">
        <v>5000</v>
      </c>
      <c r="O20" s="21" t="n">
        <v>10000</v>
      </c>
      <c r="P20" s="21" t="n">
        <v>10000</v>
      </c>
      <c r="Q20" s="21" t="n">
        <v>5000</v>
      </c>
      <c r="R20" s="21" t="n">
        <v>10000</v>
      </c>
      <c r="S20" s="21" t="n">
        <v>50000</v>
      </c>
      <c r="T20" s="21" t="n">
        <v>10000</v>
      </c>
      <c r="U20" s="21" t="n">
        <v>50000</v>
      </c>
      <c r="V20" s="21" t="n">
        <v>2906</v>
      </c>
      <c r="W20" s="21" t="n">
        <v>10000</v>
      </c>
      <c r="X20" s="21" t="n">
        <v>10000</v>
      </c>
      <c r="Y20" s="21" t="n">
        <v>10000</v>
      </c>
      <c r="Z20" s="21" t="n">
        <v>3600</v>
      </c>
      <c r="AA20" s="21"/>
      <c r="AB20" s="21" t="n">
        <v>5000</v>
      </c>
      <c r="AC20" s="21"/>
      <c r="AD20" s="21"/>
      <c r="AE20" s="21"/>
      <c r="AF20" s="21" t="n">
        <v>1400</v>
      </c>
      <c r="AG20" s="21" t="n">
        <v>12917</v>
      </c>
      <c r="AH20" s="21"/>
      <c r="AI20" s="21"/>
      <c r="AJ20" s="21"/>
      <c r="AK20" s="21"/>
      <c r="AL20" s="21" t="n">
        <v>14091</v>
      </c>
      <c r="AM20" s="21"/>
      <c r="AN20" s="21" t="n">
        <v>10333</v>
      </c>
      <c r="AO20" s="21"/>
      <c r="AP20" s="21"/>
      <c r="AQ20" s="22"/>
      <c r="AR20" s="22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3" t="n">
        <f aca="false">SUM(B20:BC20)</f>
        <v>314767</v>
      </c>
      <c r="BE20" s="24" t="n">
        <f aca="false">BE19+1</f>
        <v>36692</v>
      </c>
      <c r="BF20" s="25"/>
      <c r="BG20" s="25"/>
      <c r="BH20" s="26"/>
      <c r="BI20" s="26"/>
    </row>
    <row r="21" customFormat="false" ht="12.75" hidden="false" customHeight="false" outlineLevel="0" collapsed="false">
      <c r="A21" s="20" t="n">
        <f aca="false">+BaseloadMarkets!A21</f>
        <v>36693</v>
      </c>
      <c r="B21" s="21" t="n">
        <v>3984</v>
      </c>
      <c r="C21" s="21"/>
      <c r="D21" s="21" t="n">
        <v>30000</v>
      </c>
      <c r="E21" s="21" t="n">
        <v>4178</v>
      </c>
      <c r="F21" s="21" t="n">
        <v>1000</v>
      </c>
      <c r="G21" s="21" t="n">
        <v>5000</v>
      </c>
      <c r="H21" s="21" t="n">
        <v>10000</v>
      </c>
      <c r="I21" s="21" t="n">
        <v>10000</v>
      </c>
      <c r="J21" s="21" t="n">
        <v>3333</v>
      </c>
      <c r="K21" s="21" t="n">
        <v>1333</v>
      </c>
      <c r="L21" s="21" t="n">
        <v>13846</v>
      </c>
      <c r="M21" s="21" t="n">
        <v>5000</v>
      </c>
      <c r="N21" s="21" t="n">
        <v>5000</v>
      </c>
      <c r="O21" s="21" t="n">
        <v>10000</v>
      </c>
      <c r="P21" s="21" t="n">
        <v>10000</v>
      </c>
      <c r="Q21" s="21" t="n">
        <v>5000</v>
      </c>
      <c r="R21" s="21" t="n">
        <v>10000</v>
      </c>
      <c r="S21" s="21" t="n">
        <v>50000</v>
      </c>
      <c r="T21" s="21" t="n">
        <v>10000</v>
      </c>
      <c r="U21" s="21" t="n">
        <v>50000</v>
      </c>
      <c r="V21" s="21" t="n">
        <v>3072</v>
      </c>
      <c r="W21" s="21" t="n">
        <v>10000</v>
      </c>
      <c r="X21" s="21" t="n">
        <v>10000</v>
      </c>
      <c r="Y21" s="21" t="n">
        <v>10000</v>
      </c>
      <c r="Z21" s="21" t="n">
        <v>3600</v>
      </c>
      <c r="AA21" s="21"/>
      <c r="AB21" s="21" t="n">
        <v>5000</v>
      </c>
      <c r="AC21" s="21"/>
      <c r="AD21" s="21"/>
      <c r="AE21" s="21"/>
      <c r="AF21" s="21" t="n">
        <v>1400</v>
      </c>
      <c r="AG21" s="21" t="n">
        <v>12917</v>
      </c>
      <c r="AH21" s="21"/>
      <c r="AI21" s="21"/>
      <c r="AJ21" s="21"/>
      <c r="AK21" s="21"/>
      <c r="AL21" s="21" t="n">
        <v>14091</v>
      </c>
      <c r="AM21" s="21"/>
      <c r="AN21" s="21" t="n">
        <v>10333</v>
      </c>
      <c r="AO21" s="21"/>
      <c r="AP21" s="21"/>
      <c r="AQ21" s="22"/>
      <c r="AR21" s="22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3" t="n">
        <f aca="false">SUM(B21:BC21)</f>
        <v>318087</v>
      </c>
      <c r="BE21" s="24" t="n">
        <f aca="false">BE20+1</f>
        <v>36693</v>
      </c>
      <c r="BF21" s="25"/>
      <c r="BG21" s="25"/>
      <c r="BH21" s="26"/>
      <c r="BI21" s="26"/>
    </row>
    <row r="22" customFormat="false" ht="12.75" hidden="false" customHeight="false" outlineLevel="0" collapsed="false">
      <c r="A22" s="20" t="n">
        <f aca="false">+BaseloadMarkets!A22</f>
        <v>36694</v>
      </c>
      <c r="B22" s="21" t="n">
        <v>3984</v>
      </c>
      <c r="C22" s="21"/>
      <c r="D22" s="21" t="n">
        <v>0</v>
      </c>
      <c r="E22" s="21" t="n">
        <v>4178</v>
      </c>
      <c r="F22" s="21" t="n">
        <v>1000</v>
      </c>
      <c r="G22" s="21" t="n">
        <v>5000</v>
      </c>
      <c r="H22" s="21" t="n">
        <v>4996</v>
      </c>
      <c r="I22" s="21" t="n">
        <v>10000</v>
      </c>
      <c r="J22" s="21" t="n">
        <v>3333</v>
      </c>
      <c r="K22" s="21" t="n">
        <v>1333</v>
      </c>
      <c r="L22" s="21" t="n">
        <v>14770</v>
      </c>
      <c r="M22" s="21" t="n">
        <v>5000</v>
      </c>
      <c r="N22" s="21" t="n">
        <v>5000</v>
      </c>
      <c r="O22" s="21" t="n">
        <v>10000</v>
      </c>
      <c r="P22" s="21" t="n">
        <v>10000</v>
      </c>
      <c r="Q22" s="21" t="n">
        <v>5000</v>
      </c>
      <c r="R22" s="21" t="n">
        <v>10000</v>
      </c>
      <c r="S22" s="21" t="n">
        <v>50000</v>
      </c>
      <c r="T22" s="21" t="n">
        <v>10000</v>
      </c>
      <c r="U22" s="21" t="n">
        <v>50000</v>
      </c>
      <c r="V22" s="21" t="n">
        <v>4165</v>
      </c>
      <c r="W22" s="21" t="n">
        <v>10000</v>
      </c>
      <c r="X22" s="21" t="n">
        <v>10000</v>
      </c>
      <c r="Y22" s="21" t="n">
        <v>10000</v>
      </c>
      <c r="Z22" s="21" t="n">
        <v>3600</v>
      </c>
      <c r="AA22" s="21"/>
      <c r="AB22" s="21" t="n">
        <v>5000</v>
      </c>
      <c r="AC22" s="21"/>
      <c r="AD22" s="21"/>
      <c r="AE22" s="21"/>
      <c r="AF22" s="21" t="n">
        <v>1400</v>
      </c>
      <c r="AG22" s="21" t="n">
        <v>12917</v>
      </c>
      <c r="AH22" s="21"/>
      <c r="AI22" s="21"/>
      <c r="AJ22" s="21"/>
      <c r="AK22" s="21"/>
      <c r="AL22" s="21" t="n">
        <v>14091</v>
      </c>
      <c r="AM22" s="21"/>
      <c r="AN22" s="21"/>
      <c r="AO22" s="21"/>
      <c r="AP22" s="21"/>
      <c r="AQ22" s="22"/>
      <c r="AR22" s="22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3" t="n">
        <f aca="false">SUM(B22:BC22)</f>
        <v>274767</v>
      </c>
      <c r="BE22" s="24" t="n">
        <f aca="false">BE21+1</f>
        <v>36694</v>
      </c>
      <c r="BF22" s="25"/>
      <c r="BG22" s="25"/>
      <c r="BH22" s="26"/>
      <c r="BI22" s="26"/>
    </row>
    <row r="23" customFormat="false" ht="12.75" hidden="false" customHeight="false" outlineLevel="0" collapsed="false">
      <c r="A23" s="20" t="n">
        <f aca="false">+BaseloadMarkets!A23</f>
        <v>36695</v>
      </c>
      <c r="B23" s="21" t="n">
        <v>3984</v>
      </c>
      <c r="C23" s="21"/>
      <c r="D23" s="21" t="n">
        <v>0</v>
      </c>
      <c r="E23" s="21" t="n">
        <v>4178</v>
      </c>
      <c r="F23" s="21" t="n">
        <v>1000</v>
      </c>
      <c r="G23" s="21" t="n">
        <v>5000</v>
      </c>
      <c r="H23" s="21" t="n">
        <v>4947</v>
      </c>
      <c r="I23" s="21" t="n">
        <v>10000</v>
      </c>
      <c r="J23" s="21" t="n">
        <v>3333</v>
      </c>
      <c r="K23" s="21" t="n">
        <v>1333</v>
      </c>
      <c r="L23" s="21" t="n">
        <v>14212</v>
      </c>
      <c r="M23" s="21" t="n">
        <v>5000</v>
      </c>
      <c r="N23" s="21" t="n">
        <v>5000</v>
      </c>
      <c r="O23" s="21" t="n">
        <v>10000</v>
      </c>
      <c r="P23" s="21" t="n">
        <v>10000</v>
      </c>
      <c r="Q23" s="21" t="n">
        <v>5000</v>
      </c>
      <c r="R23" s="21" t="n">
        <v>10000</v>
      </c>
      <c r="S23" s="21" t="n">
        <v>50000</v>
      </c>
      <c r="T23" s="21" t="n">
        <v>10000</v>
      </c>
      <c r="U23" s="21" t="n">
        <v>50000</v>
      </c>
      <c r="V23" s="21" t="n">
        <v>3936</v>
      </c>
      <c r="W23" s="21" t="n">
        <v>10000</v>
      </c>
      <c r="X23" s="21" t="n">
        <v>10000</v>
      </c>
      <c r="Y23" s="21" t="n">
        <v>10000</v>
      </c>
      <c r="Z23" s="21" t="n">
        <v>3600</v>
      </c>
      <c r="AA23" s="21"/>
      <c r="AB23" s="21" t="n">
        <v>5000</v>
      </c>
      <c r="AC23" s="21"/>
      <c r="AD23" s="21"/>
      <c r="AE23" s="21"/>
      <c r="AF23" s="21" t="n">
        <v>1400</v>
      </c>
      <c r="AG23" s="21" t="n">
        <v>12917</v>
      </c>
      <c r="AH23" s="21"/>
      <c r="AI23" s="21"/>
      <c r="AJ23" s="21"/>
      <c r="AK23" s="21"/>
      <c r="AL23" s="21" t="n">
        <v>14091</v>
      </c>
      <c r="AM23" s="21"/>
      <c r="AN23" s="21"/>
      <c r="AO23" s="21"/>
      <c r="AP23" s="21"/>
      <c r="AQ23" s="22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3" t="n">
        <f aca="false">SUM(B23:BC23)</f>
        <v>273931</v>
      </c>
      <c r="BE23" s="24" t="n">
        <f aca="false">BE22+1</f>
        <v>36695</v>
      </c>
      <c r="BF23" s="25"/>
      <c r="BG23" s="25"/>
      <c r="BH23" s="26"/>
      <c r="BI23" s="26"/>
    </row>
    <row r="24" customFormat="false" ht="12.75" hidden="false" customHeight="false" outlineLevel="0" collapsed="false">
      <c r="A24" s="20" t="n">
        <f aca="false">+BaseloadMarkets!A24</f>
        <v>36696</v>
      </c>
      <c r="B24" s="21" t="n">
        <v>3984</v>
      </c>
      <c r="C24" s="21"/>
      <c r="D24" s="21" t="n">
        <v>30000</v>
      </c>
      <c r="E24" s="21" t="n">
        <v>4178</v>
      </c>
      <c r="F24" s="21" t="n">
        <v>1000</v>
      </c>
      <c r="G24" s="21" t="n">
        <v>5000</v>
      </c>
      <c r="H24" s="21" t="n">
        <v>5228</v>
      </c>
      <c r="I24" s="21" t="n">
        <v>10000</v>
      </c>
      <c r="J24" s="21" t="n">
        <v>3333</v>
      </c>
      <c r="K24" s="21" t="n">
        <v>1333</v>
      </c>
      <c r="L24" s="21" t="n">
        <v>13954</v>
      </c>
      <c r="M24" s="21" t="n">
        <v>5000</v>
      </c>
      <c r="N24" s="21" t="n">
        <v>5000</v>
      </c>
      <c r="O24" s="21" t="n">
        <v>10000</v>
      </c>
      <c r="P24" s="21" t="n">
        <v>10000</v>
      </c>
      <c r="Q24" s="21" t="n">
        <v>5000</v>
      </c>
      <c r="R24" s="21" t="n">
        <v>10000</v>
      </c>
      <c r="S24" s="21" t="n">
        <v>50000</v>
      </c>
      <c r="T24" s="21" t="n">
        <v>10000</v>
      </c>
      <c r="U24" s="21" t="n">
        <v>50000</v>
      </c>
      <c r="V24" s="21" t="n">
        <v>3243</v>
      </c>
      <c r="W24" s="21" t="n">
        <v>10000</v>
      </c>
      <c r="X24" s="21" t="n">
        <v>10000</v>
      </c>
      <c r="Y24" s="21" t="n">
        <v>10000</v>
      </c>
      <c r="Z24" s="21" t="n">
        <v>3600</v>
      </c>
      <c r="AA24" s="21"/>
      <c r="AB24" s="21" t="n">
        <v>5000</v>
      </c>
      <c r="AC24" s="21"/>
      <c r="AD24" s="21"/>
      <c r="AE24" s="21"/>
      <c r="AF24" s="21" t="n">
        <v>1400</v>
      </c>
      <c r="AG24" s="21" t="n">
        <v>12917</v>
      </c>
      <c r="AH24" s="21"/>
      <c r="AI24" s="21"/>
      <c r="AJ24" s="21"/>
      <c r="AK24" s="21"/>
      <c r="AL24" s="21" t="n">
        <v>14091</v>
      </c>
      <c r="AM24" s="21"/>
      <c r="AN24" s="21" t="n">
        <v>10333</v>
      </c>
      <c r="AO24" s="21"/>
      <c r="AP24" s="21"/>
      <c r="AQ24" s="22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3" t="n">
        <f aca="false">SUM(B24:BC24)</f>
        <v>313594</v>
      </c>
      <c r="BE24" s="24" t="n">
        <f aca="false">BE23+1</f>
        <v>36696</v>
      </c>
      <c r="BF24" s="25"/>
      <c r="BG24" s="25"/>
      <c r="BH24" s="26"/>
      <c r="BI24" s="26"/>
    </row>
    <row r="25" customFormat="false" ht="12.75" hidden="false" customHeight="false" outlineLevel="0" collapsed="false">
      <c r="A25" s="20" t="n">
        <f aca="false">+BaseloadMarkets!A25</f>
        <v>36697</v>
      </c>
      <c r="B25" s="21" t="n">
        <v>3984</v>
      </c>
      <c r="C25" s="21"/>
      <c r="D25" s="21" t="n">
        <v>30000</v>
      </c>
      <c r="E25" s="21" t="n">
        <v>4178</v>
      </c>
      <c r="F25" s="21" t="n">
        <v>1000</v>
      </c>
      <c r="G25" s="21" t="n">
        <v>5000</v>
      </c>
      <c r="H25" s="21" t="n">
        <v>10000</v>
      </c>
      <c r="I25" s="21" t="n">
        <v>10000</v>
      </c>
      <c r="J25" s="21" t="n">
        <v>3333</v>
      </c>
      <c r="K25" s="21" t="n">
        <v>1333</v>
      </c>
      <c r="L25" s="21" t="n">
        <v>14998</v>
      </c>
      <c r="M25" s="21" t="n">
        <v>5000</v>
      </c>
      <c r="N25" s="21" t="n">
        <v>5000</v>
      </c>
      <c r="O25" s="21" t="n">
        <v>10000</v>
      </c>
      <c r="P25" s="21" t="n">
        <v>10000</v>
      </c>
      <c r="Q25" s="21" t="n">
        <v>5000</v>
      </c>
      <c r="R25" s="21" t="n">
        <v>10000</v>
      </c>
      <c r="S25" s="21" t="n">
        <v>50000</v>
      </c>
      <c r="T25" s="21" t="n">
        <v>10000</v>
      </c>
      <c r="U25" s="21" t="n">
        <v>50000</v>
      </c>
      <c r="V25" s="21" t="n">
        <v>5000</v>
      </c>
      <c r="W25" s="21" t="n">
        <v>10000</v>
      </c>
      <c r="X25" s="21" t="n">
        <v>10000</v>
      </c>
      <c r="Y25" s="21" t="n">
        <v>10000</v>
      </c>
      <c r="Z25" s="21" t="n">
        <v>3600</v>
      </c>
      <c r="AA25" s="21"/>
      <c r="AB25" s="21" t="n">
        <v>5000</v>
      </c>
      <c r="AC25" s="21"/>
      <c r="AD25" s="21"/>
      <c r="AE25" s="21"/>
      <c r="AF25" s="21" t="n">
        <v>1400</v>
      </c>
      <c r="AG25" s="21" t="n">
        <v>12917</v>
      </c>
      <c r="AH25" s="21"/>
      <c r="AI25" s="21"/>
      <c r="AJ25" s="21"/>
      <c r="AK25" s="21"/>
      <c r="AL25" s="21" t="n">
        <v>14091</v>
      </c>
      <c r="AM25" s="21"/>
      <c r="AN25" s="21" t="n">
        <v>10333</v>
      </c>
      <c r="AO25" s="21"/>
      <c r="AP25" s="21"/>
      <c r="AQ25" s="22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3" t="n">
        <f aca="false">SUM(B25:BC25)</f>
        <v>321167</v>
      </c>
      <c r="BE25" s="24" t="n">
        <f aca="false">BE24+1</f>
        <v>36697</v>
      </c>
      <c r="BF25" s="25"/>
      <c r="BG25" s="25"/>
      <c r="BH25" s="26"/>
      <c r="BI25" s="26"/>
    </row>
    <row r="26" customFormat="false" ht="12.75" hidden="false" customHeight="false" outlineLevel="0" collapsed="false">
      <c r="A26" s="20" t="n">
        <f aca="false">+BaseloadMarkets!A26</f>
        <v>36698</v>
      </c>
      <c r="B26" s="21" t="n">
        <v>3984</v>
      </c>
      <c r="C26" s="21"/>
      <c r="D26" s="21" t="n">
        <v>30000</v>
      </c>
      <c r="E26" s="21" t="n">
        <v>4178</v>
      </c>
      <c r="F26" s="21" t="n">
        <v>1000</v>
      </c>
      <c r="G26" s="21" t="n">
        <v>5000</v>
      </c>
      <c r="H26" s="21" t="n">
        <v>10000</v>
      </c>
      <c r="I26" s="21" t="n">
        <v>10000</v>
      </c>
      <c r="J26" s="21" t="n">
        <v>3333</v>
      </c>
      <c r="K26" s="21" t="n">
        <v>1333</v>
      </c>
      <c r="L26" s="21" t="n">
        <v>9876</v>
      </c>
      <c r="M26" s="21" t="n">
        <v>5000</v>
      </c>
      <c r="N26" s="21" t="n">
        <v>5000</v>
      </c>
      <c r="O26" s="21" t="n">
        <v>10000</v>
      </c>
      <c r="P26" s="21" t="n">
        <v>10000</v>
      </c>
      <c r="Q26" s="21" t="n">
        <v>5000</v>
      </c>
      <c r="R26" s="21" t="n">
        <v>10000</v>
      </c>
      <c r="S26" s="21" t="n">
        <v>50000</v>
      </c>
      <c r="T26" s="21" t="n">
        <v>10000</v>
      </c>
      <c r="U26" s="21" t="n">
        <v>50000</v>
      </c>
      <c r="V26" s="21" t="n">
        <v>5000</v>
      </c>
      <c r="W26" s="21" t="n">
        <v>10000</v>
      </c>
      <c r="X26" s="21" t="n">
        <v>10000</v>
      </c>
      <c r="Y26" s="21" t="n">
        <v>10000</v>
      </c>
      <c r="Z26" s="21" t="n">
        <v>3600</v>
      </c>
      <c r="AA26" s="21"/>
      <c r="AB26" s="21" t="n">
        <v>5000</v>
      </c>
      <c r="AC26" s="21"/>
      <c r="AD26" s="21"/>
      <c r="AE26" s="21"/>
      <c r="AF26" s="21" t="n">
        <v>1400</v>
      </c>
      <c r="AG26" s="21" t="n">
        <v>12917</v>
      </c>
      <c r="AH26" s="21"/>
      <c r="AI26" s="21"/>
      <c r="AJ26" s="21"/>
      <c r="AK26" s="21"/>
      <c r="AL26" s="21" t="n">
        <v>14091</v>
      </c>
      <c r="AM26" s="21"/>
      <c r="AN26" s="21" t="n">
        <v>10333</v>
      </c>
      <c r="AO26" s="21"/>
      <c r="AP26" s="21"/>
      <c r="AQ26" s="22"/>
      <c r="AR26" s="21"/>
      <c r="AS26" s="21"/>
      <c r="AT26" s="21" t="n">
        <v>62000</v>
      </c>
      <c r="AU26" s="21"/>
      <c r="AV26" s="21"/>
      <c r="AW26" s="21"/>
      <c r="AX26" s="21"/>
      <c r="AY26" s="21"/>
      <c r="AZ26" s="21"/>
      <c r="BA26" s="21"/>
      <c r="BB26" s="21"/>
      <c r="BC26" s="21"/>
      <c r="BD26" s="23" t="n">
        <f aca="false">SUM(B26:BC26)</f>
        <v>378045</v>
      </c>
      <c r="BE26" s="24" t="n">
        <f aca="false">BE25+1</f>
        <v>36698</v>
      </c>
      <c r="BF26" s="25"/>
      <c r="BG26" s="25"/>
      <c r="BH26" s="26"/>
      <c r="BI26" s="26"/>
    </row>
    <row r="27" customFormat="false" ht="12.75" hidden="false" customHeight="false" outlineLevel="0" collapsed="false">
      <c r="A27" s="20" t="n">
        <f aca="false">+BaseloadMarkets!A27</f>
        <v>36699</v>
      </c>
      <c r="B27" s="21" t="n">
        <v>3984</v>
      </c>
      <c r="C27" s="21"/>
      <c r="D27" s="21" t="n">
        <v>30000</v>
      </c>
      <c r="E27" s="21" t="n">
        <v>4178</v>
      </c>
      <c r="F27" s="21" t="n">
        <v>1000</v>
      </c>
      <c r="G27" s="21" t="n">
        <v>5000</v>
      </c>
      <c r="H27" s="21" t="n">
        <v>10000</v>
      </c>
      <c r="I27" s="21" t="n">
        <v>10000</v>
      </c>
      <c r="J27" s="21" t="n">
        <v>3333</v>
      </c>
      <c r="K27" s="21" t="n">
        <v>1333</v>
      </c>
      <c r="L27" s="21" t="n">
        <v>14683</v>
      </c>
      <c r="M27" s="21" t="n">
        <v>5000</v>
      </c>
      <c r="N27" s="21" t="n">
        <v>5000</v>
      </c>
      <c r="O27" s="21" t="n">
        <v>10000</v>
      </c>
      <c r="P27" s="21" t="n">
        <v>10000</v>
      </c>
      <c r="Q27" s="21" t="n">
        <v>5000</v>
      </c>
      <c r="R27" s="21" t="n">
        <v>10000</v>
      </c>
      <c r="S27" s="21" t="n">
        <v>50000</v>
      </c>
      <c r="T27" s="21" t="n">
        <v>10000</v>
      </c>
      <c r="U27" s="21" t="n">
        <v>50000</v>
      </c>
      <c r="V27" s="21" t="n">
        <v>5000</v>
      </c>
      <c r="W27" s="21" t="n">
        <v>10000</v>
      </c>
      <c r="X27" s="21" t="n">
        <v>10000</v>
      </c>
      <c r="Y27" s="21" t="n">
        <v>10000</v>
      </c>
      <c r="Z27" s="21" t="n">
        <v>3600</v>
      </c>
      <c r="AA27" s="21"/>
      <c r="AB27" s="21" t="n">
        <v>5000</v>
      </c>
      <c r="AC27" s="21"/>
      <c r="AD27" s="21"/>
      <c r="AE27" s="21"/>
      <c r="AF27" s="21" t="n">
        <v>1400</v>
      </c>
      <c r="AG27" s="21" t="n">
        <v>12917</v>
      </c>
      <c r="AH27" s="21"/>
      <c r="AI27" s="21"/>
      <c r="AJ27" s="21"/>
      <c r="AK27" s="21"/>
      <c r="AL27" s="21" t="n">
        <v>14091</v>
      </c>
      <c r="AM27" s="21"/>
      <c r="AN27" s="21" t="n">
        <v>10333</v>
      </c>
      <c r="AO27" s="21"/>
      <c r="AP27" s="21"/>
      <c r="AQ27" s="22"/>
      <c r="AR27" s="21"/>
      <c r="AS27" s="21"/>
      <c r="AT27" s="21" t="n">
        <v>124000</v>
      </c>
      <c r="AU27" s="21"/>
      <c r="AV27" s="21"/>
      <c r="AW27" s="21"/>
      <c r="AX27" s="21"/>
      <c r="AY27" s="21"/>
      <c r="AZ27" s="21"/>
      <c r="BA27" s="21"/>
      <c r="BB27" s="21"/>
      <c r="BC27" s="21"/>
      <c r="BD27" s="23" t="n">
        <f aca="false">SUM(B27:BC27)</f>
        <v>444852</v>
      </c>
      <c r="BE27" s="24" t="n">
        <f aca="false">BE26+1</f>
        <v>36699</v>
      </c>
      <c r="BF27" s="25"/>
      <c r="BG27" s="25"/>
      <c r="BH27" s="26"/>
      <c r="BI27" s="26"/>
    </row>
    <row r="28" customFormat="false" ht="12.75" hidden="false" customHeight="false" outlineLevel="0" collapsed="false">
      <c r="A28" s="20" t="n">
        <f aca="false">+BaseloadMarkets!A28</f>
        <v>36700</v>
      </c>
      <c r="B28" s="21" t="n">
        <v>3984</v>
      </c>
      <c r="C28" s="21"/>
      <c r="D28" s="21" t="n">
        <v>38000</v>
      </c>
      <c r="E28" s="21" t="n">
        <v>4178</v>
      </c>
      <c r="F28" s="21" t="n">
        <v>1000</v>
      </c>
      <c r="G28" s="21" t="n">
        <v>5000</v>
      </c>
      <c r="H28" s="21" t="n">
        <v>5325</v>
      </c>
      <c r="I28" s="21" t="n">
        <v>10000</v>
      </c>
      <c r="J28" s="21" t="n">
        <v>3333</v>
      </c>
      <c r="K28" s="21" t="n">
        <v>1333</v>
      </c>
      <c r="L28" s="21" t="n">
        <v>15000</v>
      </c>
      <c r="M28" s="21" t="n">
        <v>5000</v>
      </c>
      <c r="N28" s="21" t="n">
        <v>5000</v>
      </c>
      <c r="O28" s="21" t="n">
        <v>10000</v>
      </c>
      <c r="P28" s="21" t="n">
        <v>10000</v>
      </c>
      <c r="Q28" s="21" t="n">
        <v>5000</v>
      </c>
      <c r="R28" s="21" t="n">
        <v>10000</v>
      </c>
      <c r="S28" s="21" t="n">
        <v>50000</v>
      </c>
      <c r="T28" s="21" t="n">
        <v>10000</v>
      </c>
      <c r="U28" s="21" t="n">
        <v>50000</v>
      </c>
      <c r="V28" s="21" t="n">
        <v>4505</v>
      </c>
      <c r="W28" s="21" t="n">
        <v>10000</v>
      </c>
      <c r="X28" s="21" t="n">
        <v>10000</v>
      </c>
      <c r="Y28" s="21" t="n">
        <v>10000</v>
      </c>
      <c r="Z28" s="21" t="n">
        <v>3600</v>
      </c>
      <c r="AA28" s="21"/>
      <c r="AB28" s="21" t="n">
        <v>5000</v>
      </c>
      <c r="AC28" s="21"/>
      <c r="AD28" s="21"/>
      <c r="AE28" s="21"/>
      <c r="AF28" s="21" t="n">
        <v>1400</v>
      </c>
      <c r="AG28" s="21" t="n">
        <v>12916</v>
      </c>
      <c r="AH28" s="21"/>
      <c r="AI28" s="21"/>
      <c r="AJ28" s="21"/>
      <c r="AK28" s="21"/>
      <c r="AL28" s="21" t="n">
        <v>14091</v>
      </c>
      <c r="AM28" s="21"/>
      <c r="AN28" s="21" t="n">
        <v>10333</v>
      </c>
      <c r="AO28" s="21"/>
      <c r="AP28" s="21"/>
      <c r="AQ28" s="22"/>
      <c r="AR28" s="21"/>
      <c r="AS28" s="21"/>
      <c r="AT28" s="21" t="n">
        <v>124000</v>
      </c>
      <c r="AU28" s="21" t="n">
        <v>10000</v>
      </c>
      <c r="AV28" s="21" t="n">
        <v>2000</v>
      </c>
      <c r="AW28" s="21"/>
      <c r="AX28" s="21"/>
      <c r="AY28" s="21"/>
      <c r="AZ28" s="21"/>
      <c r="BA28" s="21"/>
      <c r="BB28" s="21"/>
      <c r="BC28" s="21"/>
      <c r="BD28" s="23" t="n">
        <f aca="false">SUM(B28:BC28)</f>
        <v>459998</v>
      </c>
      <c r="BE28" s="24" t="n">
        <f aca="false">BE27+1</f>
        <v>36700</v>
      </c>
      <c r="BF28" s="25"/>
      <c r="BG28" s="25"/>
      <c r="BH28" s="26"/>
      <c r="BI28" s="26"/>
    </row>
    <row r="29" customFormat="false" ht="12.75" hidden="false" customHeight="false" outlineLevel="0" collapsed="false">
      <c r="A29" s="20" t="n">
        <f aca="false">+BaseloadMarkets!A29</f>
        <v>36701</v>
      </c>
      <c r="B29" s="21" t="n">
        <v>3984</v>
      </c>
      <c r="C29" s="21"/>
      <c r="D29" s="21" t="n">
        <v>0</v>
      </c>
      <c r="E29" s="21" t="n">
        <v>4178</v>
      </c>
      <c r="F29" s="21" t="n">
        <v>1000</v>
      </c>
      <c r="G29" s="21" t="n">
        <v>5000</v>
      </c>
      <c r="H29" s="21" t="n">
        <v>10000</v>
      </c>
      <c r="I29" s="21" t="n">
        <v>10000</v>
      </c>
      <c r="J29" s="21" t="n">
        <v>3333</v>
      </c>
      <c r="K29" s="21" t="n">
        <v>1333</v>
      </c>
      <c r="L29" s="21" t="n">
        <v>15000</v>
      </c>
      <c r="M29" s="21" t="n">
        <v>5000</v>
      </c>
      <c r="N29" s="21" t="n">
        <v>5000</v>
      </c>
      <c r="O29" s="21" t="n">
        <v>10000</v>
      </c>
      <c r="P29" s="21" t="n">
        <v>10000</v>
      </c>
      <c r="Q29" s="21" t="n">
        <v>5000</v>
      </c>
      <c r="R29" s="21" t="n">
        <v>10000</v>
      </c>
      <c r="S29" s="21" t="n">
        <v>50000</v>
      </c>
      <c r="T29" s="21" t="n">
        <v>10000</v>
      </c>
      <c r="U29" s="21" t="n">
        <v>50000</v>
      </c>
      <c r="V29" s="21" t="n">
        <v>3338</v>
      </c>
      <c r="W29" s="21" t="n">
        <v>10000</v>
      </c>
      <c r="X29" s="21" t="n">
        <v>10000</v>
      </c>
      <c r="Y29" s="21" t="n">
        <v>10000</v>
      </c>
      <c r="Z29" s="21" t="n">
        <v>3600</v>
      </c>
      <c r="AA29" s="21"/>
      <c r="AB29" s="21" t="n">
        <v>5000</v>
      </c>
      <c r="AC29" s="21" t="n">
        <v>2000</v>
      </c>
      <c r="AD29" s="21"/>
      <c r="AE29" s="21"/>
      <c r="AF29" s="21" t="n">
        <v>1400</v>
      </c>
      <c r="AG29" s="21" t="n">
        <v>12916</v>
      </c>
      <c r="AH29" s="21"/>
      <c r="AI29" s="21"/>
      <c r="AJ29" s="21"/>
      <c r="AK29" s="21"/>
      <c r="AL29" s="21" t="n">
        <v>14091</v>
      </c>
      <c r="AM29" s="21"/>
      <c r="AN29" s="21"/>
      <c r="AO29" s="21"/>
      <c r="AP29" s="21"/>
      <c r="AQ29" s="22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3" t="n">
        <f aca="false">SUM(B29:BC29)</f>
        <v>281173</v>
      </c>
      <c r="BE29" s="24" t="n">
        <f aca="false">BE28+1</f>
        <v>36701</v>
      </c>
      <c r="BF29" s="25"/>
      <c r="BG29" s="25"/>
      <c r="BH29" s="26"/>
      <c r="BI29" s="26"/>
    </row>
    <row r="30" customFormat="false" ht="12.75" hidden="false" customHeight="false" outlineLevel="0" collapsed="false">
      <c r="A30" s="20" t="n">
        <f aca="false">+BaseloadMarkets!A30</f>
        <v>36702</v>
      </c>
      <c r="B30" s="21" t="n">
        <v>3984</v>
      </c>
      <c r="C30" s="21"/>
      <c r="D30" s="21" t="n">
        <v>0</v>
      </c>
      <c r="E30" s="21" t="n">
        <v>4178</v>
      </c>
      <c r="F30" s="21" t="n">
        <v>1000</v>
      </c>
      <c r="G30" s="21" t="n">
        <v>5000</v>
      </c>
      <c r="H30" s="21" t="n">
        <v>10000</v>
      </c>
      <c r="I30" s="21" t="n">
        <v>10000</v>
      </c>
      <c r="J30" s="21" t="n">
        <v>3333</v>
      </c>
      <c r="K30" s="21" t="n">
        <v>1333</v>
      </c>
      <c r="L30" s="21" t="n">
        <v>15000</v>
      </c>
      <c r="M30" s="21" t="n">
        <v>5000</v>
      </c>
      <c r="N30" s="21" t="n">
        <v>5000</v>
      </c>
      <c r="O30" s="21" t="n">
        <v>10000</v>
      </c>
      <c r="P30" s="21" t="n">
        <v>10000</v>
      </c>
      <c r="Q30" s="21" t="n">
        <v>5000</v>
      </c>
      <c r="R30" s="21" t="n">
        <v>10000</v>
      </c>
      <c r="S30" s="21" t="n">
        <v>50000</v>
      </c>
      <c r="T30" s="21" t="n">
        <v>10000</v>
      </c>
      <c r="U30" s="21" t="n">
        <v>50000</v>
      </c>
      <c r="V30" s="21" t="n">
        <v>3228</v>
      </c>
      <c r="W30" s="21" t="n">
        <v>10000</v>
      </c>
      <c r="X30" s="21" t="n">
        <v>10000</v>
      </c>
      <c r="Y30" s="21" t="n">
        <v>10000</v>
      </c>
      <c r="Z30" s="21" t="n">
        <v>3600</v>
      </c>
      <c r="AA30" s="21"/>
      <c r="AB30" s="21" t="n">
        <v>5000</v>
      </c>
      <c r="AC30" s="21" t="n">
        <v>2000</v>
      </c>
      <c r="AD30" s="21"/>
      <c r="AE30" s="21"/>
      <c r="AF30" s="21" t="n">
        <v>1400</v>
      </c>
      <c r="AG30" s="21" t="n">
        <v>12916</v>
      </c>
      <c r="AH30" s="21"/>
      <c r="AI30" s="21"/>
      <c r="AJ30" s="21"/>
      <c r="AK30" s="21"/>
      <c r="AL30" s="21" t="n">
        <v>14091</v>
      </c>
      <c r="AM30" s="21"/>
      <c r="AN30" s="21"/>
      <c r="AO30" s="21"/>
      <c r="AP30" s="21"/>
      <c r="AQ30" s="22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3" t="n">
        <f aca="false">SUM(B30:BC30)</f>
        <v>281063</v>
      </c>
      <c r="BE30" s="24" t="n">
        <f aca="false">BE29+1</f>
        <v>36702</v>
      </c>
      <c r="BF30" s="25"/>
      <c r="BG30" s="25"/>
      <c r="BH30" s="26"/>
      <c r="BI30" s="26"/>
    </row>
    <row r="31" customFormat="false" ht="12.75" hidden="false" customHeight="false" outlineLevel="0" collapsed="false">
      <c r="A31" s="20" t="n">
        <f aca="false">+BaseloadMarkets!A31</f>
        <v>36703</v>
      </c>
      <c r="B31" s="21" t="n">
        <v>3984</v>
      </c>
      <c r="C31" s="21"/>
      <c r="D31" s="21" t="n">
        <v>30000</v>
      </c>
      <c r="E31" s="21" t="n">
        <v>4178</v>
      </c>
      <c r="F31" s="21" t="n">
        <v>1000</v>
      </c>
      <c r="G31" s="21" t="n">
        <v>5000</v>
      </c>
      <c r="H31" s="21" t="n">
        <v>10000</v>
      </c>
      <c r="I31" s="21" t="n">
        <v>10000</v>
      </c>
      <c r="J31" s="21" t="n">
        <v>3333</v>
      </c>
      <c r="K31" s="21" t="n">
        <v>1333</v>
      </c>
      <c r="L31" s="21" t="n">
        <v>15000</v>
      </c>
      <c r="M31" s="21" t="n">
        <v>5000</v>
      </c>
      <c r="N31" s="21" t="n">
        <v>5000</v>
      </c>
      <c r="O31" s="21" t="n">
        <v>10000</v>
      </c>
      <c r="P31" s="21" t="n">
        <v>10000</v>
      </c>
      <c r="Q31" s="21" t="n">
        <v>5000</v>
      </c>
      <c r="R31" s="21" t="n">
        <v>10000</v>
      </c>
      <c r="S31" s="21" t="n">
        <v>50000</v>
      </c>
      <c r="T31" s="21" t="n">
        <v>10000</v>
      </c>
      <c r="U31" s="21" t="n">
        <v>50000</v>
      </c>
      <c r="V31" s="21" t="n">
        <v>3379</v>
      </c>
      <c r="W31" s="21" t="n">
        <v>10000</v>
      </c>
      <c r="X31" s="21" t="n">
        <v>10000</v>
      </c>
      <c r="Y31" s="21" t="n">
        <v>10000</v>
      </c>
      <c r="Z31" s="21" t="n">
        <v>3600</v>
      </c>
      <c r="AA31" s="21"/>
      <c r="AB31" s="21" t="n">
        <v>5000</v>
      </c>
      <c r="AC31" s="21" t="n">
        <v>2000</v>
      </c>
      <c r="AD31" s="21"/>
      <c r="AE31" s="21"/>
      <c r="AF31" s="21" t="n">
        <v>1400</v>
      </c>
      <c r="AG31" s="21" t="n">
        <v>12916</v>
      </c>
      <c r="AH31" s="21"/>
      <c r="AI31" s="21"/>
      <c r="AJ31" s="21"/>
      <c r="AK31" s="21"/>
      <c r="AL31" s="21" t="n">
        <v>14091</v>
      </c>
      <c r="AM31" s="21"/>
      <c r="AN31" s="21" t="n">
        <v>10333</v>
      </c>
      <c r="AO31" s="21"/>
      <c r="AP31" s="21"/>
      <c r="AQ31" s="22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3" t="n">
        <f aca="false">SUM(B31:BC31)</f>
        <v>321547</v>
      </c>
      <c r="BE31" s="24" t="n">
        <f aca="false">BE30+1</f>
        <v>36703</v>
      </c>
      <c r="BF31" s="25"/>
      <c r="BG31" s="25"/>
      <c r="BH31" s="26"/>
      <c r="BI31" s="26"/>
    </row>
    <row r="32" customFormat="false" ht="12.75" hidden="false" customHeight="false" outlineLevel="0" collapsed="false">
      <c r="A32" s="20" t="n">
        <f aca="false">+BaseloadMarkets!A32</f>
        <v>36704</v>
      </c>
      <c r="B32" s="21" t="n">
        <v>3984</v>
      </c>
      <c r="C32" s="21"/>
      <c r="D32" s="21" t="n">
        <v>30000</v>
      </c>
      <c r="E32" s="21" t="n">
        <v>4178</v>
      </c>
      <c r="F32" s="21" t="n">
        <v>1000</v>
      </c>
      <c r="G32" s="21" t="n">
        <v>5000</v>
      </c>
      <c r="H32" s="21" t="n">
        <v>10000</v>
      </c>
      <c r="I32" s="21" t="n">
        <v>10000</v>
      </c>
      <c r="J32" s="21" t="n">
        <v>3333</v>
      </c>
      <c r="K32" s="21" t="n">
        <v>1333</v>
      </c>
      <c r="L32" s="21" t="n">
        <v>15000</v>
      </c>
      <c r="M32" s="21" t="n">
        <v>5000</v>
      </c>
      <c r="N32" s="21" t="n">
        <v>5000</v>
      </c>
      <c r="O32" s="21" t="n">
        <v>10000</v>
      </c>
      <c r="P32" s="21" t="n">
        <v>10000</v>
      </c>
      <c r="Q32" s="21" t="n">
        <v>5000</v>
      </c>
      <c r="R32" s="21" t="n">
        <v>10000</v>
      </c>
      <c r="S32" s="21" t="n">
        <v>50000</v>
      </c>
      <c r="T32" s="21" t="n">
        <v>10000</v>
      </c>
      <c r="U32" s="21" t="n">
        <v>50000</v>
      </c>
      <c r="V32" s="21" t="n">
        <v>5000</v>
      </c>
      <c r="W32" s="21" t="n">
        <v>10000</v>
      </c>
      <c r="X32" s="21" t="n">
        <v>10000</v>
      </c>
      <c r="Y32" s="21" t="n">
        <v>10000</v>
      </c>
      <c r="Z32" s="21" t="n">
        <v>3600</v>
      </c>
      <c r="AA32" s="21"/>
      <c r="AB32" s="21" t="n">
        <v>5000</v>
      </c>
      <c r="AC32" s="21" t="n">
        <v>389</v>
      </c>
      <c r="AD32" s="21"/>
      <c r="AE32" s="21"/>
      <c r="AF32" s="21" t="n">
        <v>1400</v>
      </c>
      <c r="AG32" s="21" t="n">
        <v>12916</v>
      </c>
      <c r="AH32" s="21"/>
      <c r="AI32" s="21"/>
      <c r="AJ32" s="21"/>
      <c r="AK32" s="21"/>
      <c r="AL32" s="21" t="n">
        <v>14091</v>
      </c>
      <c r="AM32" s="21"/>
      <c r="AN32" s="21" t="n">
        <v>10333</v>
      </c>
      <c r="AO32" s="21"/>
      <c r="AP32" s="21" t="n">
        <v>5000</v>
      </c>
      <c r="AQ32" s="22"/>
      <c r="AR32" s="21"/>
      <c r="AS32" s="21"/>
      <c r="AT32" s="21" t="n">
        <v>124000</v>
      </c>
      <c r="AU32" s="21"/>
      <c r="AV32" s="21"/>
      <c r="AW32" s="21" t="n">
        <v>1969</v>
      </c>
      <c r="AX32" s="21" t="n">
        <v>10000</v>
      </c>
      <c r="AY32" s="21" t="n">
        <v>4649</v>
      </c>
      <c r="AZ32" s="21"/>
      <c r="BA32" s="21"/>
      <c r="BB32" s="21"/>
      <c r="BC32" s="21"/>
      <c r="BD32" s="23" t="n">
        <f aca="false">SUM(B32:BC32)</f>
        <v>467175</v>
      </c>
      <c r="BE32" s="24" t="n">
        <f aca="false">BE31+1</f>
        <v>36704</v>
      </c>
      <c r="BF32" s="25"/>
      <c r="BG32" s="25"/>
      <c r="BH32" s="26"/>
      <c r="BI32" s="26"/>
    </row>
    <row r="33" customFormat="false" ht="12.75" hidden="false" customHeight="false" outlineLevel="0" collapsed="false">
      <c r="A33" s="20" t="n">
        <f aca="false">+BaseloadMarkets!A33</f>
        <v>36705</v>
      </c>
      <c r="B33" s="21" t="n">
        <v>3850</v>
      </c>
      <c r="C33" s="21"/>
      <c r="D33" s="21" t="n">
        <v>30000</v>
      </c>
      <c r="E33" s="21" t="n">
        <v>4178</v>
      </c>
      <c r="F33" s="21" t="n">
        <v>1000</v>
      </c>
      <c r="G33" s="21" t="n">
        <v>5000</v>
      </c>
      <c r="H33" s="21" t="n">
        <v>10000</v>
      </c>
      <c r="I33" s="21" t="n">
        <v>10000</v>
      </c>
      <c r="J33" s="21" t="n">
        <v>3333</v>
      </c>
      <c r="K33" s="21" t="n">
        <v>1333</v>
      </c>
      <c r="L33" s="21" t="n">
        <v>15000</v>
      </c>
      <c r="M33" s="21" t="n">
        <v>5000</v>
      </c>
      <c r="N33" s="21" t="n">
        <v>5000</v>
      </c>
      <c r="O33" s="21" t="n">
        <v>10000</v>
      </c>
      <c r="P33" s="21" t="n">
        <v>10000</v>
      </c>
      <c r="Q33" s="21" t="n">
        <v>5000</v>
      </c>
      <c r="R33" s="21" t="n">
        <v>10000</v>
      </c>
      <c r="S33" s="21" t="n">
        <v>50000</v>
      </c>
      <c r="T33" s="21" t="n">
        <v>10000</v>
      </c>
      <c r="U33" s="21" t="n">
        <v>50000</v>
      </c>
      <c r="V33" s="21" t="n">
        <v>5000</v>
      </c>
      <c r="W33" s="21" t="n">
        <v>10000</v>
      </c>
      <c r="X33" s="21" t="n">
        <v>10000</v>
      </c>
      <c r="Y33" s="21" t="n">
        <v>10000</v>
      </c>
      <c r="Z33" s="21" t="n">
        <v>3600</v>
      </c>
      <c r="AA33" s="21"/>
      <c r="AB33" s="21" t="n">
        <v>5000</v>
      </c>
      <c r="AC33" s="21"/>
      <c r="AD33" s="21"/>
      <c r="AE33" s="21"/>
      <c r="AF33" s="21" t="n">
        <v>1400</v>
      </c>
      <c r="AG33" s="21" t="n">
        <v>12916</v>
      </c>
      <c r="AH33" s="21"/>
      <c r="AI33" s="21"/>
      <c r="AJ33" s="21"/>
      <c r="AK33" s="21"/>
      <c r="AL33" s="21" t="n">
        <v>14091</v>
      </c>
      <c r="AM33" s="21"/>
      <c r="AN33" s="21" t="n">
        <v>10333</v>
      </c>
      <c r="AO33" s="21" t="n">
        <f aca="false">9898+9897</f>
        <v>19795</v>
      </c>
      <c r="AP33" s="21" t="n">
        <f aca="false">5000+10000</f>
        <v>15000</v>
      </c>
      <c r="AQ33" s="22"/>
      <c r="AR33" s="21"/>
      <c r="AS33" s="21"/>
      <c r="AT33" s="21"/>
      <c r="AU33" s="21"/>
      <c r="AV33" s="21"/>
      <c r="AW33" s="21" t="n">
        <v>0</v>
      </c>
      <c r="AX33" s="21" t="n">
        <v>17030</v>
      </c>
      <c r="AY33" s="21" t="n">
        <v>5000</v>
      </c>
      <c r="AZ33" s="21" t="n">
        <f aca="false">24000+20000</f>
        <v>44000</v>
      </c>
      <c r="BA33" s="21" t="n">
        <f aca="false">500+6247+25000</f>
        <v>31747</v>
      </c>
      <c r="BB33" s="21"/>
      <c r="BC33" s="21"/>
      <c r="BD33" s="23" t="n">
        <f aca="false">SUM(B33:BC33)</f>
        <v>453606</v>
      </c>
      <c r="BE33" s="24" t="n">
        <f aca="false">BE32+1</f>
        <v>36705</v>
      </c>
      <c r="BF33" s="25"/>
      <c r="BG33" s="25"/>
      <c r="BH33" s="26"/>
      <c r="BI33" s="26"/>
    </row>
    <row r="34" customFormat="false" ht="12.75" hidden="false" customHeight="false" outlineLevel="0" collapsed="false">
      <c r="A34" s="20" t="n">
        <f aca="false">+BaseloadMarkets!A34</f>
        <v>36706</v>
      </c>
      <c r="B34" s="21" t="n">
        <f aca="false">987+2997</f>
        <v>3984</v>
      </c>
      <c r="C34" s="21"/>
      <c r="D34" s="21" t="n">
        <f aca="false">20000-8000</f>
        <v>12000</v>
      </c>
      <c r="E34" s="21" t="n">
        <v>4178</v>
      </c>
      <c r="F34" s="21" t="n">
        <v>1000</v>
      </c>
      <c r="G34" s="21" t="n">
        <v>5000</v>
      </c>
      <c r="H34" s="21" t="n">
        <v>10000</v>
      </c>
      <c r="I34" s="21" t="n">
        <v>10000</v>
      </c>
      <c r="J34" s="21" t="n">
        <v>3333</v>
      </c>
      <c r="K34" s="21" t="n">
        <v>1333</v>
      </c>
      <c r="L34" s="21" t="n">
        <v>15000</v>
      </c>
      <c r="M34" s="21" t="n">
        <v>5000</v>
      </c>
      <c r="N34" s="21" t="n">
        <v>5000</v>
      </c>
      <c r="O34" s="21" t="n">
        <v>10000</v>
      </c>
      <c r="P34" s="21" t="n">
        <v>10000</v>
      </c>
      <c r="Q34" s="21" t="n">
        <v>5000</v>
      </c>
      <c r="R34" s="21" t="n">
        <v>10000</v>
      </c>
      <c r="S34" s="21" t="n">
        <v>50000</v>
      </c>
      <c r="T34" s="21" t="n">
        <v>10000</v>
      </c>
      <c r="U34" s="21" t="n">
        <v>50000</v>
      </c>
      <c r="V34" s="21" t="n">
        <v>5000</v>
      </c>
      <c r="W34" s="21" t="n">
        <v>10000</v>
      </c>
      <c r="X34" s="21" t="n">
        <v>10000</v>
      </c>
      <c r="Y34" s="21" t="n">
        <v>10000</v>
      </c>
      <c r="Z34" s="21" t="n">
        <v>3600</v>
      </c>
      <c r="AA34" s="21"/>
      <c r="AB34" s="21" t="n">
        <v>5000</v>
      </c>
      <c r="AC34" s="21"/>
      <c r="AD34" s="21"/>
      <c r="AE34" s="21"/>
      <c r="AF34" s="21" t="n">
        <v>1400</v>
      </c>
      <c r="AG34" s="21" t="n">
        <v>12916</v>
      </c>
      <c r="AH34" s="21"/>
      <c r="AI34" s="21"/>
      <c r="AJ34" s="21"/>
      <c r="AK34" s="21"/>
      <c r="AL34" s="21" t="n">
        <v>14091</v>
      </c>
      <c r="AM34" s="21"/>
      <c r="AN34" s="21" t="n">
        <v>10333</v>
      </c>
      <c r="AO34" s="21"/>
      <c r="AP34" s="21" t="n">
        <v>5000</v>
      </c>
      <c r="AQ34" s="22"/>
      <c r="AR34" s="21"/>
      <c r="AS34" s="21"/>
      <c r="AT34" s="21"/>
      <c r="AU34" s="21"/>
      <c r="AV34" s="21"/>
      <c r="AW34" s="21"/>
      <c r="AX34" s="21"/>
      <c r="AY34" s="21"/>
      <c r="AZ34" s="21" t="n">
        <v>24000</v>
      </c>
      <c r="BA34" s="21"/>
      <c r="BB34" s="21"/>
      <c r="BC34" s="21"/>
      <c r="BD34" s="23" t="n">
        <f aca="false">SUM(B34:BC34)</f>
        <v>332168</v>
      </c>
      <c r="BE34" s="24" t="n">
        <f aca="false">BE33+1</f>
        <v>36706</v>
      </c>
      <c r="BF34" s="25"/>
      <c r="BG34" s="25"/>
      <c r="BH34" s="26"/>
      <c r="BI34" s="26"/>
    </row>
    <row r="35" customFormat="false" ht="12.75" hidden="false" customHeight="false" outlineLevel="0" collapsed="false">
      <c r="A35" s="20" t="n">
        <f aca="false">+BaseloadMarkets!A35</f>
        <v>36707</v>
      </c>
      <c r="B35" s="21" t="n">
        <v>3984</v>
      </c>
      <c r="C35" s="21" t="n">
        <f aca="false">18983-3984</f>
        <v>14999</v>
      </c>
      <c r="D35" s="21" t="n">
        <v>0</v>
      </c>
      <c r="E35" s="21" t="n">
        <v>4178</v>
      </c>
      <c r="F35" s="21" t="n">
        <v>1000</v>
      </c>
      <c r="G35" s="21" t="n">
        <v>5000</v>
      </c>
      <c r="H35" s="21" t="n">
        <v>10000</v>
      </c>
      <c r="I35" s="21" t="n">
        <v>10000</v>
      </c>
      <c r="J35" s="21" t="n">
        <v>3333</v>
      </c>
      <c r="K35" s="21" t="n">
        <v>1333</v>
      </c>
      <c r="L35" s="21" t="n">
        <v>15000</v>
      </c>
      <c r="M35" s="21" t="n">
        <v>5000</v>
      </c>
      <c r="N35" s="21" t="n">
        <v>5000</v>
      </c>
      <c r="O35" s="21" t="n">
        <v>10000</v>
      </c>
      <c r="P35" s="21" t="n">
        <v>10000</v>
      </c>
      <c r="Q35" s="21" t="n">
        <v>5000</v>
      </c>
      <c r="R35" s="21" t="n">
        <v>10000</v>
      </c>
      <c r="S35" s="21" t="n">
        <v>50000</v>
      </c>
      <c r="T35" s="21" t="n">
        <v>10000</v>
      </c>
      <c r="U35" s="21" t="n">
        <v>50000</v>
      </c>
      <c r="V35" s="21" t="n">
        <v>5000</v>
      </c>
      <c r="W35" s="21" t="n">
        <v>10000</v>
      </c>
      <c r="X35" s="21" t="n">
        <v>5931</v>
      </c>
      <c r="Y35" s="21" t="n">
        <v>10000</v>
      </c>
      <c r="Z35" s="21" t="n">
        <v>3600</v>
      </c>
      <c r="AA35" s="21"/>
      <c r="AB35" s="21" t="n">
        <v>5000</v>
      </c>
      <c r="AC35" s="21"/>
      <c r="AD35" s="21"/>
      <c r="AE35" s="21"/>
      <c r="AF35" s="21" t="n">
        <v>1400</v>
      </c>
      <c r="AG35" s="21" t="n">
        <v>12916</v>
      </c>
      <c r="AH35" s="21"/>
      <c r="AI35" s="21"/>
      <c r="AJ35" s="21"/>
      <c r="AK35" s="21"/>
      <c r="AL35" s="21" t="n">
        <f aca="false">14086</f>
        <v>14086</v>
      </c>
      <c r="AM35" s="21"/>
      <c r="AN35" s="21" t="n">
        <v>10338</v>
      </c>
      <c r="AO35" s="21"/>
      <c r="AP35" s="21"/>
      <c r="AQ35" s="22"/>
      <c r="AR35" s="21"/>
      <c r="AS35" s="21"/>
      <c r="AT35" s="21"/>
      <c r="AU35" s="21"/>
      <c r="AV35" s="21"/>
      <c r="AW35" s="21"/>
      <c r="AX35" s="21"/>
      <c r="AY35" s="21"/>
      <c r="AZ35" s="21" t="n">
        <v>13016</v>
      </c>
      <c r="BA35" s="21"/>
      <c r="BB35" s="21"/>
      <c r="BC35" s="21"/>
      <c r="BD35" s="23" t="n">
        <f aca="false">SUM(B35:BC35)</f>
        <v>315114</v>
      </c>
      <c r="BE35" s="24" t="n">
        <f aca="false">BE34+1</f>
        <v>36707</v>
      </c>
      <c r="BF35" s="25"/>
      <c r="BG35" s="25"/>
      <c r="BH35" s="26"/>
      <c r="BI35" s="26"/>
    </row>
    <row r="36" customFormat="false" ht="12.75" hidden="false" customHeight="false" outlineLevel="0" collapsed="false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2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3"/>
      <c r="BE36" s="24"/>
      <c r="BF36" s="25"/>
      <c r="BG36" s="25"/>
      <c r="BH36" s="26"/>
      <c r="BI36" s="26"/>
    </row>
    <row r="37" customFormat="false" ht="12.75" hidden="false" customHeight="false" outlineLevel="0" collapsed="false">
      <c r="A37" s="27" t="s">
        <v>72</v>
      </c>
      <c r="B37" s="28" t="n">
        <f aca="false">SUM(B6:B36)</f>
        <v>119380</v>
      </c>
      <c r="C37" s="28" t="n">
        <f aca="false">SUM(C6:C36)</f>
        <v>71342</v>
      </c>
      <c r="D37" s="28" t="n">
        <f aca="false">SUM(D6:D36)</f>
        <v>600000</v>
      </c>
      <c r="E37" s="28" t="n">
        <f aca="false">SUM(E6:E36)</f>
        <v>125340</v>
      </c>
      <c r="F37" s="28" t="n">
        <f aca="false">SUM(F6:F36)</f>
        <v>30000</v>
      </c>
      <c r="G37" s="28" t="n">
        <f aca="false">SUM(G6:G36)</f>
        <v>141463</v>
      </c>
      <c r="H37" s="28" t="n">
        <f aca="false">SUM(H6:H36)</f>
        <v>262094</v>
      </c>
      <c r="I37" s="28" t="n">
        <f aca="false">SUM(I6:I36)</f>
        <v>300000</v>
      </c>
      <c r="J37" s="28" t="n">
        <f aca="false">SUM(J6:J36)</f>
        <v>99990</v>
      </c>
      <c r="K37" s="28" t="n">
        <f aca="false">SUM(K6:K36)</f>
        <v>39990</v>
      </c>
      <c r="L37" s="28" t="n">
        <f aca="false">SUM(L6:L36)</f>
        <v>430714</v>
      </c>
      <c r="M37" s="28" t="n">
        <f aca="false">SUM(M6:M36)</f>
        <v>150000</v>
      </c>
      <c r="N37" s="28" t="n">
        <f aca="false">SUM(N6:N36)</f>
        <v>150000</v>
      </c>
      <c r="O37" s="28" t="n">
        <f aca="false">SUM(O6:O36)</f>
        <v>300000</v>
      </c>
      <c r="P37" s="28" t="n">
        <f aca="false">SUM(P6:P36)</f>
        <v>300000</v>
      </c>
      <c r="Q37" s="28" t="n">
        <f aca="false">SUM(Q6:Q36)</f>
        <v>148884</v>
      </c>
      <c r="R37" s="28" t="n">
        <f aca="false">SUM(R6:R36)</f>
        <v>300000</v>
      </c>
      <c r="S37" s="28" t="n">
        <f aca="false">SUM(S6:S36)</f>
        <v>1500000</v>
      </c>
      <c r="T37" s="28" t="n">
        <f aca="false">SUM(T6:T36)</f>
        <v>300000</v>
      </c>
      <c r="U37" s="28" t="n">
        <f aca="false">SUM(U6:U36)</f>
        <v>1370650</v>
      </c>
      <c r="V37" s="28" t="n">
        <f aca="false">SUM(V6:V36)</f>
        <v>134974</v>
      </c>
      <c r="W37" s="28" t="n">
        <f aca="false">SUM(W6:W36)</f>
        <v>300000</v>
      </c>
      <c r="X37" s="28" t="n">
        <f aca="false">SUM(X6:X36)</f>
        <v>274112</v>
      </c>
      <c r="Y37" s="28" t="n">
        <f aca="false">SUM(Y6:Y36)</f>
        <v>299519</v>
      </c>
      <c r="Z37" s="28" t="n">
        <f aca="false">SUM(Z6:Z36)</f>
        <v>108000</v>
      </c>
      <c r="AA37" s="28" t="n">
        <f aca="false">SUM(AA6:AA36)</f>
        <v>19223</v>
      </c>
      <c r="AB37" s="28" t="n">
        <f aca="false">SUM(AB6:AB36)</f>
        <v>125000</v>
      </c>
      <c r="AC37" s="28" t="n">
        <f aca="false">SUM(AC6:AC36)</f>
        <v>109802</v>
      </c>
      <c r="AD37" s="28" t="n">
        <f aca="false">SUM(AD6:AD36)</f>
        <v>45935</v>
      </c>
      <c r="AE37" s="28" t="n">
        <f aca="false">SUM(AE6:AE36)</f>
        <v>232</v>
      </c>
      <c r="AF37" s="28" t="n">
        <f aca="false">SUM(AF6:AF36)</f>
        <v>35000</v>
      </c>
      <c r="AG37" s="28" t="n">
        <f aca="false">SUM(AG6:AG36)</f>
        <v>310000</v>
      </c>
      <c r="AH37" s="28" t="n">
        <f aca="false">SUM(AH6:AH36)</f>
        <v>10000</v>
      </c>
      <c r="AI37" s="28" t="n">
        <f aca="false">SUM(AI6:AI36)</f>
        <v>5000</v>
      </c>
      <c r="AJ37" s="28" t="n">
        <f aca="false">SUM(AJ6:AJ36)</f>
        <v>9100</v>
      </c>
      <c r="AK37" s="28" t="n">
        <f aca="false">SUM(AK6:AK36)</f>
        <v>20000</v>
      </c>
      <c r="AL37" s="28" t="n">
        <f aca="false">SUM(AL6:AL36)</f>
        <v>309997</v>
      </c>
      <c r="AM37" s="28"/>
      <c r="AN37" s="28" t="n">
        <f aca="false">SUM(AN6:AN36)</f>
        <v>155000</v>
      </c>
      <c r="AO37" s="28" t="n">
        <f aca="false">SUM(AO6:AO36)</f>
        <v>24507</v>
      </c>
      <c r="AP37" s="28" t="n">
        <f aca="false">SUM(AP6:AP36)</f>
        <v>45000</v>
      </c>
      <c r="AQ37" s="28" t="n">
        <f aca="false">SUM(AQ6:AQ36)</f>
        <v>10000</v>
      </c>
      <c r="AR37" s="28" t="n">
        <f aca="false">SUM(AR6:AR36)</f>
        <v>10000</v>
      </c>
      <c r="AS37" s="28" t="n">
        <f aca="false">SUM(AS6:AS36)</f>
        <v>10000</v>
      </c>
      <c r="AT37" s="28" t="n">
        <f aca="false">SUM(AT6:AT36)</f>
        <v>434000</v>
      </c>
      <c r="AU37" s="28" t="n">
        <f aca="false">SUM(AU6:AU36)</f>
        <v>10000</v>
      </c>
      <c r="AV37" s="28" t="n">
        <f aca="false">SUM(AV6:AV36)</f>
        <v>2000</v>
      </c>
      <c r="AW37" s="28" t="n">
        <f aca="false">SUM(AW6:AW36)</f>
        <v>1969</v>
      </c>
      <c r="AX37" s="28" t="n">
        <f aca="false">SUM(AX6:AX36)</f>
        <v>27030</v>
      </c>
      <c r="AY37" s="28"/>
      <c r="AZ37" s="28"/>
      <c r="BA37" s="28"/>
      <c r="BB37" s="28" t="n">
        <f aca="false">SUM(BB6:BB36)</f>
        <v>10000</v>
      </c>
      <c r="BC37" s="28" t="n">
        <f aca="false">SUM(BC6:BC36)</f>
        <v>10000</v>
      </c>
      <c r="BD37" s="28" t="n">
        <f aca="false">SUM(BD6:BD36)</f>
        <v>9757659</v>
      </c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</row>
    <row r="38" customFormat="false" ht="12.75" hidden="false" customHeight="false" outlineLevel="0" collapsed="false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2"/>
      <c r="BE38" s="33"/>
    </row>
    <row r="39" customFormat="false" ht="12.75" hidden="false" customHeight="false" outlineLevel="0" collapsed="false">
      <c r="A39" s="34" t="s">
        <v>73</v>
      </c>
      <c r="B39" s="35" t="n">
        <f aca="false">B37-(3988*30)</f>
        <v>-260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  <c r="AR39" s="38" t="n">
        <f aca="false">1+AQ39</f>
        <v>1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5"/>
      <c r="BE39" s="39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customFormat="false" ht="12.75" hidden="false" customHeight="false" outlineLevel="0" collapsed="false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7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2"/>
      <c r="BE40" s="33"/>
    </row>
    <row r="41" customFormat="false" ht="12.75" hidden="false" customHeight="false" outlineLevel="0" collapsed="false">
      <c r="A41" s="1" t="n">
        <v>1</v>
      </c>
      <c r="B41" s="40" t="n">
        <f aca="false">+A41+1</f>
        <v>2</v>
      </c>
      <c r="C41" s="40" t="n">
        <f aca="false">+B41+1</f>
        <v>3</v>
      </c>
      <c r="D41" s="40" t="n">
        <f aca="false">+C41+1</f>
        <v>4</v>
      </c>
      <c r="E41" s="40" t="n">
        <f aca="false">+D41+1</f>
        <v>5</v>
      </c>
      <c r="F41" s="40" t="n">
        <f aca="false">+E41+1</f>
        <v>6</v>
      </c>
      <c r="G41" s="40" t="n">
        <f aca="false">+F41+1</f>
        <v>7</v>
      </c>
      <c r="H41" s="40" t="n">
        <f aca="false">+G41+1</f>
        <v>8</v>
      </c>
      <c r="I41" s="40" t="n">
        <f aca="false">+H41+1</f>
        <v>9</v>
      </c>
      <c r="J41" s="40" t="n">
        <f aca="false">+I41+1</f>
        <v>10</v>
      </c>
      <c r="K41" s="40" t="n">
        <f aca="false">+J41+1</f>
        <v>11</v>
      </c>
      <c r="L41" s="40" t="n">
        <f aca="false">+K41+1</f>
        <v>12</v>
      </c>
      <c r="M41" s="40" t="n">
        <f aca="false">+L41+1</f>
        <v>13</v>
      </c>
      <c r="N41" s="40" t="n">
        <f aca="false">+M41+1</f>
        <v>14</v>
      </c>
      <c r="O41" s="40" t="n">
        <f aca="false">+N41+1</f>
        <v>15</v>
      </c>
      <c r="P41" s="40" t="n">
        <f aca="false">+O41+1</f>
        <v>16</v>
      </c>
      <c r="Q41" s="40" t="n">
        <f aca="false">+P41+1</f>
        <v>17</v>
      </c>
      <c r="R41" s="40" t="n">
        <f aca="false">+Q41+1</f>
        <v>18</v>
      </c>
      <c r="S41" s="40" t="n">
        <f aca="false">+R41+1</f>
        <v>19</v>
      </c>
      <c r="T41" s="40" t="n">
        <f aca="false">+S41+1</f>
        <v>20</v>
      </c>
      <c r="U41" s="40" t="n">
        <f aca="false">+T41+1</f>
        <v>21</v>
      </c>
      <c r="V41" s="40" t="n">
        <f aca="false">+U41+1</f>
        <v>22</v>
      </c>
      <c r="W41" s="40" t="n">
        <f aca="false">+V41+1</f>
        <v>23</v>
      </c>
      <c r="X41" s="40" t="n">
        <f aca="false">+W41+1</f>
        <v>24</v>
      </c>
      <c r="Y41" s="40" t="n">
        <f aca="false">+X41+1</f>
        <v>25</v>
      </c>
      <c r="Z41" s="40" t="n">
        <f aca="false">+Y41+1</f>
        <v>26</v>
      </c>
      <c r="AA41" s="40" t="n">
        <f aca="false">+Z41+1</f>
        <v>27</v>
      </c>
      <c r="AB41" s="40" t="n">
        <f aca="false">+AA41+1</f>
        <v>28</v>
      </c>
      <c r="AC41" s="40" t="n">
        <f aca="false">+AB41+1</f>
        <v>29</v>
      </c>
      <c r="AD41" s="40" t="n">
        <f aca="false">+AC41+1</f>
        <v>30</v>
      </c>
      <c r="AE41" s="40" t="n">
        <f aca="false">+AD41+1</f>
        <v>31</v>
      </c>
      <c r="AF41" s="40" t="n">
        <f aca="false">+AE41+1</f>
        <v>32</v>
      </c>
      <c r="AG41" s="40" t="n">
        <f aca="false">+AF41+1</f>
        <v>33</v>
      </c>
      <c r="AH41" s="40" t="n">
        <f aca="false">+AG41+1</f>
        <v>34</v>
      </c>
      <c r="AI41" s="40" t="n">
        <f aca="false">+AH41+1</f>
        <v>35</v>
      </c>
      <c r="AJ41" s="40" t="n">
        <f aca="false">+AI41+1</f>
        <v>36</v>
      </c>
      <c r="AK41" s="40" t="n">
        <f aca="false">+AJ41+1</f>
        <v>37</v>
      </c>
      <c r="AL41" s="40" t="n">
        <f aca="false">+AK41+1</f>
        <v>38</v>
      </c>
      <c r="AM41" s="40" t="n">
        <f aca="false">+AL41+1</f>
        <v>39</v>
      </c>
      <c r="AN41" s="40" t="n">
        <f aca="false">+AM41+1</f>
        <v>40</v>
      </c>
      <c r="AO41" s="40" t="n">
        <f aca="false">+AN41+1</f>
        <v>41</v>
      </c>
      <c r="AP41" s="40" t="n">
        <f aca="false">+AO41+1</f>
        <v>42</v>
      </c>
      <c r="AQ41" s="40" t="n">
        <f aca="false">+AP41+1</f>
        <v>43</v>
      </c>
      <c r="AR41" s="40" t="n">
        <f aca="false">+AQ41+1</f>
        <v>44</v>
      </c>
      <c r="AS41" s="40" t="n">
        <f aca="false">+AR41+1</f>
        <v>45</v>
      </c>
      <c r="AT41" s="40" t="n">
        <f aca="false">+AS41+1</f>
        <v>46</v>
      </c>
      <c r="AU41" s="40" t="n">
        <f aca="false">+AT41+1</f>
        <v>47</v>
      </c>
      <c r="AV41" s="40" t="n">
        <f aca="false">+AU41+1</f>
        <v>48</v>
      </c>
      <c r="AW41" s="40" t="n">
        <f aca="false">+AV41+1</f>
        <v>49</v>
      </c>
      <c r="AX41" s="40" t="n">
        <f aca="false">+AW41+1</f>
        <v>50</v>
      </c>
      <c r="AY41" s="40" t="n">
        <f aca="false">+AX41+1</f>
        <v>51</v>
      </c>
      <c r="AZ41" s="40" t="n">
        <f aca="false">+AY41+1</f>
        <v>52</v>
      </c>
      <c r="BA41" s="40" t="n">
        <f aca="false">+AZ41+1</f>
        <v>53</v>
      </c>
      <c r="BB41" s="40" t="n">
        <f aca="false">+BA41+1</f>
        <v>54</v>
      </c>
      <c r="BC41" s="40" t="n">
        <f aca="false">+BB41+1</f>
        <v>55</v>
      </c>
      <c r="BD41" s="40" t="n">
        <f aca="false">+BC41+1</f>
        <v>56</v>
      </c>
      <c r="BE41" s="40" t="n">
        <f aca="false">+BD41+1</f>
        <v>57</v>
      </c>
    </row>
    <row r="42" customFormat="false" ht="12.75" hidden="false" customHeight="false" outlineLevel="0" collapsed="false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7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2"/>
      <c r="BE42" s="33"/>
    </row>
    <row r="43" customFormat="false" ht="12.75" hidden="false" customHeight="false" outlineLevel="0" collapsed="false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7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2"/>
      <c r="BE43" s="33"/>
    </row>
    <row r="44" customFormat="false" ht="12.75" hidden="false" customHeight="false" outlineLevel="0" collapsed="false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2"/>
      <c r="BE44" s="33"/>
    </row>
    <row r="45" customFormat="false" ht="12.75" hidden="false" customHeight="false" outlineLevel="0" collapsed="false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2"/>
      <c r="BE45" s="33"/>
    </row>
    <row r="46" customFormat="false" ht="12.75" hidden="false" customHeight="false" outlineLevel="0" collapsed="false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2"/>
      <c r="BE46" s="33"/>
    </row>
    <row r="47" customFormat="false" ht="12.75" hidden="false" customHeight="false" outlineLevel="0" collapsed="false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2"/>
      <c r="BE47" s="33"/>
    </row>
    <row r="48" customFormat="false" ht="12.75" hidden="false" customHeight="false" outlineLevel="0" collapsed="false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2"/>
    </row>
    <row r="49" customFormat="false" ht="12.75" hidden="false" customHeight="false" outlineLevel="0" collapsed="false"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2"/>
    </row>
    <row r="50" customFormat="false" ht="12.75" hidden="false" customHeight="false" outlineLevel="0" collapsed="false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2"/>
    </row>
  </sheetData>
  <printOptions headings="false" gridLines="tru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F4" activeCellId="0" sqref="F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4.32"/>
    <col collapsed="false" customWidth="true" hidden="false" outlineLevel="0" max="4" min="2" style="21" width="11.82"/>
    <col collapsed="false" customWidth="true" hidden="false" outlineLevel="0" max="5" min="5" style="384" width="12.82"/>
    <col collapsed="false" customWidth="true" hidden="false" outlineLevel="0" max="6" min="6" style="384" width="11.82"/>
    <col collapsed="false" customWidth="true" hidden="false" outlineLevel="0" max="7" min="7" style="385" width="11.82"/>
    <col collapsed="false" customWidth="true" hidden="false" outlineLevel="0" max="10" min="8" style="21" width="11.82"/>
    <col collapsed="false" customWidth="true" hidden="false" outlineLevel="0" max="11" min="11" style="384" width="12.49"/>
    <col collapsed="false" customWidth="true" hidden="false" outlineLevel="0" max="12" min="12" style="384" width="11.82"/>
    <col collapsed="false" customWidth="true" hidden="false" outlineLevel="0" max="13" min="13" style="385" width="11.82"/>
    <col collapsed="false" customWidth="true" hidden="false" outlineLevel="0" max="16" min="14" style="21" width="11.82"/>
    <col collapsed="false" customWidth="true" hidden="false" outlineLevel="0" max="17" min="17" style="384" width="12.49"/>
    <col collapsed="false" customWidth="true" hidden="false" outlineLevel="0" max="18" min="18" style="384" width="11.82"/>
    <col collapsed="false" customWidth="true" hidden="false" outlineLevel="0" max="19" min="19" style="385" width="11.82"/>
    <col collapsed="false" customWidth="true" hidden="false" outlineLevel="0" max="22" min="20" style="384" width="11.82"/>
    <col collapsed="false" customWidth="true" hidden="false" outlineLevel="0" max="23" min="23" style="384" width="12.99"/>
    <col collapsed="false" customWidth="true" hidden="false" outlineLevel="0" max="24" min="24" style="384" width="11.82"/>
    <col collapsed="false" customWidth="true" hidden="false" outlineLevel="0" max="25" min="25" style="385" width="11.82"/>
    <col collapsed="false" customWidth="true" hidden="false" outlineLevel="0" max="28" min="26" style="384" width="11.82"/>
    <col collapsed="false" customWidth="true" hidden="false" outlineLevel="0" max="29" min="29" style="384" width="12.99"/>
    <col collapsed="false" customWidth="true" hidden="false" outlineLevel="0" max="30" min="30" style="384" width="11.82"/>
    <col collapsed="false" customWidth="true" hidden="false" outlineLevel="0" max="31" min="31" style="385" width="11.82"/>
    <col collapsed="false" customWidth="true" hidden="false" outlineLevel="0" max="34" min="32" style="384" width="11.82"/>
    <col collapsed="false" customWidth="true" hidden="false" outlineLevel="0" max="35" min="35" style="384" width="12.99"/>
    <col collapsed="false" customWidth="true" hidden="false" outlineLevel="0" max="36" min="36" style="384" width="11.82"/>
    <col collapsed="false" customWidth="true" hidden="false" outlineLevel="0" max="37" min="37" style="385" width="11.82"/>
    <col collapsed="false" customWidth="true" hidden="false" outlineLevel="0" max="40" min="38" style="384" width="11.82"/>
    <col collapsed="false" customWidth="true" hidden="false" outlineLevel="0" max="41" min="41" style="384" width="12.99"/>
    <col collapsed="false" customWidth="true" hidden="false" outlineLevel="0" max="42" min="42" style="384" width="11.82"/>
    <col collapsed="false" customWidth="true" hidden="false" outlineLevel="0" max="43" min="43" style="385" width="11.82"/>
    <col collapsed="false" customWidth="true" hidden="false" outlineLevel="0" max="46" min="44" style="384" width="11.82"/>
    <col collapsed="false" customWidth="true" hidden="false" outlineLevel="0" max="47" min="47" style="384" width="12.99"/>
    <col collapsed="false" customWidth="true" hidden="false" outlineLevel="0" max="48" min="48" style="384" width="11.82"/>
    <col collapsed="false" customWidth="true" hidden="false" outlineLevel="0" max="49" min="49" style="385" width="11.82"/>
    <col collapsed="false" customWidth="true" hidden="false" outlineLevel="0" max="52" min="50" style="384" width="11.82"/>
    <col collapsed="false" customWidth="true" hidden="false" outlineLevel="0" max="53" min="53" style="384" width="12.99"/>
    <col collapsed="false" customWidth="true" hidden="false" outlineLevel="0" max="54" min="54" style="384" width="11.82"/>
    <col collapsed="false" customWidth="true" hidden="false" outlineLevel="0" max="56" min="55" style="385" width="11.82"/>
    <col collapsed="false" customWidth="true" hidden="false" outlineLevel="0" max="57" min="57" style="384" width="12.99"/>
    <col collapsed="false" customWidth="true" hidden="false" outlineLevel="0" max="58" min="58" style="384" width="16.15"/>
    <col collapsed="false" customWidth="true" hidden="false" outlineLevel="0" max="61" min="59" style="384" width="12.99"/>
    <col collapsed="false" customWidth="true" hidden="false" outlineLevel="0" max="62" min="62" style="384" width="18.15"/>
    <col collapsed="false" customWidth="true" hidden="false" outlineLevel="0" max="63" min="63" style="29" width="9.99"/>
    <col collapsed="false" customWidth="false" hidden="false" outlineLevel="0" max="257" min="64" style="29" width="9.32"/>
  </cols>
  <sheetData>
    <row r="1" customFormat="false" ht="26.25" hidden="false" customHeight="true" outlineLevel="0" collapsed="false">
      <c r="K1" s="386" t="s">
        <v>299</v>
      </c>
      <c r="Q1" s="386"/>
    </row>
    <row r="2" customFormat="false" ht="11.25" hidden="false" customHeight="true" outlineLevel="0" collapsed="false">
      <c r="A2" s="387"/>
    </row>
    <row r="3" customFormat="false" ht="15.75" hidden="false" customHeight="true" outlineLevel="0" collapsed="false">
      <c r="A3" s="387"/>
      <c r="B3" s="388" t="s">
        <v>150</v>
      </c>
      <c r="C3" s="388"/>
      <c r="D3" s="388"/>
      <c r="E3" s="385"/>
      <c r="F3" s="385"/>
      <c r="H3" s="388" t="s">
        <v>145</v>
      </c>
      <c r="I3" s="388"/>
      <c r="J3" s="388"/>
      <c r="K3" s="385"/>
      <c r="L3" s="385"/>
      <c r="N3" s="388" t="s">
        <v>151</v>
      </c>
      <c r="O3" s="388"/>
      <c r="P3" s="388"/>
      <c r="Q3" s="385"/>
      <c r="R3" s="385"/>
      <c r="T3" s="385" t="s">
        <v>300</v>
      </c>
      <c r="U3" s="385"/>
      <c r="V3" s="385"/>
      <c r="W3" s="385"/>
      <c r="X3" s="385"/>
      <c r="Z3" s="389" t="s">
        <v>139</v>
      </c>
      <c r="AA3" s="385"/>
      <c r="AB3" s="385"/>
      <c r="AC3" s="385"/>
      <c r="AD3" s="385"/>
      <c r="AF3" s="389" t="s">
        <v>140</v>
      </c>
      <c r="AG3" s="385"/>
      <c r="AH3" s="385"/>
      <c r="AI3" s="385"/>
      <c r="AJ3" s="385"/>
      <c r="AL3" s="389" t="s">
        <v>141</v>
      </c>
      <c r="AM3" s="385"/>
      <c r="AN3" s="385"/>
      <c r="AO3" s="385"/>
      <c r="AP3" s="385"/>
      <c r="AR3" s="389" t="s">
        <v>142</v>
      </c>
      <c r="AS3" s="385"/>
      <c r="AT3" s="385"/>
      <c r="AU3" s="385"/>
      <c r="AV3" s="385"/>
      <c r="AX3" s="389" t="s">
        <v>143</v>
      </c>
      <c r="AY3" s="385"/>
      <c r="AZ3" s="385"/>
      <c r="BA3" s="385"/>
      <c r="BB3" s="385"/>
      <c r="BE3" s="385"/>
      <c r="BF3" s="385"/>
      <c r="BG3" s="385"/>
      <c r="BH3" s="385"/>
      <c r="BI3" s="385"/>
      <c r="BJ3" s="385"/>
      <c r="BK3" s="387"/>
      <c r="BL3" s="387"/>
      <c r="BM3" s="387"/>
      <c r="BN3" s="387"/>
      <c r="BO3" s="387"/>
      <c r="BP3" s="387"/>
      <c r="BQ3" s="387"/>
      <c r="BR3" s="387"/>
      <c r="BS3" s="387"/>
      <c r="BT3" s="387"/>
      <c r="BU3" s="387"/>
      <c r="BV3" s="387"/>
      <c r="BW3" s="387"/>
      <c r="BX3" s="387"/>
      <c r="BY3" s="387"/>
      <c r="BZ3" s="387"/>
      <c r="CA3" s="387"/>
      <c r="CB3" s="387"/>
      <c r="CC3" s="387"/>
      <c r="CD3" s="387"/>
      <c r="CE3" s="387"/>
      <c r="CF3" s="387"/>
      <c r="CG3" s="387"/>
      <c r="CH3" s="387"/>
      <c r="CI3" s="387"/>
      <c r="CJ3" s="387"/>
      <c r="CK3" s="387"/>
      <c r="CL3" s="387"/>
      <c r="CM3" s="387"/>
      <c r="CN3" s="387"/>
      <c r="CO3" s="387"/>
      <c r="CP3" s="387"/>
      <c r="CQ3" s="387"/>
      <c r="CR3" s="387"/>
      <c r="CS3" s="387"/>
      <c r="CT3" s="387"/>
      <c r="CU3" s="387"/>
      <c r="CV3" s="387"/>
      <c r="CW3" s="387"/>
      <c r="CX3" s="387"/>
      <c r="CY3" s="387"/>
      <c r="CZ3" s="387"/>
      <c r="DA3" s="387"/>
      <c r="DB3" s="387"/>
      <c r="DC3" s="387"/>
      <c r="DD3" s="387"/>
      <c r="DE3" s="387"/>
      <c r="DF3" s="387"/>
      <c r="DG3" s="387"/>
      <c r="DH3" s="387"/>
      <c r="DI3" s="387"/>
      <c r="DJ3" s="387"/>
      <c r="DK3" s="387"/>
      <c r="DL3" s="387"/>
      <c r="DM3" s="387"/>
      <c r="DN3" s="387"/>
      <c r="DO3" s="387"/>
      <c r="DP3" s="387"/>
      <c r="DQ3" s="387"/>
      <c r="DR3" s="387"/>
      <c r="DS3" s="387"/>
      <c r="DT3" s="387"/>
      <c r="DU3" s="387"/>
      <c r="DV3" s="387"/>
      <c r="DW3" s="387"/>
      <c r="DX3" s="387"/>
      <c r="DY3" s="387"/>
      <c r="DZ3" s="387"/>
      <c r="EA3" s="387"/>
      <c r="EB3" s="387"/>
      <c r="EC3" s="387"/>
      <c r="ED3" s="387"/>
      <c r="EE3" s="387"/>
      <c r="EF3" s="387"/>
      <c r="EG3" s="387"/>
      <c r="EH3" s="387"/>
      <c r="EI3" s="387"/>
      <c r="EJ3" s="387"/>
      <c r="EK3" s="387"/>
      <c r="EL3" s="387"/>
      <c r="EM3" s="387"/>
      <c r="EN3" s="387"/>
      <c r="EO3" s="387"/>
      <c r="EP3" s="387"/>
      <c r="EQ3" s="387"/>
      <c r="ER3" s="387"/>
      <c r="ES3" s="387"/>
      <c r="ET3" s="387"/>
      <c r="EU3" s="387"/>
      <c r="EV3" s="387"/>
      <c r="EW3" s="387"/>
      <c r="EX3" s="387"/>
      <c r="EY3" s="387"/>
      <c r="EZ3" s="387"/>
      <c r="FA3" s="387"/>
      <c r="FB3" s="387"/>
      <c r="FC3" s="387"/>
      <c r="FD3" s="387"/>
      <c r="FE3" s="387"/>
      <c r="FF3" s="387"/>
      <c r="FG3" s="387"/>
      <c r="FH3" s="387"/>
      <c r="FI3" s="387"/>
      <c r="FJ3" s="387"/>
      <c r="FK3" s="387"/>
      <c r="FL3" s="387"/>
      <c r="FM3" s="387"/>
      <c r="FN3" s="387"/>
      <c r="FO3" s="387"/>
      <c r="FP3" s="387"/>
      <c r="FQ3" s="387"/>
      <c r="FR3" s="387"/>
      <c r="FS3" s="387"/>
      <c r="FT3" s="387"/>
      <c r="FU3" s="387"/>
      <c r="FV3" s="387"/>
      <c r="FW3" s="387"/>
      <c r="FX3" s="387"/>
      <c r="FY3" s="387"/>
      <c r="FZ3" s="387"/>
      <c r="GA3" s="387"/>
      <c r="GB3" s="387"/>
      <c r="GC3" s="387"/>
      <c r="GD3" s="387"/>
      <c r="GE3" s="387"/>
      <c r="GF3" s="387"/>
      <c r="GG3" s="387"/>
      <c r="GH3" s="387"/>
      <c r="GI3" s="387"/>
      <c r="GJ3" s="387"/>
      <c r="GK3" s="387"/>
      <c r="GL3" s="387"/>
      <c r="GM3" s="387"/>
      <c r="GN3" s="387"/>
      <c r="GO3" s="387"/>
      <c r="GP3" s="387"/>
      <c r="GQ3" s="387"/>
      <c r="GR3" s="387"/>
      <c r="GS3" s="387"/>
      <c r="GT3" s="387"/>
      <c r="GU3" s="387"/>
      <c r="GV3" s="387"/>
      <c r="GW3" s="387"/>
      <c r="GX3" s="387"/>
      <c r="GY3" s="387"/>
      <c r="GZ3" s="387"/>
      <c r="HA3" s="387"/>
      <c r="HB3" s="387"/>
      <c r="HC3" s="387"/>
      <c r="HD3" s="387"/>
      <c r="HE3" s="387"/>
      <c r="HF3" s="387"/>
      <c r="HG3" s="387"/>
      <c r="HH3" s="387"/>
      <c r="HI3" s="387"/>
      <c r="HJ3" s="387"/>
      <c r="HK3" s="387"/>
      <c r="HL3" s="387"/>
      <c r="HM3" s="387"/>
      <c r="HN3" s="387"/>
      <c r="HO3" s="387"/>
      <c r="HP3" s="387"/>
      <c r="HQ3" s="387"/>
      <c r="HR3" s="387"/>
      <c r="HS3" s="387"/>
      <c r="HT3" s="387"/>
      <c r="HU3" s="387"/>
      <c r="HV3" s="387"/>
      <c r="HW3" s="387"/>
      <c r="HX3" s="387"/>
      <c r="HY3" s="387"/>
      <c r="HZ3" s="387"/>
      <c r="IA3" s="387"/>
      <c r="IB3" s="387"/>
      <c r="IC3" s="387"/>
      <c r="ID3" s="387"/>
      <c r="IE3" s="387"/>
      <c r="IF3" s="387"/>
      <c r="IG3" s="387"/>
      <c r="IH3" s="387"/>
      <c r="II3" s="387"/>
      <c r="IJ3" s="387"/>
      <c r="IK3" s="387"/>
      <c r="IL3" s="387"/>
      <c r="IM3" s="387"/>
      <c r="IN3" s="387"/>
      <c r="IO3" s="387"/>
      <c r="IP3" s="387"/>
      <c r="IQ3" s="387"/>
      <c r="IR3" s="387"/>
      <c r="IS3" s="387"/>
      <c r="IT3" s="387"/>
      <c r="IU3" s="387"/>
      <c r="IV3" s="387"/>
      <c r="IW3" s="387"/>
    </row>
    <row r="4" customFormat="false" ht="12.75" hidden="false" customHeight="false" outlineLevel="0" collapsed="false">
      <c r="A4" s="387"/>
      <c r="B4" s="390"/>
      <c r="C4" s="390" t="n">
        <v>0.5</v>
      </c>
      <c r="D4" s="390"/>
      <c r="E4" s="385"/>
      <c r="F4" s="385" t="s">
        <v>301</v>
      </c>
      <c r="G4" s="385" t="s">
        <v>302</v>
      </c>
      <c r="H4" s="388"/>
      <c r="I4" s="390" t="n">
        <v>0.5</v>
      </c>
      <c r="J4" s="390"/>
      <c r="K4" s="385"/>
      <c r="L4" s="385"/>
      <c r="M4" s="385" t="s">
        <v>302</v>
      </c>
      <c r="N4" s="388"/>
      <c r="O4" s="390" t="n">
        <v>0.5</v>
      </c>
      <c r="P4" s="390"/>
      <c r="Q4" s="385"/>
      <c r="R4" s="385"/>
      <c r="S4" s="385" t="s">
        <v>302</v>
      </c>
      <c r="T4" s="385" t="s">
        <v>303</v>
      </c>
      <c r="U4" s="390" t="n">
        <v>0.5</v>
      </c>
      <c r="V4" s="385"/>
      <c r="W4" s="385"/>
      <c r="X4" s="385"/>
      <c r="Y4" s="385" t="s">
        <v>302</v>
      </c>
      <c r="Z4" s="385" t="s">
        <v>152</v>
      </c>
      <c r="AA4" s="390" t="n">
        <v>0.5</v>
      </c>
      <c r="AB4" s="385"/>
      <c r="AC4" s="385"/>
      <c r="AD4" s="385"/>
      <c r="AE4" s="385" t="s">
        <v>302</v>
      </c>
      <c r="AF4" s="385" t="s">
        <v>152</v>
      </c>
      <c r="AG4" s="390" t="n">
        <v>0.5</v>
      </c>
      <c r="AH4" s="385"/>
      <c r="AI4" s="385"/>
      <c r="AJ4" s="385"/>
      <c r="AK4" s="385" t="s">
        <v>302</v>
      </c>
      <c r="AL4" s="385" t="s">
        <v>152</v>
      </c>
      <c r="AM4" s="390" t="n">
        <v>0.5</v>
      </c>
      <c r="AN4" s="385"/>
      <c r="AO4" s="385"/>
      <c r="AP4" s="385"/>
      <c r="AQ4" s="385" t="s">
        <v>302</v>
      </c>
      <c r="AR4" s="385" t="s">
        <v>152</v>
      </c>
      <c r="AS4" s="390" t="n">
        <v>0.5</v>
      </c>
      <c r="AT4" s="385"/>
      <c r="AU4" s="385"/>
      <c r="AV4" s="385"/>
      <c r="AW4" s="385" t="s">
        <v>302</v>
      </c>
      <c r="AX4" s="385" t="s">
        <v>152</v>
      </c>
      <c r="AY4" s="390" t="n">
        <v>0.5</v>
      </c>
      <c r="AZ4" s="385"/>
      <c r="BA4" s="385"/>
      <c r="BB4" s="385"/>
      <c r="BC4" s="385" t="s">
        <v>302</v>
      </c>
      <c r="BE4" s="385" t="s">
        <v>50</v>
      </c>
      <c r="BF4" s="385" t="s">
        <v>50</v>
      </c>
      <c r="BG4" s="385" t="s">
        <v>50</v>
      </c>
      <c r="BH4" s="385" t="s">
        <v>50</v>
      </c>
      <c r="BI4" s="385" t="s">
        <v>50</v>
      </c>
      <c r="BJ4" s="385" t="s">
        <v>304</v>
      </c>
      <c r="BK4" s="387"/>
      <c r="BL4" s="387"/>
      <c r="BM4" s="387"/>
      <c r="BN4" s="387"/>
      <c r="BO4" s="387"/>
      <c r="BP4" s="387"/>
      <c r="BQ4" s="387"/>
      <c r="BR4" s="387"/>
      <c r="BS4" s="387"/>
      <c r="BT4" s="387"/>
      <c r="BU4" s="387"/>
      <c r="BV4" s="387"/>
      <c r="BW4" s="387"/>
      <c r="BX4" s="387"/>
      <c r="BY4" s="387"/>
      <c r="BZ4" s="387"/>
      <c r="CA4" s="387"/>
      <c r="CB4" s="387"/>
      <c r="CC4" s="387"/>
      <c r="CD4" s="387"/>
      <c r="CE4" s="387"/>
      <c r="CF4" s="387"/>
      <c r="CG4" s="387"/>
      <c r="CH4" s="387"/>
      <c r="CI4" s="387"/>
      <c r="CJ4" s="387"/>
      <c r="CK4" s="387"/>
      <c r="CL4" s="387"/>
      <c r="CM4" s="387"/>
      <c r="CN4" s="387"/>
      <c r="CO4" s="387"/>
      <c r="CP4" s="387"/>
      <c r="CQ4" s="387"/>
      <c r="CR4" s="387"/>
      <c r="CS4" s="387"/>
      <c r="CT4" s="387"/>
      <c r="CU4" s="387"/>
      <c r="CV4" s="387"/>
      <c r="CW4" s="387"/>
      <c r="CX4" s="387"/>
      <c r="CY4" s="387"/>
      <c r="CZ4" s="387"/>
      <c r="DA4" s="387"/>
      <c r="DB4" s="387"/>
      <c r="DC4" s="387"/>
      <c r="DD4" s="387"/>
      <c r="DE4" s="387"/>
      <c r="DF4" s="387"/>
      <c r="DG4" s="387"/>
      <c r="DH4" s="387"/>
      <c r="DI4" s="387"/>
      <c r="DJ4" s="387"/>
      <c r="DK4" s="387"/>
      <c r="DL4" s="387"/>
      <c r="DM4" s="387"/>
      <c r="DN4" s="387"/>
      <c r="DO4" s="387"/>
      <c r="DP4" s="387"/>
      <c r="DQ4" s="387"/>
      <c r="DR4" s="387"/>
      <c r="DS4" s="387"/>
      <c r="DT4" s="387"/>
      <c r="DU4" s="387"/>
      <c r="DV4" s="387"/>
      <c r="DW4" s="387"/>
      <c r="DX4" s="387"/>
      <c r="DY4" s="387"/>
      <c r="DZ4" s="387"/>
      <c r="EA4" s="387"/>
      <c r="EB4" s="387"/>
      <c r="EC4" s="387"/>
      <c r="ED4" s="387"/>
      <c r="EE4" s="387"/>
      <c r="EF4" s="387"/>
      <c r="EG4" s="387"/>
      <c r="EH4" s="387"/>
      <c r="EI4" s="387"/>
      <c r="EJ4" s="387"/>
      <c r="EK4" s="387"/>
      <c r="EL4" s="387"/>
      <c r="EM4" s="387"/>
      <c r="EN4" s="387"/>
      <c r="EO4" s="387"/>
      <c r="EP4" s="387"/>
      <c r="EQ4" s="387"/>
      <c r="ER4" s="387"/>
      <c r="ES4" s="387"/>
      <c r="ET4" s="387"/>
      <c r="EU4" s="387"/>
      <c r="EV4" s="387"/>
      <c r="EW4" s="387"/>
      <c r="EX4" s="387"/>
      <c r="EY4" s="387"/>
      <c r="EZ4" s="387"/>
      <c r="FA4" s="387"/>
      <c r="FB4" s="387"/>
      <c r="FC4" s="387"/>
      <c r="FD4" s="387"/>
      <c r="FE4" s="387"/>
      <c r="FF4" s="387"/>
      <c r="FG4" s="387"/>
      <c r="FH4" s="387"/>
      <c r="FI4" s="387"/>
      <c r="FJ4" s="387"/>
      <c r="FK4" s="387"/>
      <c r="FL4" s="387"/>
      <c r="FM4" s="387"/>
      <c r="FN4" s="387"/>
      <c r="FO4" s="387"/>
      <c r="FP4" s="387"/>
      <c r="FQ4" s="387"/>
      <c r="FR4" s="387"/>
      <c r="FS4" s="387"/>
      <c r="FT4" s="387"/>
      <c r="FU4" s="387"/>
      <c r="FV4" s="387"/>
      <c r="FW4" s="387"/>
      <c r="FX4" s="387"/>
      <c r="FY4" s="387"/>
      <c r="FZ4" s="387"/>
      <c r="GA4" s="387"/>
      <c r="GB4" s="387"/>
      <c r="GC4" s="387"/>
      <c r="GD4" s="387"/>
      <c r="GE4" s="387"/>
      <c r="GF4" s="387"/>
      <c r="GG4" s="387"/>
      <c r="GH4" s="387"/>
      <c r="GI4" s="387"/>
      <c r="GJ4" s="387"/>
      <c r="GK4" s="387"/>
      <c r="GL4" s="387"/>
      <c r="GM4" s="387"/>
      <c r="GN4" s="387"/>
      <c r="GO4" s="387"/>
      <c r="GP4" s="387"/>
      <c r="GQ4" s="387"/>
      <c r="GR4" s="387"/>
      <c r="GS4" s="387"/>
      <c r="GT4" s="387"/>
      <c r="GU4" s="387"/>
      <c r="GV4" s="387"/>
      <c r="GW4" s="387"/>
      <c r="GX4" s="387"/>
      <c r="GY4" s="387"/>
      <c r="GZ4" s="387"/>
      <c r="HA4" s="387"/>
      <c r="HB4" s="387"/>
      <c r="HC4" s="387"/>
      <c r="HD4" s="387"/>
      <c r="HE4" s="387"/>
      <c r="HF4" s="387"/>
      <c r="HG4" s="387"/>
      <c r="HH4" s="387"/>
      <c r="HI4" s="387"/>
      <c r="HJ4" s="387"/>
      <c r="HK4" s="387"/>
      <c r="HL4" s="387"/>
      <c r="HM4" s="387"/>
      <c r="HN4" s="387"/>
      <c r="HO4" s="387"/>
      <c r="HP4" s="387"/>
      <c r="HQ4" s="387"/>
      <c r="HR4" s="387"/>
      <c r="HS4" s="387"/>
      <c r="HT4" s="387"/>
      <c r="HU4" s="387"/>
      <c r="HV4" s="387"/>
      <c r="HW4" s="387"/>
      <c r="HX4" s="387"/>
      <c r="HY4" s="387"/>
      <c r="HZ4" s="387"/>
      <c r="IA4" s="387"/>
      <c r="IB4" s="387"/>
      <c r="IC4" s="387"/>
      <c r="ID4" s="387"/>
      <c r="IE4" s="387"/>
      <c r="IF4" s="387"/>
      <c r="IG4" s="387"/>
      <c r="IH4" s="387"/>
      <c r="II4" s="387"/>
      <c r="IJ4" s="387"/>
      <c r="IK4" s="387"/>
      <c r="IL4" s="387"/>
      <c r="IM4" s="387"/>
      <c r="IN4" s="387"/>
      <c r="IO4" s="387"/>
      <c r="IP4" s="387"/>
      <c r="IQ4" s="387"/>
      <c r="IR4" s="387"/>
      <c r="IS4" s="387"/>
      <c r="IT4" s="387"/>
      <c r="IU4" s="387"/>
      <c r="IV4" s="387"/>
      <c r="IW4" s="387"/>
    </row>
    <row r="5" customFormat="false" ht="12.75" hidden="false" customHeight="false" outlineLevel="0" collapsed="false">
      <c r="A5" s="391" t="s">
        <v>172</v>
      </c>
      <c r="B5" s="391" t="s">
        <v>305</v>
      </c>
      <c r="C5" s="391" t="s">
        <v>305</v>
      </c>
      <c r="D5" s="391" t="s">
        <v>95</v>
      </c>
      <c r="E5" s="392" t="s">
        <v>94</v>
      </c>
      <c r="F5" s="392" t="s">
        <v>306</v>
      </c>
      <c r="G5" s="392" t="s">
        <v>306</v>
      </c>
      <c r="H5" s="391" t="s">
        <v>305</v>
      </c>
      <c r="I5" s="391" t="s">
        <v>305</v>
      </c>
      <c r="J5" s="391" t="s">
        <v>95</v>
      </c>
      <c r="K5" s="392" t="s">
        <v>94</v>
      </c>
      <c r="L5" s="392" t="s">
        <v>306</v>
      </c>
      <c r="M5" s="392" t="s">
        <v>306</v>
      </c>
      <c r="N5" s="391" t="s">
        <v>305</v>
      </c>
      <c r="O5" s="391" t="s">
        <v>305</v>
      </c>
      <c r="P5" s="391" t="s">
        <v>95</v>
      </c>
      <c r="Q5" s="392" t="s">
        <v>94</v>
      </c>
      <c r="R5" s="392" t="s">
        <v>306</v>
      </c>
      <c r="S5" s="392" t="s">
        <v>306</v>
      </c>
      <c r="T5" s="392" t="s">
        <v>153</v>
      </c>
      <c r="U5" s="392" t="s">
        <v>153</v>
      </c>
      <c r="V5" s="392" t="s">
        <v>95</v>
      </c>
      <c r="W5" s="392" t="s">
        <v>94</v>
      </c>
      <c r="X5" s="392" t="s">
        <v>306</v>
      </c>
      <c r="Y5" s="392" t="s">
        <v>306</v>
      </c>
      <c r="Z5" s="392" t="s">
        <v>153</v>
      </c>
      <c r="AA5" s="392" t="s">
        <v>153</v>
      </c>
      <c r="AB5" s="392" t="s">
        <v>95</v>
      </c>
      <c r="AC5" s="392" t="s">
        <v>94</v>
      </c>
      <c r="AD5" s="392" t="s">
        <v>306</v>
      </c>
      <c r="AE5" s="392" t="s">
        <v>306</v>
      </c>
      <c r="AF5" s="392" t="s">
        <v>153</v>
      </c>
      <c r="AG5" s="392" t="s">
        <v>153</v>
      </c>
      <c r="AH5" s="392" t="s">
        <v>95</v>
      </c>
      <c r="AI5" s="392" t="s">
        <v>94</v>
      </c>
      <c r="AJ5" s="392" t="s">
        <v>306</v>
      </c>
      <c r="AK5" s="392" t="s">
        <v>306</v>
      </c>
      <c r="AL5" s="392" t="s">
        <v>153</v>
      </c>
      <c r="AM5" s="392" t="s">
        <v>153</v>
      </c>
      <c r="AN5" s="392" t="s">
        <v>95</v>
      </c>
      <c r="AO5" s="392" t="s">
        <v>94</v>
      </c>
      <c r="AP5" s="392" t="s">
        <v>306</v>
      </c>
      <c r="AQ5" s="392" t="s">
        <v>306</v>
      </c>
      <c r="AR5" s="392" t="s">
        <v>153</v>
      </c>
      <c r="AS5" s="392" t="s">
        <v>153</v>
      </c>
      <c r="AT5" s="392" t="s">
        <v>95</v>
      </c>
      <c r="AU5" s="392" t="s">
        <v>94</v>
      </c>
      <c r="AV5" s="392" t="s">
        <v>306</v>
      </c>
      <c r="AW5" s="392" t="s">
        <v>306</v>
      </c>
      <c r="AX5" s="392" t="s">
        <v>153</v>
      </c>
      <c r="AY5" s="392" t="s">
        <v>153</v>
      </c>
      <c r="AZ5" s="392" t="s">
        <v>95</v>
      </c>
      <c r="BA5" s="392" t="s">
        <v>94</v>
      </c>
      <c r="BB5" s="392" t="s">
        <v>306</v>
      </c>
      <c r="BC5" s="392" t="s">
        <v>306</v>
      </c>
      <c r="BD5" s="393"/>
      <c r="BE5" s="392" t="s">
        <v>153</v>
      </c>
      <c r="BF5" s="392" t="s">
        <v>307</v>
      </c>
      <c r="BG5" s="392" t="s">
        <v>95</v>
      </c>
      <c r="BH5" s="392" t="s">
        <v>98</v>
      </c>
      <c r="BI5" s="392" t="s">
        <v>306</v>
      </c>
      <c r="BJ5" s="392" t="s">
        <v>308</v>
      </c>
      <c r="BK5" s="387"/>
      <c r="BL5" s="387"/>
      <c r="BM5" s="387"/>
      <c r="BN5" s="387"/>
      <c r="BO5" s="387"/>
      <c r="BP5" s="387"/>
      <c r="BQ5" s="387"/>
      <c r="BR5" s="387"/>
      <c r="BS5" s="387"/>
      <c r="BT5" s="387"/>
      <c r="BU5" s="387"/>
      <c r="BV5" s="387"/>
      <c r="BW5" s="387"/>
      <c r="BX5" s="387"/>
      <c r="BY5" s="387"/>
      <c r="BZ5" s="387"/>
      <c r="CA5" s="387"/>
      <c r="CB5" s="387"/>
      <c r="CC5" s="387"/>
      <c r="CD5" s="387"/>
      <c r="CE5" s="387"/>
      <c r="CF5" s="387"/>
      <c r="CG5" s="387"/>
      <c r="CH5" s="387"/>
      <c r="CI5" s="387"/>
      <c r="CJ5" s="387"/>
      <c r="CK5" s="387"/>
      <c r="CL5" s="387"/>
      <c r="CM5" s="387"/>
      <c r="CN5" s="387"/>
      <c r="CO5" s="387"/>
      <c r="CP5" s="387"/>
      <c r="CQ5" s="387"/>
      <c r="CR5" s="387"/>
      <c r="CS5" s="387"/>
      <c r="CT5" s="387"/>
      <c r="CU5" s="387"/>
      <c r="CV5" s="387"/>
      <c r="CW5" s="387"/>
      <c r="CX5" s="387"/>
      <c r="CY5" s="387"/>
      <c r="CZ5" s="387"/>
      <c r="DA5" s="387"/>
      <c r="DB5" s="387"/>
      <c r="DC5" s="387"/>
      <c r="DD5" s="387"/>
      <c r="DE5" s="387"/>
      <c r="DF5" s="387"/>
      <c r="DG5" s="387"/>
      <c r="DH5" s="387"/>
      <c r="DI5" s="387"/>
      <c r="DJ5" s="387"/>
      <c r="DK5" s="387"/>
      <c r="DL5" s="387"/>
      <c r="DM5" s="387"/>
      <c r="DN5" s="387"/>
      <c r="DO5" s="387"/>
      <c r="DP5" s="387"/>
      <c r="DQ5" s="387"/>
      <c r="DR5" s="387"/>
      <c r="DS5" s="387"/>
      <c r="DT5" s="387"/>
      <c r="DU5" s="387"/>
      <c r="DV5" s="387"/>
      <c r="DW5" s="387"/>
      <c r="DX5" s="387"/>
      <c r="DY5" s="387"/>
      <c r="DZ5" s="387"/>
      <c r="EA5" s="387"/>
      <c r="EB5" s="387"/>
      <c r="EC5" s="387"/>
      <c r="ED5" s="387"/>
      <c r="EE5" s="387"/>
      <c r="EF5" s="387"/>
      <c r="EG5" s="387"/>
      <c r="EH5" s="387"/>
      <c r="EI5" s="387"/>
      <c r="EJ5" s="387"/>
      <c r="EK5" s="387"/>
      <c r="EL5" s="387"/>
      <c r="EM5" s="387"/>
      <c r="EN5" s="387"/>
      <c r="EO5" s="387"/>
      <c r="EP5" s="387"/>
      <c r="EQ5" s="387"/>
      <c r="ER5" s="387"/>
      <c r="ES5" s="387"/>
      <c r="ET5" s="387"/>
      <c r="EU5" s="387"/>
      <c r="EV5" s="387"/>
      <c r="EW5" s="387"/>
      <c r="EX5" s="387"/>
      <c r="EY5" s="387"/>
      <c r="EZ5" s="387"/>
      <c r="FA5" s="387"/>
      <c r="FB5" s="387"/>
      <c r="FC5" s="387"/>
      <c r="FD5" s="387"/>
      <c r="FE5" s="387"/>
      <c r="FF5" s="387"/>
      <c r="FG5" s="387"/>
      <c r="FH5" s="387"/>
      <c r="FI5" s="387"/>
      <c r="FJ5" s="387"/>
      <c r="FK5" s="387"/>
      <c r="FL5" s="387"/>
      <c r="FM5" s="387"/>
      <c r="FN5" s="387"/>
      <c r="FO5" s="387"/>
      <c r="FP5" s="387"/>
      <c r="FQ5" s="387"/>
      <c r="FR5" s="387"/>
      <c r="FS5" s="387"/>
      <c r="FT5" s="387"/>
      <c r="FU5" s="387"/>
      <c r="FV5" s="387"/>
      <c r="FW5" s="387"/>
      <c r="FX5" s="387"/>
      <c r="FY5" s="387"/>
      <c r="FZ5" s="387"/>
      <c r="GA5" s="387"/>
      <c r="GB5" s="387"/>
      <c r="GC5" s="387"/>
      <c r="GD5" s="387"/>
      <c r="GE5" s="387"/>
      <c r="GF5" s="387"/>
      <c r="GG5" s="387"/>
      <c r="GH5" s="387"/>
      <c r="GI5" s="387"/>
      <c r="GJ5" s="387"/>
      <c r="GK5" s="387"/>
      <c r="GL5" s="387"/>
      <c r="GM5" s="387"/>
      <c r="GN5" s="387"/>
      <c r="GO5" s="387"/>
      <c r="GP5" s="387"/>
      <c r="GQ5" s="387"/>
      <c r="GR5" s="387"/>
      <c r="GS5" s="387"/>
      <c r="GT5" s="387"/>
      <c r="GU5" s="387"/>
      <c r="GV5" s="387"/>
      <c r="GW5" s="387"/>
      <c r="GX5" s="387"/>
      <c r="GY5" s="387"/>
      <c r="GZ5" s="387"/>
      <c r="HA5" s="387"/>
      <c r="HB5" s="387"/>
      <c r="HC5" s="387"/>
      <c r="HD5" s="387"/>
      <c r="HE5" s="387"/>
      <c r="HF5" s="387"/>
      <c r="HG5" s="387"/>
      <c r="HH5" s="387"/>
      <c r="HI5" s="387"/>
      <c r="HJ5" s="387"/>
      <c r="HK5" s="387"/>
      <c r="HL5" s="387"/>
      <c r="HM5" s="387"/>
      <c r="HN5" s="387"/>
      <c r="HO5" s="387"/>
      <c r="HP5" s="387"/>
      <c r="HQ5" s="387"/>
      <c r="HR5" s="387"/>
      <c r="HS5" s="387"/>
      <c r="HT5" s="387"/>
      <c r="HU5" s="387"/>
      <c r="HV5" s="387"/>
      <c r="HW5" s="387"/>
      <c r="HX5" s="387"/>
      <c r="HY5" s="387"/>
      <c r="HZ5" s="387"/>
      <c r="IA5" s="387"/>
      <c r="IB5" s="387"/>
      <c r="IC5" s="387"/>
      <c r="ID5" s="387"/>
      <c r="IE5" s="387"/>
      <c r="IF5" s="387"/>
      <c r="IG5" s="387"/>
      <c r="IH5" s="387"/>
      <c r="II5" s="387"/>
      <c r="IJ5" s="387"/>
      <c r="IK5" s="387"/>
      <c r="IL5" s="387"/>
      <c r="IM5" s="387"/>
      <c r="IN5" s="387"/>
      <c r="IO5" s="387"/>
      <c r="IP5" s="387"/>
      <c r="IQ5" s="387"/>
      <c r="IR5" s="387"/>
      <c r="IS5" s="387"/>
      <c r="IT5" s="387"/>
      <c r="IU5" s="387"/>
      <c r="IV5" s="387"/>
      <c r="IW5" s="387"/>
    </row>
    <row r="6" customFormat="false" ht="12.75" hidden="false" customHeight="false" outlineLevel="0" collapsed="false">
      <c r="A6" s="394" t="n">
        <f aca="false">+BaseloadMarkets!A6</f>
        <v>36678</v>
      </c>
      <c r="B6" s="395" t="n">
        <f aca="false">+OCCMarkets!O6</f>
        <v>1535</v>
      </c>
      <c r="C6" s="396" t="n">
        <f aca="false">B6/2</f>
        <v>767.5</v>
      </c>
      <c r="D6" s="396" t="n">
        <f aca="false">+OCCMarkets!S6</f>
        <v>5856</v>
      </c>
      <c r="E6" s="397" t="n">
        <f aca="false">D6-C6</f>
        <v>5088.5</v>
      </c>
      <c r="F6" s="397" t="n">
        <f aca="false">E6</f>
        <v>5088.5</v>
      </c>
      <c r="G6" s="398"/>
      <c r="H6" s="395" t="n">
        <f aca="false">+OCCMarkets!C6</f>
        <v>9766</v>
      </c>
      <c r="I6" s="396" t="n">
        <f aca="false">H6/2</f>
        <v>4883</v>
      </c>
      <c r="J6" s="396" t="n">
        <f aca="false">+OCCMarkets!L6-OCCMarkets!H6</f>
        <v>20608</v>
      </c>
      <c r="K6" s="397" t="n">
        <f aca="false">J6-I6</f>
        <v>15725</v>
      </c>
      <c r="L6" s="397" t="n">
        <f aca="false">K6</f>
        <v>15725</v>
      </c>
      <c r="M6" s="398"/>
      <c r="N6" s="395" t="n">
        <f aca="false">+OCCMarkets!V6</f>
        <v>725</v>
      </c>
      <c r="O6" s="396" t="n">
        <f aca="false">N6/2</f>
        <v>362.5</v>
      </c>
      <c r="P6" s="396" t="n">
        <f aca="false">+OCCMarkets!Z6</f>
        <v>5857</v>
      </c>
      <c r="Q6" s="397" t="n">
        <f aca="false">P6-O6</f>
        <v>5494.5</v>
      </c>
      <c r="R6" s="397" t="n">
        <f aca="false">Q6</f>
        <v>5494.5</v>
      </c>
      <c r="S6" s="398"/>
      <c r="T6" s="384" t="n">
        <f aca="false">+EES!C5</f>
        <v>70000</v>
      </c>
      <c r="U6" s="384" t="n">
        <f aca="false">T6/2</f>
        <v>35000</v>
      </c>
      <c r="V6" s="384" t="n">
        <f aca="false">+EES!AI5-EES!M5</f>
        <v>100941</v>
      </c>
      <c r="W6" s="397" t="n">
        <f aca="false">V6-U6</f>
        <v>65941</v>
      </c>
      <c r="X6" s="397" t="n">
        <f aca="false">W6</f>
        <v>65941</v>
      </c>
      <c r="Y6" s="398"/>
      <c r="Z6" s="384" t="n">
        <f aca="false">+OCCMarkets!AC6</f>
        <v>157</v>
      </c>
      <c r="AA6" s="384" t="n">
        <f aca="false">Z6/2</f>
        <v>78.5</v>
      </c>
      <c r="AB6" s="384" t="n">
        <f aca="false">+OCCMarkets!AG6</f>
        <v>1757</v>
      </c>
      <c r="AC6" s="397" t="n">
        <f aca="false">AB6-AA6</f>
        <v>1678.5</v>
      </c>
      <c r="AD6" s="397" t="n">
        <f aca="false">AC6</f>
        <v>1678.5</v>
      </c>
      <c r="AE6" s="398"/>
      <c r="AF6" s="384" t="n">
        <f aca="false">+OCCMarkets!AJ6</f>
        <v>9487</v>
      </c>
      <c r="AG6" s="384" t="n">
        <f aca="false">AF6/2</f>
        <v>4743.5</v>
      </c>
      <c r="AH6" s="384" t="n">
        <f aca="false">+OCCMarkets!AN6</f>
        <v>21274</v>
      </c>
      <c r="AI6" s="397" t="n">
        <f aca="false">AH6-AG6</f>
        <v>16530.5</v>
      </c>
      <c r="AJ6" s="397" t="n">
        <f aca="false">AI6</f>
        <v>16530.5</v>
      </c>
      <c r="AK6" s="398"/>
      <c r="AL6" s="384" t="n">
        <f aca="false">+OCCMarkets!AQ6</f>
        <v>0</v>
      </c>
      <c r="AM6" s="384" t="n">
        <f aca="false">AL6/2</f>
        <v>0</v>
      </c>
      <c r="AN6" s="384" t="n">
        <f aca="false">+OCCMarkets!AU6</f>
        <v>0</v>
      </c>
      <c r="AO6" s="397" t="n">
        <f aca="false">AN6-AM6</f>
        <v>0</v>
      </c>
      <c r="AP6" s="397" t="n">
        <f aca="false">AO6</f>
        <v>0</v>
      </c>
      <c r="AQ6" s="398"/>
      <c r="AR6" s="384" t="n">
        <f aca="false">+OCCMarkets!AX6</f>
        <v>195</v>
      </c>
      <c r="AS6" s="384" t="n">
        <f aca="false">AR6/2</f>
        <v>97.5</v>
      </c>
      <c r="AT6" s="384" t="n">
        <f aca="false">+OCCMarkets!BB6</f>
        <v>1757</v>
      </c>
      <c r="AU6" s="397" t="n">
        <f aca="false">AT6-AS6</f>
        <v>1659.5</v>
      </c>
      <c r="AV6" s="397" t="n">
        <f aca="false">AU6</f>
        <v>1659.5</v>
      </c>
      <c r="AW6" s="398"/>
      <c r="AX6" s="384" t="n">
        <f aca="false">+OCCMarkets!BE6</f>
        <v>321</v>
      </c>
      <c r="AY6" s="384" t="n">
        <f aca="false">AX6/2</f>
        <v>160.5</v>
      </c>
      <c r="AZ6" s="384" t="n">
        <f aca="false">+OCCMarkets!BI6</f>
        <v>2343</v>
      </c>
      <c r="BA6" s="397" t="n">
        <f aca="false">AZ6-AY6</f>
        <v>2182.5</v>
      </c>
      <c r="BB6" s="397" t="n">
        <f aca="false">BA6</f>
        <v>2182.5</v>
      </c>
      <c r="BC6" s="398"/>
      <c r="BD6" s="393"/>
      <c r="BE6" s="397" t="n">
        <f aca="false">+B6+H6+N6+T6+Z6+AF6+AL6+AR6+AX6</f>
        <v>92186</v>
      </c>
      <c r="BF6" s="397" t="n">
        <f aca="false">+C6+I6+O6+U6+AA6+AG6+AM6+AS6+AY6</f>
        <v>46093</v>
      </c>
      <c r="BG6" s="397" t="n">
        <f aca="false">+D6+J6+P6+V6+AB6+AH6+AN6+AT6+AZ6</f>
        <v>160393</v>
      </c>
      <c r="BH6" s="397" t="n">
        <f aca="false">+E6+K6+Q6+W6+AC6+AI6+AO6+AU6+BA6</f>
        <v>114300</v>
      </c>
      <c r="BI6" s="397" t="n">
        <f aca="false">+F6+L6+R6+X6+AD6+AJ6+AP6+AV6+BB6</f>
        <v>114300</v>
      </c>
      <c r="BJ6" s="397"/>
    </row>
    <row r="7" customFormat="false" ht="12.75" hidden="false" customHeight="false" outlineLevel="0" collapsed="false">
      <c r="A7" s="394" t="n">
        <f aca="false">+BaseloadMarkets!A7</f>
        <v>36679</v>
      </c>
      <c r="B7" s="395" t="n">
        <f aca="false">+OCCMarkets!O7</f>
        <v>2331</v>
      </c>
      <c r="C7" s="396" t="n">
        <f aca="false">B7/2</f>
        <v>1165.5</v>
      </c>
      <c r="D7" s="396" t="n">
        <f aca="false">+OCCMarkets!S7</f>
        <v>5373</v>
      </c>
      <c r="E7" s="397" t="n">
        <f aca="false">D7-C7</f>
        <v>4207.5</v>
      </c>
      <c r="F7" s="397" t="n">
        <f aca="false">F6+E7</f>
        <v>9296</v>
      </c>
      <c r="G7" s="398"/>
      <c r="H7" s="395" t="n">
        <f aca="false">+OCCMarkets!C7</f>
        <v>7172</v>
      </c>
      <c r="I7" s="396" t="n">
        <f aca="false">H7/2</f>
        <v>3586</v>
      </c>
      <c r="J7" s="396" t="n">
        <f aca="false">+OCCMarkets!L7-OCCMarkets!H7</f>
        <v>19195</v>
      </c>
      <c r="K7" s="397" t="n">
        <f aca="false">J7-I7</f>
        <v>15609</v>
      </c>
      <c r="L7" s="397" t="n">
        <f aca="false">L6+K7</f>
        <v>31334</v>
      </c>
      <c r="M7" s="398"/>
      <c r="N7" s="395" t="n">
        <f aca="false">+OCCMarkets!V7</f>
        <v>1398</v>
      </c>
      <c r="O7" s="396" t="n">
        <f aca="false">N7/2</f>
        <v>699</v>
      </c>
      <c r="P7" s="396" t="n">
        <f aca="false">+OCCMarkets!Z7</f>
        <v>4767</v>
      </c>
      <c r="Q7" s="397" t="n">
        <f aca="false">P7-O7</f>
        <v>4068</v>
      </c>
      <c r="R7" s="397" t="n">
        <f aca="false">R6+Q7</f>
        <v>9562.5</v>
      </c>
      <c r="S7" s="398"/>
      <c r="T7" s="384" t="n">
        <f aca="false">+EES!C6</f>
        <v>70000</v>
      </c>
      <c r="U7" s="384" t="n">
        <f aca="false">T7/2</f>
        <v>35000</v>
      </c>
      <c r="V7" s="384" t="n">
        <f aca="false">+EES!AI6-EES!M6</f>
        <v>72263</v>
      </c>
      <c r="W7" s="397" t="n">
        <f aca="false">V7-U7</f>
        <v>37263</v>
      </c>
      <c r="X7" s="397" t="n">
        <f aca="false">X6+W7</f>
        <v>103204</v>
      </c>
      <c r="Y7" s="398"/>
      <c r="Z7" s="384" t="n">
        <f aca="false">+OCCMarkets!AC7</f>
        <v>184</v>
      </c>
      <c r="AA7" s="384" t="n">
        <f aca="false">Z7/2</f>
        <v>92</v>
      </c>
      <c r="AB7" s="384" t="n">
        <f aca="false">+OCCMarkets!AG7</f>
        <v>934</v>
      </c>
      <c r="AC7" s="397" t="n">
        <f aca="false">AB7-AA7</f>
        <v>842</v>
      </c>
      <c r="AD7" s="397" t="n">
        <f aca="false">AD6+AC7</f>
        <v>2520.5</v>
      </c>
      <c r="AE7" s="398"/>
      <c r="AF7" s="384" t="n">
        <f aca="false">+OCCMarkets!AJ7</f>
        <v>8354</v>
      </c>
      <c r="AG7" s="384" t="n">
        <f aca="false">AF7/2</f>
        <v>4177</v>
      </c>
      <c r="AH7" s="384" t="n">
        <f aca="false">+OCCMarkets!AN7</f>
        <v>22613</v>
      </c>
      <c r="AI7" s="397" t="n">
        <f aca="false">AH7-AG7</f>
        <v>18436</v>
      </c>
      <c r="AJ7" s="397" t="n">
        <f aca="false">AJ6+AI7</f>
        <v>34966.5</v>
      </c>
      <c r="AK7" s="398"/>
      <c r="AL7" s="384" t="n">
        <f aca="false">+OCCMarkets!AQ7</f>
        <v>0</v>
      </c>
      <c r="AM7" s="384" t="n">
        <f aca="false">AL7/2</f>
        <v>0</v>
      </c>
      <c r="AN7" s="384" t="n">
        <f aca="false">+OCCMarkets!AU7</f>
        <v>0</v>
      </c>
      <c r="AO7" s="397" t="n">
        <f aca="false">AN7-AM7</f>
        <v>0</v>
      </c>
      <c r="AP7" s="397" t="n">
        <f aca="false">AP6+AO7</f>
        <v>0</v>
      </c>
      <c r="AQ7" s="398"/>
      <c r="AR7" s="384" t="n">
        <f aca="false">+OCCMarkets!AX7</f>
        <v>199</v>
      </c>
      <c r="AS7" s="384" t="n">
        <f aca="false">AR7/2</f>
        <v>99.5</v>
      </c>
      <c r="AT7" s="384" t="n">
        <f aca="false">+OCCMarkets!BB7</f>
        <v>934</v>
      </c>
      <c r="AU7" s="397" t="n">
        <f aca="false">AT7-AS7</f>
        <v>834.5</v>
      </c>
      <c r="AV7" s="397" t="n">
        <f aca="false">AV6+AU7</f>
        <v>2494</v>
      </c>
      <c r="AW7" s="398"/>
      <c r="AX7" s="384" t="n">
        <f aca="false">+OCCMarkets!BE7</f>
        <v>326</v>
      </c>
      <c r="AY7" s="384" t="n">
        <f aca="false">AX7/2</f>
        <v>163</v>
      </c>
      <c r="AZ7" s="384" t="n">
        <f aca="false">+OCCMarkets!BI7</f>
        <v>934</v>
      </c>
      <c r="BA7" s="397" t="n">
        <f aca="false">AZ7-AY7</f>
        <v>771</v>
      </c>
      <c r="BB7" s="397" t="n">
        <f aca="false">BB6+BA7</f>
        <v>2953.5</v>
      </c>
      <c r="BC7" s="398"/>
      <c r="BD7" s="393"/>
      <c r="BE7" s="397" t="n">
        <f aca="false">+B7+H7+N7+T7+Z7+AF7+AL7+AR7+AX7</f>
        <v>89964</v>
      </c>
      <c r="BF7" s="397" t="n">
        <f aca="false">+C7+I7+O7+U7+AA7+AG7+AM7+AS7+AY7</f>
        <v>44982</v>
      </c>
      <c r="BG7" s="397" t="n">
        <f aca="false">+D7+J7+P7+V7+AB7+AH7+AN7+AT7+AZ7</f>
        <v>127013</v>
      </c>
      <c r="BH7" s="397" t="n">
        <f aca="false">+E7+K7+Q7+W7+AC7+AI7+AO7+AU7+BA7</f>
        <v>82031</v>
      </c>
      <c r="BI7" s="397" t="n">
        <f aca="false">+F7+L7+R7+X7+AD7+AJ7+AP7+AV7+BB7</f>
        <v>196331</v>
      </c>
      <c r="BJ7" s="397"/>
    </row>
    <row r="8" customFormat="false" ht="12.75" hidden="false" customHeight="false" outlineLevel="0" collapsed="false">
      <c r="A8" s="394" t="n">
        <f aca="false">+BaseloadMarkets!A8</f>
        <v>36680</v>
      </c>
      <c r="B8" s="395" t="n">
        <f aca="false">+OCCMarkets!O8</f>
        <v>2410</v>
      </c>
      <c r="C8" s="396" t="n">
        <f aca="false">B8/2</f>
        <v>1205</v>
      </c>
      <c r="D8" s="396" t="n">
        <f aca="false">+OCCMarkets!S8</f>
        <v>137</v>
      </c>
      <c r="E8" s="397" t="n">
        <f aca="false">D8-C8</f>
        <v>-1068</v>
      </c>
      <c r="F8" s="397" t="n">
        <f aca="false">F7+E8</f>
        <v>8228</v>
      </c>
      <c r="G8" s="398"/>
      <c r="H8" s="395" t="n">
        <f aca="false">+OCCMarkets!C8</f>
        <v>7180</v>
      </c>
      <c r="I8" s="396" t="n">
        <f aca="false">H8/2</f>
        <v>3590</v>
      </c>
      <c r="J8" s="396" t="n">
        <f aca="false">+OCCMarkets!L8-OCCMarkets!H8</f>
        <v>6800</v>
      </c>
      <c r="K8" s="397" t="n">
        <f aca="false">J8-I8</f>
        <v>3210</v>
      </c>
      <c r="L8" s="397" t="n">
        <f aca="false">L7+K8</f>
        <v>34544</v>
      </c>
      <c r="M8" s="398"/>
      <c r="N8" s="395" t="n">
        <f aca="false">+OCCMarkets!V8</f>
        <v>703</v>
      </c>
      <c r="O8" s="396" t="n">
        <f aca="false">N8/2</f>
        <v>351.5</v>
      </c>
      <c r="P8" s="396" t="n">
        <f aca="false">+OCCMarkets!Z8</f>
        <v>224</v>
      </c>
      <c r="Q8" s="397" t="n">
        <f aca="false">P8-O8</f>
        <v>-127.5</v>
      </c>
      <c r="R8" s="397" t="n">
        <f aca="false">R7+Q8</f>
        <v>9435</v>
      </c>
      <c r="S8" s="398"/>
      <c r="T8" s="384" t="n">
        <f aca="false">+EES!C7</f>
        <v>70000</v>
      </c>
      <c r="U8" s="384" t="n">
        <f aca="false">T8/2</f>
        <v>35000</v>
      </c>
      <c r="V8" s="384" t="n">
        <f aca="false">+EES!AI7-EES!M7</f>
        <v>44929</v>
      </c>
      <c r="W8" s="397" t="n">
        <f aca="false">V8-U8</f>
        <v>9929</v>
      </c>
      <c r="X8" s="397" t="n">
        <f aca="false">X7+W8</f>
        <v>113133</v>
      </c>
      <c r="Y8" s="398"/>
      <c r="Z8" s="384" t="n">
        <f aca="false">+OCCMarkets!AC8</f>
        <v>196</v>
      </c>
      <c r="AA8" s="384" t="n">
        <f aca="false">Z8/2</f>
        <v>98</v>
      </c>
      <c r="AB8" s="384" t="n">
        <f aca="false">+OCCMarkets!AG8</f>
        <v>0</v>
      </c>
      <c r="AC8" s="397" t="n">
        <f aca="false">AB8-AA8</f>
        <v>-98</v>
      </c>
      <c r="AD8" s="397" t="n">
        <f aca="false">AD7+AC8</f>
        <v>2422.5</v>
      </c>
      <c r="AE8" s="398"/>
      <c r="AF8" s="384" t="n">
        <f aca="false">+OCCMarkets!AJ8</f>
        <v>6487</v>
      </c>
      <c r="AG8" s="384" t="n">
        <f aca="false">AF8/2</f>
        <v>3243.5</v>
      </c>
      <c r="AH8" s="384" t="n">
        <f aca="false">+OCCMarkets!AN8</f>
        <v>6208</v>
      </c>
      <c r="AI8" s="397" t="n">
        <f aca="false">AH8-AG8</f>
        <v>2964.5</v>
      </c>
      <c r="AJ8" s="397" t="n">
        <f aca="false">AJ7+AI8</f>
        <v>37931</v>
      </c>
      <c r="AK8" s="398"/>
      <c r="AL8" s="384" t="n">
        <f aca="false">+OCCMarkets!AQ8</f>
        <v>0</v>
      </c>
      <c r="AM8" s="384" t="n">
        <f aca="false">AL8/2</f>
        <v>0</v>
      </c>
      <c r="AN8" s="384" t="n">
        <f aca="false">+OCCMarkets!AU8</f>
        <v>0</v>
      </c>
      <c r="AO8" s="397" t="n">
        <f aca="false">AN8-AM8</f>
        <v>0</v>
      </c>
      <c r="AP8" s="397" t="n">
        <f aca="false">AP7+AO8</f>
        <v>0</v>
      </c>
      <c r="AQ8" s="398"/>
      <c r="AR8" s="384" t="n">
        <f aca="false">+OCCMarkets!AX8</f>
        <v>27</v>
      </c>
      <c r="AS8" s="384" t="n">
        <f aca="false">AR8/2</f>
        <v>13.5</v>
      </c>
      <c r="AT8" s="384" t="n">
        <f aca="false">+OCCMarkets!BB8</f>
        <v>0</v>
      </c>
      <c r="AU8" s="397" t="n">
        <f aca="false">AT8-AS8</f>
        <v>-13.5</v>
      </c>
      <c r="AV8" s="397" t="n">
        <f aca="false">AV7+AU8</f>
        <v>2480.5</v>
      </c>
      <c r="AW8" s="398"/>
      <c r="AX8" s="384" t="n">
        <f aca="false">+OCCMarkets!BE8</f>
        <v>184</v>
      </c>
      <c r="AY8" s="384" t="n">
        <f aca="false">AX8/2</f>
        <v>92</v>
      </c>
      <c r="AZ8" s="384" t="n">
        <f aca="false">+OCCMarkets!BI8</f>
        <v>0</v>
      </c>
      <c r="BA8" s="397" t="n">
        <f aca="false">AZ8-AY8</f>
        <v>-92</v>
      </c>
      <c r="BB8" s="397" t="n">
        <f aca="false">BB7+BA8</f>
        <v>2861.5</v>
      </c>
      <c r="BC8" s="398"/>
      <c r="BD8" s="393"/>
      <c r="BE8" s="397" t="n">
        <f aca="false">+B8+H8+N8+T8+Z8+AF8+AL8+AR8+AX8</f>
        <v>87187</v>
      </c>
      <c r="BF8" s="397" t="n">
        <f aca="false">+C8+I8+O8+U8+AA8+AG8+AM8+AS8+AY8</f>
        <v>43593.5</v>
      </c>
      <c r="BG8" s="397" t="n">
        <f aca="false">+D8+J8+P8+V8+AB8+AH8+AN8+AT8+AZ8</f>
        <v>58298</v>
      </c>
      <c r="BH8" s="397" t="n">
        <f aca="false">+E8+K8+Q8+W8+AC8+AI8+AO8+AU8+BA8</f>
        <v>14704.5</v>
      </c>
      <c r="BI8" s="397" t="n">
        <f aca="false">+F8+L8+R8+X8+AD8+AJ8+AP8+AV8+BB8</f>
        <v>211035.5</v>
      </c>
      <c r="BJ8" s="397"/>
    </row>
    <row r="9" customFormat="false" ht="12.75" hidden="false" customHeight="false" outlineLevel="0" collapsed="false">
      <c r="A9" s="394" t="n">
        <f aca="false">+BaseloadMarkets!A9</f>
        <v>36681</v>
      </c>
      <c r="B9" s="395" t="n">
        <f aca="false">+OCCMarkets!O9</f>
        <v>2196</v>
      </c>
      <c r="C9" s="396" t="n">
        <f aca="false">B9/2</f>
        <v>1098</v>
      </c>
      <c r="D9" s="396" t="n">
        <f aca="false">+OCCMarkets!S9</f>
        <v>625</v>
      </c>
      <c r="E9" s="397" t="n">
        <f aca="false">D9-C9</f>
        <v>-473</v>
      </c>
      <c r="F9" s="397" t="n">
        <f aca="false">F8+E9</f>
        <v>7755</v>
      </c>
      <c r="G9" s="398"/>
      <c r="H9" s="395" t="n">
        <f aca="false">+OCCMarkets!C9</f>
        <v>9117</v>
      </c>
      <c r="I9" s="396" t="n">
        <f aca="false">H9/2</f>
        <v>4558.5</v>
      </c>
      <c r="J9" s="396" t="n">
        <f aca="false">+OCCMarkets!L9-OCCMarkets!H9</f>
        <v>7153</v>
      </c>
      <c r="K9" s="397" t="n">
        <f aca="false">J9-I9</f>
        <v>2594.5</v>
      </c>
      <c r="L9" s="397" t="n">
        <f aca="false">L8+K9</f>
        <v>37138.5</v>
      </c>
      <c r="M9" s="398"/>
      <c r="N9" s="395" t="n">
        <f aca="false">+OCCMarkets!V9</f>
        <v>570</v>
      </c>
      <c r="O9" s="396" t="n">
        <f aca="false">N9/2</f>
        <v>285</v>
      </c>
      <c r="P9" s="396" t="n">
        <f aca="false">+OCCMarkets!Z9</f>
        <v>333</v>
      </c>
      <c r="Q9" s="397" t="n">
        <f aca="false">P9-O9</f>
        <v>48</v>
      </c>
      <c r="R9" s="397" t="n">
        <f aca="false">R8+Q9</f>
        <v>9483</v>
      </c>
      <c r="S9" s="398"/>
      <c r="T9" s="384" t="n">
        <f aca="false">+EES!C8</f>
        <v>70000</v>
      </c>
      <c r="U9" s="384" t="n">
        <f aca="false">T9/2</f>
        <v>35000</v>
      </c>
      <c r="V9" s="384" t="n">
        <f aca="false">+EES!AI8-EES!M8</f>
        <v>48315</v>
      </c>
      <c r="W9" s="397" t="n">
        <f aca="false">V9-U9</f>
        <v>13315</v>
      </c>
      <c r="X9" s="397" t="n">
        <f aca="false">X8+W9</f>
        <v>126448</v>
      </c>
      <c r="Y9" s="398"/>
      <c r="Z9" s="384" t="n">
        <f aca="false">+OCCMarkets!AC9</f>
        <v>29</v>
      </c>
      <c r="AA9" s="384" t="n">
        <f aca="false">Z9/2</f>
        <v>14.5</v>
      </c>
      <c r="AB9" s="384" t="n">
        <f aca="false">+OCCMarkets!AG9</f>
        <v>0</v>
      </c>
      <c r="AC9" s="397" t="n">
        <f aca="false">AB9-AA9</f>
        <v>-14.5</v>
      </c>
      <c r="AD9" s="397" t="n">
        <f aca="false">AD8+AC9</f>
        <v>2408</v>
      </c>
      <c r="AE9" s="398"/>
      <c r="AF9" s="384" t="n">
        <f aca="false">+OCCMarkets!AJ9</f>
        <v>8902</v>
      </c>
      <c r="AG9" s="384" t="n">
        <f aca="false">AF9/2</f>
        <v>4451</v>
      </c>
      <c r="AH9" s="384" t="n">
        <f aca="false">+OCCMarkets!AN9</f>
        <v>5209</v>
      </c>
      <c r="AI9" s="397" t="n">
        <f aca="false">AH9-AG9</f>
        <v>758</v>
      </c>
      <c r="AJ9" s="397" t="n">
        <f aca="false">AJ8+AI9</f>
        <v>38689</v>
      </c>
      <c r="AK9" s="398"/>
      <c r="AL9" s="384" t="n">
        <f aca="false">+OCCMarkets!AQ9</f>
        <v>0</v>
      </c>
      <c r="AM9" s="384" t="n">
        <f aca="false">AL9/2</f>
        <v>0</v>
      </c>
      <c r="AN9" s="384" t="n">
        <f aca="false">+OCCMarkets!AU9</f>
        <v>0</v>
      </c>
      <c r="AO9" s="397" t="n">
        <f aca="false">AN9-AM9</f>
        <v>0</v>
      </c>
      <c r="AP9" s="397" t="n">
        <f aca="false">AP8+AO9</f>
        <v>0</v>
      </c>
      <c r="AQ9" s="398"/>
      <c r="AR9" s="384" t="n">
        <f aca="false">+OCCMarkets!AX9</f>
        <v>0</v>
      </c>
      <c r="AS9" s="384" t="n">
        <f aca="false">AR9/2</f>
        <v>0</v>
      </c>
      <c r="AT9" s="384" t="n">
        <f aca="false">+OCCMarkets!BB9</f>
        <v>0</v>
      </c>
      <c r="AU9" s="397" t="n">
        <f aca="false">AT9-AS9</f>
        <v>0</v>
      </c>
      <c r="AV9" s="397" t="n">
        <f aca="false">AV8+AU9</f>
        <v>2480.5</v>
      </c>
      <c r="AW9" s="398"/>
      <c r="AX9" s="384" t="n">
        <f aca="false">+OCCMarkets!BE9</f>
        <v>0</v>
      </c>
      <c r="AY9" s="384" t="n">
        <f aca="false">AX9/2</f>
        <v>0</v>
      </c>
      <c r="AZ9" s="384" t="n">
        <f aca="false">+OCCMarkets!BI9</f>
        <v>0</v>
      </c>
      <c r="BA9" s="397" t="n">
        <f aca="false">AZ9-AY9</f>
        <v>0</v>
      </c>
      <c r="BB9" s="397" t="n">
        <f aca="false">BB8+BA9</f>
        <v>2861.5</v>
      </c>
      <c r="BC9" s="398"/>
      <c r="BD9" s="393"/>
      <c r="BE9" s="397" t="n">
        <f aca="false">+B9+H9+N9+T9+Z9+AF9+AL9+AR9+AX9</f>
        <v>90814</v>
      </c>
      <c r="BF9" s="397" t="n">
        <f aca="false">+C9+I9+O9+U9+AA9+AG9+AM9+AS9+AY9</f>
        <v>45407</v>
      </c>
      <c r="BG9" s="397" t="n">
        <f aca="false">+D9+J9+P9+V9+AB9+AH9+AN9+AT9+AZ9</f>
        <v>61635</v>
      </c>
      <c r="BH9" s="397" t="n">
        <f aca="false">+E9+K9+Q9+W9+AC9+AI9+AO9+AU9+BA9</f>
        <v>16228</v>
      </c>
      <c r="BI9" s="397" t="n">
        <f aca="false">+F9+L9+R9+X9+AD9+AJ9+AP9+AV9+BB9</f>
        <v>227263.5</v>
      </c>
      <c r="BJ9" s="397"/>
    </row>
    <row r="10" customFormat="false" ht="12.75" hidden="false" customHeight="false" outlineLevel="0" collapsed="false">
      <c r="A10" s="394" t="n">
        <f aca="false">+BaseloadMarkets!A10</f>
        <v>36682</v>
      </c>
      <c r="B10" s="395" t="n">
        <f aca="false">+OCCMarkets!O10</f>
        <v>1435</v>
      </c>
      <c r="C10" s="396" t="n">
        <f aca="false">B10/2</f>
        <v>717.5</v>
      </c>
      <c r="D10" s="396" t="n">
        <f aca="false">+OCCMarkets!S10</f>
        <v>124</v>
      </c>
      <c r="E10" s="397" t="n">
        <f aca="false">D10-C10</f>
        <v>-593.5</v>
      </c>
      <c r="F10" s="397" t="n">
        <f aca="false">F9+E10</f>
        <v>7161.5</v>
      </c>
      <c r="G10" s="398" t="n">
        <f aca="false">SUM(E6:E10)</f>
        <v>7161.5</v>
      </c>
      <c r="H10" s="395" t="n">
        <f aca="false">+OCCMarkets!C10</f>
        <v>10652</v>
      </c>
      <c r="I10" s="396" t="n">
        <f aca="false">H10/2</f>
        <v>5326</v>
      </c>
      <c r="J10" s="396" t="n">
        <f aca="false">+OCCMarkets!L10-OCCMarkets!H10</f>
        <v>6108</v>
      </c>
      <c r="K10" s="397" t="n">
        <f aca="false">J10-I10</f>
        <v>782</v>
      </c>
      <c r="L10" s="397" t="n">
        <f aca="false">L9+K10</f>
        <v>37920.5</v>
      </c>
      <c r="M10" s="398" t="n">
        <f aca="false">SUM(K6:K10)</f>
        <v>37920.5</v>
      </c>
      <c r="N10" s="395" t="n">
        <f aca="false">+OCCMarkets!V10</f>
        <v>108</v>
      </c>
      <c r="O10" s="396" t="n">
        <f aca="false">N10/2</f>
        <v>54</v>
      </c>
      <c r="P10" s="396" t="n">
        <f aca="false">+OCCMarkets!Z10</f>
        <v>603</v>
      </c>
      <c r="Q10" s="397" t="n">
        <f aca="false">P10-O10</f>
        <v>549</v>
      </c>
      <c r="R10" s="397" t="n">
        <f aca="false">R9+Q10</f>
        <v>10032</v>
      </c>
      <c r="S10" s="398" t="n">
        <f aca="false">SUM(Q6:Q10)</f>
        <v>10032</v>
      </c>
      <c r="T10" s="384" t="n">
        <f aca="false">+EES!C9</f>
        <v>70000</v>
      </c>
      <c r="U10" s="384" t="n">
        <f aca="false">T10/2</f>
        <v>35000</v>
      </c>
      <c r="V10" s="384" t="n">
        <f aca="false">+EES!AI9-EES!M9</f>
        <v>86513</v>
      </c>
      <c r="W10" s="397" t="n">
        <f aca="false">V10-U10</f>
        <v>51513</v>
      </c>
      <c r="X10" s="397" t="n">
        <f aca="false">X9+W10</f>
        <v>177961</v>
      </c>
      <c r="Y10" s="398" t="n">
        <f aca="false">SUM(W6:W10)</f>
        <v>177961</v>
      </c>
      <c r="Z10" s="384" t="n">
        <f aca="false">+OCCMarkets!AC10</f>
        <v>99</v>
      </c>
      <c r="AA10" s="384" t="n">
        <f aca="false">Z10/2</f>
        <v>49.5</v>
      </c>
      <c r="AB10" s="384" t="n">
        <f aca="false">+OCCMarkets!AG10</f>
        <v>0</v>
      </c>
      <c r="AC10" s="397" t="n">
        <f aca="false">AB10-AA10</f>
        <v>-49.5</v>
      </c>
      <c r="AD10" s="397" t="n">
        <f aca="false">AD9+AC10</f>
        <v>2358.5</v>
      </c>
      <c r="AE10" s="398" t="n">
        <f aca="false">SUM(AC6:AC10)</f>
        <v>2358.5</v>
      </c>
      <c r="AF10" s="384" t="n">
        <f aca="false">+OCCMarkets!AJ10</f>
        <v>9253</v>
      </c>
      <c r="AG10" s="384" t="n">
        <f aca="false">AF10/2</f>
        <v>4626.5</v>
      </c>
      <c r="AH10" s="384" t="n">
        <f aca="false">+OCCMarkets!AN10</f>
        <v>5938</v>
      </c>
      <c r="AI10" s="397" t="n">
        <f aca="false">AH10-AG10</f>
        <v>1311.5</v>
      </c>
      <c r="AJ10" s="397" t="n">
        <f aca="false">AJ9+AI10</f>
        <v>40000.5</v>
      </c>
      <c r="AK10" s="398" t="n">
        <f aca="false">SUM(AI6:AI10)</f>
        <v>40000.5</v>
      </c>
      <c r="AL10" s="384" t="n">
        <f aca="false">+OCCMarkets!AQ10</f>
        <v>0</v>
      </c>
      <c r="AM10" s="384" t="n">
        <f aca="false">AL10/2</f>
        <v>0</v>
      </c>
      <c r="AN10" s="384" t="n">
        <f aca="false">+OCCMarkets!AU10</f>
        <v>0</v>
      </c>
      <c r="AO10" s="397" t="n">
        <f aca="false">AN10-AM10</f>
        <v>0</v>
      </c>
      <c r="AP10" s="397" t="n">
        <f aca="false">AP9+AO10</f>
        <v>0</v>
      </c>
      <c r="AQ10" s="398" t="n">
        <f aca="false">SUM(AO6:AO10)</f>
        <v>0</v>
      </c>
      <c r="AR10" s="384" t="n">
        <f aca="false">+OCCMarkets!AX10</f>
        <v>172</v>
      </c>
      <c r="AS10" s="384" t="n">
        <f aca="false">AR10/2</f>
        <v>86</v>
      </c>
      <c r="AT10" s="384" t="n">
        <f aca="false">+OCCMarkets!BB10</f>
        <v>0</v>
      </c>
      <c r="AU10" s="397" t="n">
        <f aca="false">AT10-AS10</f>
        <v>-86</v>
      </c>
      <c r="AV10" s="397" t="n">
        <f aca="false">AV9+AU10</f>
        <v>2394.5</v>
      </c>
      <c r="AW10" s="398" t="n">
        <f aca="false">SUM(AU6:AU10)</f>
        <v>2394.5</v>
      </c>
      <c r="AX10" s="384" t="n">
        <f aca="false">+OCCMarkets!BE10</f>
        <v>271</v>
      </c>
      <c r="AY10" s="384" t="n">
        <f aca="false">AX10/2</f>
        <v>135.5</v>
      </c>
      <c r="AZ10" s="384" t="n">
        <f aca="false">+OCCMarkets!BI10</f>
        <v>0</v>
      </c>
      <c r="BA10" s="397" t="n">
        <f aca="false">AZ10-AY10</f>
        <v>-135.5</v>
      </c>
      <c r="BB10" s="397" t="n">
        <f aca="false">BB9+BA10</f>
        <v>2726</v>
      </c>
      <c r="BC10" s="398" t="n">
        <f aca="false">SUM(BA6:BA10)</f>
        <v>2726</v>
      </c>
      <c r="BD10" s="393"/>
      <c r="BE10" s="397" t="n">
        <f aca="false">+B10+H10+N10+T10+Z10+AF10+AL10+AR10+AX10</f>
        <v>91990</v>
      </c>
      <c r="BF10" s="397" t="n">
        <f aca="false">+C10+I10+O10+U10+AA10+AG10+AM10+AS10+AY10</f>
        <v>45995</v>
      </c>
      <c r="BG10" s="397" t="n">
        <f aca="false">+D10+J10+P10+V10+AB10+AH10+AN10+AT10+AZ10</f>
        <v>99286</v>
      </c>
      <c r="BH10" s="397" t="n">
        <f aca="false">+E10+K10+Q10+W10+AC10+AI10+AO10+AU10+BA10</f>
        <v>53291</v>
      </c>
      <c r="BI10" s="397" t="n">
        <f aca="false">+F10+L10+R10+X10+AD10+AJ10+AP10+AV10+BB10</f>
        <v>280554.5</v>
      </c>
      <c r="BJ10" s="393" t="n">
        <f aca="false">+G10+M10+S10+Y10+AE10+AK10+AQ10+AW10+BC10</f>
        <v>280554.5</v>
      </c>
      <c r="BK10" s="399"/>
    </row>
    <row r="11" customFormat="false" ht="12.75" hidden="false" customHeight="false" outlineLevel="0" collapsed="false">
      <c r="A11" s="394" t="n">
        <f aca="false">+BaseloadMarkets!A11</f>
        <v>36683</v>
      </c>
      <c r="B11" s="395" t="n">
        <f aca="false">+OCCMarkets!O11</f>
        <v>1746</v>
      </c>
      <c r="C11" s="396" t="n">
        <f aca="false">B11/2</f>
        <v>873</v>
      </c>
      <c r="D11" s="396" t="n">
        <f aca="false">+OCCMarkets!S11</f>
        <v>0</v>
      </c>
      <c r="E11" s="397" t="n">
        <f aca="false">D11-C11</f>
        <v>-873</v>
      </c>
      <c r="F11" s="397" t="n">
        <f aca="false">F10+E11</f>
        <v>6288.5</v>
      </c>
      <c r="G11" s="398"/>
      <c r="H11" s="395" t="n">
        <f aca="false">+OCCMarkets!C11</f>
        <v>10354</v>
      </c>
      <c r="I11" s="396" t="n">
        <f aca="false">H11/2</f>
        <v>5177</v>
      </c>
      <c r="J11" s="396" t="n">
        <f aca="false">+OCCMarkets!L11-OCCMarkets!H11</f>
        <v>16881</v>
      </c>
      <c r="K11" s="397" t="n">
        <f aca="false">J11-I11</f>
        <v>11704</v>
      </c>
      <c r="L11" s="397" t="n">
        <f aca="false">L10+K11</f>
        <v>49624.5</v>
      </c>
      <c r="M11" s="398"/>
      <c r="N11" s="395" t="n">
        <f aca="false">+OCCMarkets!V11</f>
        <v>1392</v>
      </c>
      <c r="O11" s="396" t="n">
        <f aca="false">N11/2</f>
        <v>696</v>
      </c>
      <c r="P11" s="396" t="n">
        <f aca="false">+OCCMarkets!Z11</f>
        <v>450</v>
      </c>
      <c r="Q11" s="397" t="n">
        <f aca="false">P11-O11</f>
        <v>-246</v>
      </c>
      <c r="R11" s="397" t="n">
        <f aca="false">R10+Q11</f>
        <v>9786</v>
      </c>
      <c r="S11" s="398"/>
      <c r="T11" s="384" t="n">
        <f aca="false">+EES!C10</f>
        <v>70000</v>
      </c>
      <c r="U11" s="384" t="n">
        <f aca="false">T11/2</f>
        <v>35000</v>
      </c>
      <c r="V11" s="384" t="n">
        <f aca="false">+EES!AI10-EES!M10</f>
        <v>82844</v>
      </c>
      <c r="W11" s="397" t="n">
        <f aca="false">V11-U11</f>
        <v>47844</v>
      </c>
      <c r="X11" s="397" t="n">
        <f aca="false">X10+W11</f>
        <v>225805</v>
      </c>
      <c r="Y11" s="398"/>
      <c r="Z11" s="384" t="n">
        <f aca="false">+OCCMarkets!AC11</f>
        <v>211</v>
      </c>
      <c r="AA11" s="384" t="n">
        <f aca="false">Z11/2</f>
        <v>105.5</v>
      </c>
      <c r="AB11" s="384" t="n">
        <f aca="false">+OCCMarkets!AG11</f>
        <v>361</v>
      </c>
      <c r="AC11" s="397" t="n">
        <f aca="false">AB11-AA11</f>
        <v>255.5</v>
      </c>
      <c r="AD11" s="397" t="n">
        <f aca="false">AD10+AC11</f>
        <v>2614</v>
      </c>
      <c r="AE11" s="398"/>
      <c r="AF11" s="384" t="n">
        <f aca="false">+OCCMarkets!AJ11</f>
        <v>9307</v>
      </c>
      <c r="AG11" s="384" t="n">
        <f aca="false">AF11/2</f>
        <v>4653.5</v>
      </c>
      <c r="AH11" s="384" t="n">
        <f aca="false">+OCCMarkets!AN11</f>
        <v>22248</v>
      </c>
      <c r="AI11" s="397" t="n">
        <f aca="false">AH11-AG11</f>
        <v>17594.5</v>
      </c>
      <c r="AJ11" s="397" t="n">
        <f aca="false">AJ10+AI11</f>
        <v>57595</v>
      </c>
      <c r="AK11" s="398"/>
      <c r="AL11" s="384" t="n">
        <f aca="false">+OCCMarkets!AQ11</f>
        <v>0</v>
      </c>
      <c r="AM11" s="384" t="n">
        <f aca="false">AL11/2</f>
        <v>0</v>
      </c>
      <c r="AN11" s="384" t="n">
        <f aca="false">+OCCMarkets!AU11</f>
        <v>0</v>
      </c>
      <c r="AO11" s="397" t="n">
        <f aca="false">AN11-AM11</f>
        <v>0</v>
      </c>
      <c r="AP11" s="397" t="n">
        <f aca="false">AP10+AO11</f>
        <v>0</v>
      </c>
      <c r="AQ11" s="398"/>
      <c r="AR11" s="384" t="n">
        <f aca="false">+OCCMarkets!AX11</f>
        <v>199</v>
      </c>
      <c r="AS11" s="384" t="n">
        <f aca="false">AR11/2</f>
        <v>99.5</v>
      </c>
      <c r="AT11" s="384" t="n">
        <f aca="false">+OCCMarkets!BB11</f>
        <v>361</v>
      </c>
      <c r="AU11" s="397" t="n">
        <f aca="false">AT11-AS11</f>
        <v>261.5</v>
      </c>
      <c r="AV11" s="397" t="n">
        <f aca="false">AV10+AU11</f>
        <v>2656</v>
      </c>
      <c r="AW11" s="398"/>
      <c r="AX11" s="384" t="n">
        <f aca="false">+OCCMarkets!BE11</f>
        <v>327</v>
      </c>
      <c r="AY11" s="384" t="n">
        <f aca="false">AX11/2</f>
        <v>163.5</v>
      </c>
      <c r="AZ11" s="384" t="n">
        <f aca="false">+OCCMarkets!BI11</f>
        <v>361</v>
      </c>
      <c r="BA11" s="397" t="n">
        <f aca="false">AZ11-AY11</f>
        <v>197.5</v>
      </c>
      <c r="BB11" s="397" t="n">
        <f aca="false">BB10+BA11</f>
        <v>2923.5</v>
      </c>
      <c r="BC11" s="398"/>
      <c r="BD11" s="393"/>
      <c r="BE11" s="397" t="n">
        <f aca="false">+B11+H11+N11+T11+Z11+AF11+AL11+AR11+AX11</f>
        <v>93536</v>
      </c>
      <c r="BF11" s="397" t="n">
        <f aca="false">+C11+I11+O11+U11+AA11+AG11+AM11+AS11+AY11</f>
        <v>46768</v>
      </c>
      <c r="BG11" s="397" t="n">
        <f aca="false">+D11+J11+P11+V11+AB11+AH11+AN11+AT11+AZ11</f>
        <v>123506</v>
      </c>
      <c r="BH11" s="397" t="n">
        <f aca="false">+E11+K11+Q11+W11+AC11+AI11+AO11+AU11+BA11</f>
        <v>76738</v>
      </c>
      <c r="BI11" s="397" t="n">
        <f aca="false">+F11+L11+R11+X11+AD11+AJ11+AP11+AV11+BB11</f>
        <v>357292.5</v>
      </c>
      <c r="BJ11" s="397"/>
    </row>
    <row r="12" customFormat="false" ht="12.75" hidden="false" customHeight="false" outlineLevel="0" collapsed="false">
      <c r="A12" s="394" t="n">
        <f aca="false">+BaseloadMarkets!A12</f>
        <v>36684</v>
      </c>
      <c r="B12" s="395" t="n">
        <f aca="false">+OCCMarkets!O12</f>
        <v>2177</v>
      </c>
      <c r="C12" s="396" t="n">
        <f aca="false">B12/2</f>
        <v>1088.5</v>
      </c>
      <c r="D12" s="396" t="n">
        <f aca="false">+OCCMarkets!S12</f>
        <v>4086</v>
      </c>
      <c r="E12" s="397" t="n">
        <f aca="false">D12-C12</f>
        <v>2997.5</v>
      </c>
      <c r="F12" s="397" t="n">
        <f aca="false">F11+E12</f>
        <v>9286</v>
      </c>
      <c r="G12" s="398"/>
      <c r="H12" s="395" t="n">
        <f aca="false">+OCCMarkets!C12</f>
        <v>9906</v>
      </c>
      <c r="I12" s="396" t="n">
        <f aca="false">H12/2</f>
        <v>4953</v>
      </c>
      <c r="J12" s="396" t="n">
        <f aca="false">+OCCMarkets!L12-OCCMarkets!H12</f>
        <v>53567</v>
      </c>
      <c r="K12" s="397" t="n">
        <f aca="false">J12-I12</f>
        <v>48614</v>
      </c>
      <c r="L12" s="397" t="n">
        <f aca="false">L11+K12</f>
        <v>98238.5</v>
      </c>
      <c r="M12" s="398"/>
      <c r="N12" s="395" t="n">
        <f aca="false">+OCCMarkets!V12</f>
        <v>1446</v>
      </c>
      <c r="O12" s="396" t="n">
        <f aca="false">N12/2</f>
        <v>723</v>
      </c>
      <c r="P12" s="396" t="n">
        <f aca="false">+OCCMarkets!Z12</f>
        <v>4087</v>
      </c>
      <c r="Q12" s="397" t="n">
        <f aca="false">P12-O12</f>
        <v>3364</v>
      </c>
      <c r="R12" s="397" t="n">
        <f aca="false">R11+Q12</f>
        <v>13150</v>
      </c>
      <c r="S12" s="398"/>
      <c r="T12" s="384" t="n">
        <f aca="false">+EES!C11</f>
        <v>70000</v>
      </c>
      <c r="U12" s="384" t="n">
        <f aca="false">T12/2</f>
        <v>35000</v>
      </c>
      <c r="V12" s="384" t="n">
        <f aca="false">+EES!AI11-EES!M11</f>
        <v>58102</v>
      </c>
      <c r="W12" s="397" t="n">
        <f aca="false">V12-U12</f>
        <v>23102</v>
      </c>
      <c r="X12" s="397" t="n">
        <f aca="false">X11+W12</f>
        <v>248907</v>
      </c>
      <c r="Y12" s="398"/>
      <c r="Z12" s="384" t="n">
        <f aca="false">+OCCMarkets!AC12</f>
        <v>190</v>
      </c>
      <c r="AA12" s="384" t="n">
        <f aca="false">Z12/2</f>
        <v>95</v>
      </c>
      <c r="AB12" s="384" t="n">
        <f aca="false">+OCCMarkets!AG12</f>
        <v>204</v>
      </c>
      <c r="AC12" s="397" t="n">
        <f aca="false">AB12-AA12</f>
        <v>109</v>
      </c>
      <c r="AD12" s="397" t="n">
        <f aca="false">AD11+AC12</f>
        <v>2723</v>
      </c>
      <c r="AE12" s="398"/>
      <c r="AF12" s="384" t="n">
        <f aca="false">+OCCMarkets!AJ12</f>
        <v>9274</v>
      </c>
      <c r="AG12" s="384" t="n">
        <f aca="false">AF12/2</f>
        <v>4637</v>
      </c>
      <c r="AH12" s="384" t="n">
        <f aca="false">+OCCMarkets!AN12</f>
        <v>70407</v>
      </c>
      <c r="AI12" s="397" t="n">
        <f aca="false">AH12-AG12</f>
        <v>65770</v>
      </c>
      <c r="AJ12" s="397" t="n">
        <f aca="false">AJ11+AI12</f>
        <v>123365</v>
      </c>
      <c r="AK12" s="398"/>
      <c r="AL12" s="384" t="n">
        <f aca="false">+OCCMarkets!AQ12</f>
        <v>0</v>
      </c>
      <c r="AM12" s="384" t="n">
        <f aca="false">AL12/2</f>
        <v>0</v>
      </c>
      <c r="AN12" s="384" t="n">
        <f aca="false">+OCCMarkets!AU12</f>
        <v>0</v>
      </c>
      <c r="AO12" s="397" t="n">
        <f aca="false">AN12-AM12</f>
        <v>0</v>
      </c>
      <c r="AP12" s="397" t="n">
        <f aca="false">AP11+AO12</f>
        <v>0</v>
      </c>
      <c r="AQ12" s="398"/>
      <c r="AR12" s="384" t="n">
        <f aca="false">+OCCMarkets!AX12</f>
        <v>192</v>
      </c>
      <c r="AS12" s="384" t="n">
        <f aca="false">AR12/2</f>
        <v>96</v>
      </c>
      <c r="AT12" s="384" t="n">
        <f aca="false">+OCCMarkets!BB12</f>
        <v>204</v>
      </c>
      <c r="AU12" s="397" t="n">
        <f aca="false">AT12-AS12</f>
        <v>108</v>
      </c>
      <c r="AV12" s="397" t="n">
        <f aca="false">AV11+AU12</f>
        <v>2764</v>
      </c>
      <c r="AW12" s="398"/>
      <c r="AX12" s="384" t="n">
        <f aca="false">+OCCMarkets!BE12</f>
        <v>323</v>
      </c>
      <c r="AY12" s="384" t="n">
        <f aca="false">AX12/2</f>
        <v>161.5</v>
      </c>
      <c r="AZ12" s="384" t="n">
        <f aca="false">+OCCMarkets!BI12</f>
        <v>656</v>
      </c>
      <c r="BA12" s="397" t="n">
        <f aca="false">AZ12-AY12</f>
        <v>494.5</v>
      </c>
      <c r="BB12" s="397" t="n">
        <f aca="false">BB11+BA12</f>
        <v>3418</v>
      </c>
      <c r="BC12" s="398"/>
      <c r="BD12" s="393"/>
      <c r="BE12" s="397" t="n">
        <f aca="false">+B12+H12+N12+T12+Z12+AF12+AL12+AR12+AX12</f>
        <v>93508</v>
      </c>
      <c r="BF12" s="397" t="n">
        <f aca="false">+C12+I12+O12+U12+AA12+AG12+AM12+AS12+AY12</f>
        <v>46754</v>
      </c>
      <c r="BG12" s="397" t="n">
        <f aca="false">+D12+J12+P12+V12+AB12+AH12+AN12+AT12+AZ12</f>
        <v>191313</v>
      </c>
      <c r="BH12" s="397" t="n">
        <f aca="false">+E12+K12+Q12+W12+AC12+AI12+AO12+AU12+BA12</f>
        <v>144559</v>
      </c>
      <c r="BI12" s="397" t="n">
        <f aca="false">+F12+L12+R12+X12+AD12+AJ12+AP12+AV12+BB12</f>
        <v>501851.5</v>
      </c>
      <c r="BJ12" s="397"/>
    </row>
    <row r="13" customFormat="false" ht="12.75" hidden="false" customHeight="false" outlineLevel="0" collapsed="false">
      <c r="A13" s="394" t="n">
        <f aca="false">+BaseloadMarkets!A13</f>
        <v>36685</v>
      </c>
      <c r="B13" s="395" t="n">
        <f aca="false">+OCCMarkets!O13</f>
        <v>1371</v>
      </c>
      <c r="C13" s="396" t="n">
        <f aca="false">B13/2</f>
        <v>685.5</v>
      </c>
      <c r="D13" s="396" t="n">
        <f aca="false">+OCCMarkets!S13</f>
        <v>2088</v>
      </c>
      <c r="E13" s="397" t="n">
        <f aca="false">D13-C13</f>
        <v>1402.5</v>
      </c>
      <c r="F13" s="397" t="n">
        <f aca="false">F12+E13</f>
        <v>10688.5</v>
      </c>
      <c r="G13" s="398"/>
      <c r="H13" s="395" t="n">
        <f aca="false">+OCCMarkets!C13</f>
        <v>6651</v>
      </c>
      <c r="I13" s="396" t="n">
        <f aca="false">H13/2</f>
        <v>3325.5</v>
      </c>
      <c r="J13" s="396" t="n">
        <f aca="false">+OCCMarkets!L13-OCCMarkets!H13</f>
        <v>15609</v>
      </c>
      <c r="K13" s="397" t="n">
        <f aca="false">J13-I13</f>
        <v>12283.5</v>
      </c>
      <c r="L13" s="397" t="n">
        <f aca="false">L12+K13</f>
        <v>110522</v>
      </c>
      <c r="M13" s="398"/>
      <c r="N13" s="395" t="n">
        <f aca="false">+OCCMarkets!V13</f>
        <v>1365</v>
      </c>
      <c r="O13" s="396" t="n">
        <f aca="false">N13/2</f>
        <v>682.5</v>
      </c>
      <c r="P13" s="396" t="n">
        <f aca="false">+OCCMarkets!Z13</f>
        <v>2088</v>
      </c>
      <c r="Q13" s="397" t="n">
        <f aca="false">P13-O13</f>
        <v>1405.5</v>
      </c>
      <c r="R13" s="397" t="n">
        <f aca="false">R12+Q13</f>
        <v>14555.5</v>
      </c>
      <c r="S13" s="398"/>
      <c r="T13" s="384" t="n">
        <f aca="false">+EES!C12</f>
        <v>70000</v>
      </c>
      <c r="U13" s="384" t="n">
        <f aca="false">T13/2</f>
        <v>35000</v>
      </c>
      <c r="V13" s="384" t="n">
        <f aca="false">+EES!AI12-EES!M12</f>
        <v>185172</v>
      </c>
      <c r="W13" s="397" t="n">
        <f aca="false">V13-U13</f>
        <v>150172</v>
      </c>
      <c r="X13" s="397" t="n">
        <f aca="false">X12+W13</f>
        <v>399079</v>
      </c>
      <c r="Y13" s="398"/>
      <c r="Z13" s="384" t="n">
        <f aca="false">+OCCMarkets!AC13</f>
        <v>200</v>
      </c>
      <c r="AA13" s="384" t="n">
        <f aca="false">Z13/2</f>
        <v>100</v>
      </c>
      <c r="AB13" s="384" t="n">
        <f aca="false">+OCCMarkets!AG13</f>
        <v>418</v>
      </c>
      <c r="AC13" s="397" t="n">
        <f aca="false">AB13-AA13</f>
        <v>318</v>
      </c>
      <c r="AD13" s="397" t="n">
        <f aca="false">AD12+AC13</f>
        <v>3041</v>
      </c>
      <c r="AE13" s="398"/>
      <c r="AF13" s="384" t="n">
        <f aca="false">+OCCMarkets!AJ13</f>
        <v>9399</v>
      </c>
      <c r="AG13" s="384" t="n">
        <f aca="false">AF13/2</f>
        <v>4699.5</v>
      </c>
      <c r="AH13" s="384" t="n">
        <f aca="false">+OCCMarkets!AN13</f>
        <v>28556</v>
      </c>
      <c r="AI13" s="397" t="n">
        <f aca="false">AH13-AG13</f>
        <v>23856.5</v>
      </c>
      <c r="AJ13" s="397" t="n">
        <f aca="false">AJ12+AI13</f>
        <v>147221.5</v>
      </c>
      <c r="AK13" s="398"/>
      <c r="AL13" s="384" t="n">
        <f aca="false">+OCCMarkets!AQ13</f>
        <v>0</v>
      </c>
      <c r="AM13" s="384" t="n">
        <f aca="false">AL13/2</f>
        <v>0</v>
      </c>
      <c r="AN13" s="384" t="n">
        <f aca="false">+OCCMarkets!AU13</f>
        <v>0</v>
      </c>
      <c r="AO13" s="397" t="n">
        <f aca="false">AN13-AM13</f>
        <v>0</v>
      </c>
      <c r="AP13" s="397" t="n">
        <f aca="false">AP12+AO13</f>
        <v>0</v>
      </c>
      <c r="AQ13" s="398"/>
      <c r="AR13" s="384" t="n">
        <f aca="false">+OCCMarkets!AX13</f>
        <v>200</v>
      </c>
      <c r="AS13" s="384" t="n">
        <f aca="false">AR13/2</f>
        <v>100</v>
      </c>
      <c r="AT13" s="384" t="n">
        <f aca="false">+OCCMarkets!BB13</f>
        <v>418</v>
      </c>
      <c r="AU13" s="397" t="n">
        <f aca="false">AT13-AS13</f>
        <v>318</v>
      </c>
      <c r="AV13" s="397" t="n">
        <f aca="false">AV12+AU13</f>
        <v>3082</v>
      </c>
      <c r="AW13" s="398"/>
      <c r="AX13" s="384" t="n">
        <f aca="false">+OCCMarkets!BE13</f>
        <v>307</v>
      </c>
      <c r="AY13" s="384" t="n">
        <f aca="false">AX13/2</f>
        <v>153.5</v>
      </c>
      <c r="AZ13" s="384" t="n">
        <f aca="false">+OCCMarkets!BI13</f>
        <v>878</v>
      </c>
      <c r="BA13" s="397" t="n">
        <f aca="false">AZ13-AY13</f>
        <v>724.5</v>
      </c>
      <c r="BB13" s="397" t="n">
        <f aca="false">BB12+BA13</f>
        <v>4142.5</v>
      </c>
      <c r="BC13" s="398"/>
      <c r="BD13" s="393"/>
      <c r="BE13" s="397" t="n">
        <f aca="false">+B13+H13+N13+T13+Z13+AF13+AL13+AR13+AX13</f>
        <v>89493</v>
      </c>
      <c r="BF13" s="397" t="n">
        <f aca="false">+C13+I13+O13+U13+AA13+AG13+AM13+AS13+AY13</f>
        <v>44746.5</v>
      </c>
      <c r="BG13" s="397" t="n">
        <f aca="false">+D13+J13+P13+V13+AB13+AH13+AN13+AT13+AZ13</f>
        <v>235227</v>
      </c>
      <c r="BH13" s="397" t="n">
        <f aca="false">+E13+K13+Q13+W13+AC13+AI13+AO13+AU13+BA13</f>
        <v>190480.5</v>
      </c>
      <c r="BI13" s="397" t="n">
        <f aca="false">+F13+L13+R13+X13+AD13+AJ13+AP13+AV13+BB13</f>
        <v>692332</v>
      </c>
      <c r="BJ13" s="397"/>
    </row>
    <row r="14" customFormat="false" ht="12.75" hidden="false" customHeight="false" outlineLevel="0" collapsed="false">
      <c r="A14" s="394" t="n">
        <f aca="false">+BaseloadMarkets!A14</f>
        <v>36686</v>
      </c>
      <c r="B14" s="395" t="n">
        <f aca="false">+OCCMarkets!O14</f>
        <v>1785</v>
      </c>
      <c r="C14" s="396" t="n">
        <f aca="false">B14/2</f>
        <v>892.5</v>
      </c>
      <c r="D14" s="396" t="n">
        <f aca="false">+OCCMarkets!S14</f>
        <v>1050</v>
      </c>
      <c r="E14" s="397" t="n">
        <f aca="false">D14-C14</f>
        <v>157.5</v>
      </c>
      <c r="F14" s="397" t="n">
        <f aca="false">F13+E14</f>
        <v>10846</v>
      </c>
      <c r="G14" s="398"/>
      <c r="H14" s="395" t="n">
        <f aca="false">+OCCMarkets!C14</f>
        <v>9237</v>
      </c>
      <c r="I14" s="396" t="n">
        <f aca="false">H14/2</f>
        <v>4618.5</v>
      </c>
      <c r="J14" s="396" t="n">
        <f aca="false">+OCCMarkets!L14-OCCMarkets!H14</f>
        <v>15046</v>
      </c>
      <c r="K14" s="397" t="n">
        <f aca="false">J14-I14</f>
        <v>10427.5</v>
      </c>
      <c r="L14" s="397" t="n">
        <f aca="false">L13+K14</f>
        <v>120949.5</v>
      </c>
      <c r="M14" s="398"/>
      <c r="N14" s="395" t="n">
        <f aca="false">+OCCMarkets!V14</f>
        <v>1075</v>
      </c>
      <c r="O14" s="396" t="n">
        <f aca="false">N14/2</f>
        <v>537.5</v>
      </c>
      <c r="P14" s="396" t="n">
        <f aca="false">+OCCMarkets!Z14</f>
        <v>1049</v>
      </c>
      <c r="Q14" s="397" t="n">
        <f aca="false">P14-O14</f>
        <v>511.5</v>
      </c>
      <c r="R14" s="397" t="n">
        <f aca="false">R13+Q14</f>
        <v>15067</v>
      </c>
      <c r="S14" s="398"/>
      <c r="T14" s="384" t="n">
        <f aca="false">+EES!C13</f>
        <v>70000</v>
      </c>
      <c r="U14" s="384" t="n">
        <f aca="false">T14/2</f>
        <v>35000</v>
      </c>
      <c r="V14" s="384" t="n">
        <f aca="false">+EES!AI13-EES!M13</f>
        <v>158978</v>
      </c>
      <c r="W14" s="397" t="n">
        <f aca="false">V14-U14</f>
        <v>123978</v>
      </c>
      <c r="X14" s="397" t="n">
        <f aca="false">X13+W14</f>
        <v>523057</v>
      </c>
      <c r="Y14" s="398"/>
      <c r="Z14" s="384" t="n">
        <f aca="false">+OCCMarkets!AC14</f>
        <v>208</v>
      </c>
      <c r="AA14" s="384" t="n">
        <f aca="false">Z14/2</f>
        <v>104</v>
      </c>
      <c r="AB14" s="384" t="n">
        <f aca="false">+OCCMarkets!AG14</f>
        <v>420</v>
      </c>
      <c r="AC14" s="397" t="n">
        <f aca="false">AB14-AA14</f>
        <v>316</v>
      </c>
      <c r="AD14" s="397" t="n">
        <f aca="false">AD13+AC14</f>
        <v>3357</v>
      </c>
      <c r="AE14" s="398"/>
      <c r="AF14" s="384" t="n">
        <f aca="false">+OCCMarkets!AJ14</f>
        <v>9156</v>
      </c>
      <c r="AG14" s="384" t="n">
        <f aca="false">AF14/2</f>
        <v>4578</v>
      </c>
      <c r="AH14" s="384" t="n">
        <f aca="false">+OCCMarkets!AN14</f>
        <v>22689</v>
      </c>
      <c r="AI14" s="397" t="n">
        <f aca="false">AH14-AG14</f>
        <v>18111</v>
      </c>
      <c r="AJ14" s="397" t="n">
        <f aca="false">AJ13+AI14</f>
        <v>165332.5</v>
      </c>
      <c r="AK14" s="398"/>
      <c r="AL14" s="384" t="n">
        <f aca="false">+OCCMarkets!AQ14</f>
        <v>0</v>
      </c>
      <c r="AM14" s="384" t="n">
        <f aca="false">AL14/2</f>
        <v>0</v>
      </c>
      <c r="AN14" s="384" t="n">
        <f aca="false">+OCCMarkets!AU14</f>
        <v>0</v>
      </c>
      <c r="AO14" s="397" t="n">
        <f aca="false">AN14-AM14</f>
        <v>0</v>
      </c>
      <c r="AP14" s="397" t="n">
        <f aca="false">AP13+AO14</f>
        <v>0</v>
      </c>
      <c r="AQ14" s="398"/>
      <c r="AR14" s="384" t="n">
        <f aca="false">+OCCMarkets!AX14</f>
        <v>207</v>
      </c>
      <c r="AS14" s="384" t="n">
        <f aca="false">AR14/2</f>
        <v>103.5</v>
      </c>
      <c r="AT14" s="384" t="n">
        <f aca="false">+OCCMarkets!BB14</f>
        <v>546</v>
      </c>
      <c r="AU14" s="397" t="n">
        <f aca="false">AT14-AS14</f>
        <v>442.5</v>
      </c>
      <c r="AV14" s="397" t="n">
        <f aca="false">AV13+AU14</f>
        <v>3524.5</v>
      </c>
      <c r="AW14" s="398"/>
      <c r="AX14" s="384" t="n">
        <f aca="false">+OCCMarkets!BE14</f>
        <v>312</v>
      </c>
      <c r="AY14" s="384" t="n">
        <f aca="false">AX14/2</f>
        <v>156</v>
      </c>
      <c r="AZ14" s="384" t="n">
        <f aca="false">+OCCMarkets!BI14</f>
        <v>884</v>
      </c>
      <c r="BA14" s="397" t="n">
        <f aca="false">AZ14-AY14</f>
        <v>728</v>
      </c>
      <c r="BB14" s="397" t="n">
        <f aca="false">BB13+BA14</f>
        <v>4870.5</v>
      </c>
      <c r="BC14" s="398"/>
      <c r="BD14" s="393"/>
      <c r="BE14" s="397" t="n">
        <f aca="false">+B14+H14+N14+T14+Z14+AF14+AL14+AR14+AX14</f>
        <v>91980</v>
      </c>
      <c r="BF14" s="397" t="n">
        <f aca="false">+C14+I14+O14+U14+AA14+AG14+AM14+AS14+AY14</f>
        <v>45990</v>
      </c>
      <c r="BG14" s="397" t="n">
        <f aca="false">+D14+J14+P14+V14+AB14+AH14+AN14+AT14+AZ14</f>
        <v>200662</v>
      </c>
      <c r="BH14" s="397" t="n">
        <f aca="false">+E14+K14+Q14+W14+AC14+AI14+AO14+AU14+BA14</f>
        <v>154672</v>
      </c>
      <c r="BI14" s="397" t="n">
        <f aca="false">+F14+L14+R14+X14+AD14+AJ14+AP14+AV14+BB14</f>
        <v>847004</v>
      </c>
      <c r="BJ14" s="397"/>
    </row>
    <row r="15" customFormat="false" ht="12.75" hidden="false" customHeight="false" outlineLevel="0" collapsed="false">
      <c r="A15" s="394" t="n">
        <f aca="false">+BaseloadMarkets!A15</f>
        <v>36687</v>
      </c>
      <c r="B15" s="395" t="n">
        <f aca="false">+OCCMarkets!O15</f>
        <v>1705</v>
      </c>
      <c r="C15" s="396" t="n">
        <f aca="false">B15/2</f>
        <v>852.5</v>
      </c>
      <c r="D15" s="396" t="n">
        <f aca="false">+OCCMarkets!S15</f>
        <v>1136</v>
      </c>
      <c r="E15" s="397" t="n">
        <f aca="false">D15-C15</f>
        <v>283.5</v>
      </c>
      <c r="F15" s="397" t="n">
        <f aca="false">F14+E15</f>
        <v>11129.5</v>
      </c>
      <c r="G15" s="398" t="n">
        <f aca="false">SUM(E11:E15)</f>
        <v>3968</v>
      </c>
      <c r="H15" s="395" t="n">
        <f aca="false">+OCCMarkets!C15</f>
        <v>7292</v>
      </c>
      <c r="I15" s="396" t="n">
        <f aca="false">H15/2</f>
        <v>3646</v>
      </c>
      <c r="J15" s="396" t="n">
        <f aca="false">+OCCMarkets!L15-OCCMarkets!H15</f>
        <v>7026</v>
      </c>
      <c r="K15" s="397" t="n">
        <f aca="false">J15-I15</f>
        <v>3380</v>
      </c>
      <c r="L15" s="397" t="n">
        <f aca="false">L14+K15</f>
        <v>124329.5</v>
      </c>
      <c r="M15" s="398" t="n">
        <f aca="false">SUM(K11:K15)</f>
        <v>86409</v>
      </c>
      <c r="N15" s="395" t="n">
        <f aca="false">+OCCMarkets!V15</f>
        <v>1405</v>
      </c>
      <c r="O15" s="396" t="n">
        <f aca="false">N15/2</f>
        <v>702.5</v>
      </c>
      <c r="P15" s="396" t="n">
        <f aca="false">+OCCMarkets!Z15</f>
        <v>757</v>
      </c>
      <c r="Q15" s="397" t="n">
        <f aca="false">P15-O15</f>
        <v>54.5</v>
      </c>
      <c r="R15" s="397" t="n">
        <f aca="false">R14+Q15</f>
        <v>15121.5</v>
      </c>
      <c r="S15" s="398" t="n">
        <f aca="false">SUM(Q11:Q15)</f>
        <v>5089.5</v>
      </c>
      <c r="T15" s="384" t="n">
        <f aca="false">+EES!C14</f>
        <v>70000</v>
      </c>
      <c r="U15" s="384" t="n">
        <f aca="false">T15/2</f>
        <v>35000</v>
      </c>
      <c r="V15" s="384" t="n">
        <f aca="false">+EES!AI14-EES!M14</f>
        <v>140011</v>
      </c>
      <c r="W15" s="397" t="n">
        <f aca="false">V15-U15</f>
        <v>105011</v>
      </c>
      <c r="X15" s="397" t="n">
        <f aca="false">X14+W15</f>
        <v>628068</v>
      </c>
      <c r="Y15" s="398" t="n">
        <f aca="false">SUM(W11:W15)</f>
        <v>450107</v>
      </c>
      <c r="Z15" s="384" t="n">
        <f aca="false">+OCCMarkets!AC15</f>
        <v>202</v>
      </c>
      <c r="AA15" s="384" t="n">
        <f aca="false">Z15/2</f>
        <v>101</v>
      </c>
      <c r="AB15" s="384" t="n">
        <f aca="false">+OCCMarkets!AG15</f>
        <v>0</v>
      </c>
      <c r="AC15" s="397" t="n">
        <f aca="false">AB15-AA15</f>
        <v>-101</v>
      </c>
      <c r="AD15" s="397" t="n">
        <f aca="false">AD14+AC15</f>
        <v>3256</v>
      </c>
      <c r="AE15" s="398" t="n">
        <f aca="false">SUM(AC11:AC15)</f>
        <v>897.5</v>
      </c>
      <c r="AF15" s="384" t="n">
        <f aca="false">+OCCMarkets!AJ15</f>
        <v>9387</v>
      </c>
      <c r="AG15" s="384" t="n">
        <f aca="false">AF15/2</f>
        <v>4693.5</v>
      </c>
      <c r="AH15" s="384" t="n">
        <f aca="false">+OCCMarkets!AN15</f>
        <v>12638</v>
      </c>
      <c r="AI15" s="397" t="n">
        <f aca="false">AH15-AG15</f>
        <v>7944.5</v>
      </c>
      <c r="AJ15" s="397" t="n">
        <f aca="false">AJ14+AI15</f>
        <v>173277</v>
      </c>
      <c r="AK15" s="398" t="n">
        <f aca="false">SUM(AI11:AI15)</f>
        <v>133276.5</v>
      </c>
      <c r="AL15" s="384" t="n">
        <f aca="false">+OCCMarkets!AQ15</f>
        <v>0</v>
      </c>
      <c r="AM15" s="384" t="n">
        <f aca="false">AL15/2</f>
        <v>0</v>
      </c>
      <c r="AN15" s="384" t="n">
        <f aca="false">+OCCMarkets!AU15</f>
        <v>0</v>
      </c>
      <c r="AO15" s="397" t="n">
        <f aca="false">AN15-AM15</f>
        <v>0</v>
      </c>
      <c r="AP15" s="397" t="n">
        <f aca="false">AP14+AO15</f>
        <v>0</v>
      </c>
      <c r="AQ15" s="398" t="n">
        <f aca="false">SUM(AO11:AO15)</f>
        <v>0</v>
      </c>
      <c r="AR15" s="384" t="n">
        <f aca="false">+OCCMarkets!AX15</f>
        <v>28</v>
      </c>
      <c r="AS15" s="384" t="n">
        <f aca="false">AR15/2</f>
        <v>14</v>
      </c>
      <c r="AT15" s="384" t="n">
        <f aca="false">+OCCMarkets!BB15</f>
        <v>0</v>
      </c>
      <c r="AU15" s="397" t="n">
        <f aca="false">AT15-AS15</f>
        <v>-14</v>
      </c>
      <c r="AV15" s="397" t="n">
        <f aca="false">AV14+AU15</f>
        <v>3510.5</v>
      </c>
      <c r="AW15" s="398" t="n">
        <f aca="false">SUM(AU11:AU15)</f>
        <v>1116</v>
      </c>
      <c r="AX15" s="384" t="n">
        <f aca="false">+OCCMarkets!BE15</f>
        <v>163</v>
      </c>
      <c r="AY15" s="384" t="n">
        <f aca="false">AX15/2</f>
        <v>81.5</v>
      </c>
      <c r="AZ15" s="384" t="n">
        <f aca="false">+OCCMarkets!BI15</f>
        <v>0</v>
      </c>
      <c r="BA15" s="397" t="n">
        <f aca="false">AZ15-AY15</f>
        <v>-81.5</v>
      </c>
      <c r="BB15" s="397" t="n">
        <f aca="false">BB14+BA15</f>
        <v>4789</v>
      </c>
      <c r="BC15" s="398" t="n">
        <f aca="false">SUM(BA11:BA15)</f>
        <v>2063</v>
      </c>
      <c r="BD15" s="393"/>
      <c r="BE15" s="397" t="n">
        <f aca="false">+B15+H15+N15+T15+Z15+AF15+AL15+AR15+AX15</f>
        <v>90182</v>
      </c>
      <c r="BF15" s="397" t="n">
        <f aca="false">+C15+I15+O15+U15+AA15+AG15+AM15+AS15+AY15</f>
        <v>45091</v>
      </c>
      <c r="BG15" s="397" t="n">
        <f aca="false">+D15+J15+P15+V15+AB15+AH15+AN15+AT15+AZ15</f>
        <v>161568</v>
      </c>
      <c r="BH15" s="397" t="n">
        <f aca="false">+E15+K15+Q15+W15+AC15+AI15+AO15+AU15+BA15</f>
        <v>116477</v>
      </c>
      <c r="BI15" s="397" t="n">
        <f aca="false">+F15+L15+R15+X15+AD15+AJ15+AP15+AV15+BB15</f>
        <v>963481</v>
      </c>
      <c r="BJ15" s="393" t="n">
        <f aca="false">+G15+M15+S15+Y15+AE15+AK15+AQ15+AW15+BC15</f>
        <v>682926.5</v>
      </c>
      <c r="BK15" s="399"/>
    </row>
    <row r="16" customFormat="false" ht="12.75" hidden="false" customHeight="false" outlineLevel="0" collapsed="false">
      <c r="A16" s="394" t="n">
        <f aca="false">+BaseloadMarkets!A16</f>
        <v>36688</v>
      </c>
      <c r="B16" s="395" t="n">
        <f aca="false">+OCCMarkets!O16</f>
        <v>1681</v>
      </c>
      <c r="C16" s="396" t="n">
        <f aca="false">B16/2</f>
        <v>840.5</v>
      </c>
      <c r="D16" s="396" t="n">
        <f aca="false">+OCCMarkets!S16</f>
        <v>1123</v>
      </c>
      <c r="E16" s="397" t="n">
        <f aca="false">D16-C16</f>
        <v>282.5</v>
      </c>
      <c r="F16" s="397" t="n">
        <f aca="false">F15+E16</f>
        <v>11412</v>
      </c>
      <c r="G16" s="398"/>
      <c r="H16" s="395" t="n">
        <f aca="false">+OCCMarkets!C16</f>
        <v>9470</v>
      </c>
      <c r="I16" s="396" t="n">
        <f aca="false">H16/2</f>
        <v>4735</v>
      </c>
      <c r="J16" s="396" t="n">
        <f aca="false">+OCCMarkets!L16-OCCMarkets!H16</f>
        <v>6990</v>
      </c>
      <c r="K16" s="397" t="n">
        <f aca="false">J16-I16</f>
        <v>2255</v>
      </c>
      <c r="L16" s="397" t="n">
        <f aca="false">L15+K16</f>
        <v>126584.5</v>
      </c>
      <c r="M16" s="398"/>
      <c r="N16" s="395" t="n">
        <f aca="false">+OCCMarkets!V16</f>
        <v>1385</v>
      </c>
      <c r="O16" s="396" t="n">
        <f aca="false">N16/2</f>
        <v>692.5</v>
      </c>
      <c r="P16" s="396" t="n">
        <f aca="false">+OCCMarkets!Z16</f>
        <v>749</v>
      </c>
      <c r="Q16" s="397" t="n">
        <f aca="false">P16-O16</f>
        <v>56.5</v>
      </c>
      <c r="R16" s="397" t="n">
        <f aca="false">R15+Q16</f>
        <v>15178</v>
      </c>
      <c r="S16" s="398"/>
      <c r="T16" s="384" t="n">
        <f aca="false">+EES!C15</f>
        <v>70000</v>
      </c>
      <c r="U16" s="384" t="n">
        <f aca="false">T16/2</f>
        <v>35000</v>
      </c>
      <c r="V16" s="384" t="n">
        <f aca="false">+EES!AI15-EES!M15</f>
        <v>134791</v>
      </c>
      <c r="W16" s="397" t="n">
        <f aca="false">V16-U16</f>
        <v>99791</v>
      </c>
      <c r="X16" s="397" t="n">
        <f aca="false">X15+W16</f>
        <v>727859</v>
      </c>
      <c r="Y16" s="398"/>
      <c r="Z16" s="384" t="n">
        <f aca="false">+OCCMarkets!AC16</f>
        <v>22</v>
      </c>
      <c r="AA16" s="384" t="n">
        <f aca="false">Z16/2</f>
        <v>11</v>
      </c>
      <c r="AB16" s="384" t="n">
        <f aca="false">+OCCMarkets!AG16</f>
        <v>0</v>
      </c>
      <c r="AC16" s="397" t="n">
        <f aca="false">AB16-AA16</f>
        <v>-11</v>
      </c>
      <c r="AD16" s="397" t="n">
        <f aca="false">AD15+AC16</f>
        <v>3245</v>
      </c>
      <c r="AE16" s="398"/>
      <c r="AF16" s="384" t="n">
        <f aca="false">+OCCMarkets!AJ16</f>
        <v>9165</v>
      </c>
      <c r="AG16" s="384" t="n">
        <f aca="false">AF16/2</f>
        <v>4582.5</v>
      </c>
      <c r="AH16" s="384" t="n">
        <f aca="false">+OCCMarkets!AN16</f>
        <v>12607</v>
      </c>
      <c r="AI16" s="397" t="n">
        <f aca="false">AH16-AG16</f>
        <v>8024.5</v>
      </c>
      <c r="AJ16" s="397" t="n">
        <f aca="false">AJ15+AI16</f>
        <v>181301.5</v>
      </c>
      <c r="AK16" s="398"/>
      <c r="AL16" s="384" t="n">
        <f aca="false">+OCCMarkets!AQ16</f>
        <v>0</v>
      </c>
      <c r="AM16" s="384" t="n">
        <f aca="false">AL16/2</f>
        <v>0</v>
      </c>
      <c r="AN16" s="384" t="n">
        <f aca="false">+OCCMarkets!AU16</f>
        <v>0</v>
      </c>
      <c r="AO16" s="397" t="n">
        <f aca="false">AN16-AM16</f>
        <v>0</v>
      </c>
      <c r="AP16" s="397" t="n">
        <f aca="false">AP15+AO16</f>
        <v>0</v>
      </c>
      <c r="AQ16" s="398"/>
      <c r="AR16" s="384" t="n">
        <f aca="false">+OCCMarkets!AX16</f>
        <v>0</v>
      </c>
      <c r="AS16" s="384" t="n">
        <f aca="false">AR16/2</f>
        <v>0</v>
      </c>
      <c r="AT16" s="384" t="n">
        <f aca="false">+OCCMarkets!BB16</f>
        <v>0</v>
      </c>
      <c r="AU16" s="397" t="n">
        <f aca="false">AT16-AS16</f>
        <v>0</v>
      </c>
      <c r="AV16" s="397" t="n">
        <f aca="false">AV15+AU16</f>
        <v>3510.5</v>
      </c>
      <c r="AW16" s="398"/>
      <c r="AX16" s="384" t="n">
        <f aca="false">+OCCMarkets!BE16</f>
        <v>27</v>
      </c>
      <c r="AY16" s="384" t="n">
        <f aca="false">AX16/2</f>
        <v>13.5</v>
      </c>
      <c r="AZ16" s="384" t="n">
        <f aca="false">+OCCMarkets!BI16</f>
        <v>0</v>
      </c>
      <c r="BA16" s="397" t="n">
        <f aca="false">AZ16-AY16</f>
        <v>-13.5</v>
      </c>
      <c r="BB16" s="397" t="n">
        <f aca="false">BB15+BA16</f>
        <v>4775.5</v>
      </c>
      <c r="BC16" s="398"/>
      <c r="BD16" s="393"/>
      <c r="BE16" s="397" t="n">
        <f aca="false">+B16+H16+N16+T16+Z16+AF16+AL16+AR16+AX16</f>
        <v>91750</v>
      </c>
      <c r="BF16" s="397" t="n">
        <f aca="false">+C16+I16+O16+U16+AA16+AG16+AM16+AS16+AY16</f>
        <v>45875</v>
      </c>
      <c r="BG16" s="397" t="n">
        <f aca="false">+D16+J16+P16+V16+AB16+AH16+AN16+AT16+AZ16</f>
        <v>156260</v>
      </c>
      <c r="BH16" s="397" t="n">
        <f aca="false">+E16+K16+Q16+W16+AC16+AI16+AO16+AU16+BA16</f>
        <v>110385</v>
      </c>
      <c r="BI16" s="397" t="n">
        <f aca="false">+F16+L16+R16+X16+AD16+AJ16+AP16+AV16+BB16</f>
        <v>1073866</v>
      </c>
      <c r="BJ16" s="397"/>
    </row>
    <row r="17" customFormat="false" ht="12.75" hidden="false" customHeight="false" outlineLevel="0" collapsed="false">
      <c r="A17" s="394" t="n">
        <f aca="false">+BaseloadMarkets!A17</f>
        <v>36689</v>
      </c>
      <c r="B17" s="395" t="n">
        <f aca="false">+OCCMarkets!O17</f>
        <v>1617</v>
      </c>
      <c r="C17" s="396" t="n">
        <f aca="false">B17/2</f>
        <v>808.5</v>
      </c>
      <c r="D17" s="396" t="n">
        <f aca="false">+OCCMarkets!S17</f>
        <v>992</v>
      </c>
      <c r="E17" s="397" t="n">
        <f aca="false">D17-C17</f>
        <v>183.5</v>
      </c>
      <c r="F17" s="397" t="n">
        <f aca="false">F16+E17</f>
        <v>11595.5</v>
      </c>
      <c r="G17" s="398"/>
      <c r="H17" s="395" t="n">
        <f aca="false">+OCCMarkets!C17</f>
        <v>12545</v>
      </c>
      <c r="I17" s="396" t="n">
        <f aca="false">H17/2</f>
        <v>6272.5</v>
      </c>
      <c r="J17" s="396" t="n">
        <f aca="false">+OCCMarkets!L17-OCCMarkets!H17</f>
        <v>6640</v>
      </c>
      <c r="K17" s="397" t="n">
        <f aca="false">J17-I17</f>
        <v>367.5</v>
      </c>
      <c r="L17" s="397" t="n">
        <f aca="false">L16+K17</f>
        <v>126952</v>
      </c>
      <c r="M17" s="398"/>
      <c r="N17" s="395" t="n">
        <f aca="false">+OCCMarkets!V17</f>
        <v>1316</v>
      </c>
      <c r="O17" s="396" t="n">
        <f aca="false">N17/2</f>
        <v>658</v>
      </c>
      <c r="P17" s="396" t="n">
        <f aca="false">+OCCMarkets!Z17</f>
        <v>661</v>
      </c>
      <c r="Q17" s="397" t="n">
        <f aca="false">P17-O17</f>
        <v>3</v>
      </c>
      <c r="R17" s="397" t="n">
        <f aca="false">R16+Q17</f>
        <v>15181</v>
      </c>
      <c r="S17" s="398"/>
      <c r="T17" s="384" t="n">
        <f aca="false">+EES!C16</f>
        <v>70000</v>
      </c>
      <c r="U17" s="384" t="n">
        <f aca="false">T17/2</f>
        <v>35000</v>
      </c>
      <c r="V17" s="384" t="n">
        <f aca="false">+EES!AI16-EES!M16</f>
        <v>178438</v>
      </c>
      <c r="W17" s="397" t="n">
        <f aca="false">V17-U17</f>
        <v>143438</v>
      </c>
      <c r="X17" s="397" t="n">
        <f aca="false">X16+W17</f>
        <v>871297</v>
      </c>
      <c r="Y17" s="398"/>
      <c r="Z17" s="384" t="n">
        <f aca="false">+OCCMarkets!AC17</f>
        <v>173</v>
      </c>
      <c r="AA17" s="384" t="n">
        <f aca="false">Z17/2</f>
        <v>86.5</v>
      </c>
      <c r="AB17" s="384" t="n">
        <f aca="false">+OCCMarkets!AG17</f>
        <v>0</v>
      </c>
      <c r="AC17" s="397" t="n">
        <f aca="false">AB17-AA17</f>
        <v>-86.5</v>
      </c>
      <c r="AD17" s="397" t="n">
        <f aca="false">AD16+AC17</f>
        <v>3158.5</v>
      </c>
      <c r="AE17" s="398"/>
      <c r="AF17" s="384" t="n">
        <f aca="false">+OCCMarkets!AJ17</f>
        <v>9262</v>
      </c>
      <c r="AG17" s="384" t="n">
        <f aca="false">AF17/2</f>
        <v>4631</v>
      </c>
      <c r="AH17" s="384" t="n">
        <f aca="false">+OCCMarkets!AN17</f>
        <v>12301</v>
      </c>
      <c r="AI17" s="397" t="n">
        <f aca="false">AH17-AG17</f>
        <v>7670</v>
      </c>
      <c r="AJ17" s="397" t="n">
        <f aca="false">AJ16+AI17</f>
        <v>188971.5</v>
      </c>
      <c r="AK17" s="398"/>
      <c r="AL17" s="384" t="n">
        <f aca="false">+OCCMarkets!AQ17</f>
        <v>0</v>
      </c>
      <c r="AM17" s="384" t="n">
        <f aca="false">AL17/2</f>
        <v>0</v>
      </c>
      <c r="AN17" s="384" t="n">
        <f aca="false">+OCCMarkets!AU17</f>
        <v>0</v>
      </c>
      <c r="AO17" s="397" t="n">
        <f aca="false">AN17-AM17</f>
        <v>0</v>
      </c>
      <c r="AP17" s="397" t="n">
        <f aca="false">AP16+AO17</f>
        <v>0</v>
      </c>
      <c r="AQ17" s="398"/>
      <c r="AR17" s="384" t="n">
        <f aca="false">+OCCMarkets!AX17</f>
        <v>167</v>
      </c>
      <c r="AS17" s="384" t="n">
        <f aca="false">AR17/2</f>
        <v>83.5</v>
      </c>
      <c r="AT17" s="384" t="n">
        <f aca="false">+OCCMarkets!BB17</f>
        <v>0</v>
      </c>
      <c r="AU17" s="397" t="n">
        <f aca="false">AT17-AS17</f>
        <v>-83.5</v>
      </c>
      <c r="AV17" s="397" t="n">
        <f aca="false">AV16+AU17</f>
        <v>3427</v>
      </c>
      <c r="AW17" s="398"/>
      <c r="AX17" s="384" t="n">
        <f aca="false">+OCCMarkets!BE17</f>
        <v>261</v>
      </c>
      <c r="AY17" s="384" t="n">
        <f aca="false">AX17/2</f>
        <v>130.5</v>
      </c>
      <c r="AZ17" s="384" t="n">
        <f aca="false">+OCCMarkets!BI17</f>
        <v>0</v>
      </c>
      <c r="BA17" s="397" t="n">
        <f aca="false">AZ17-AY17</f>
        <v>-130.5</v>
      </c>
      <c r="BB17" s="397" t="n">
        <f aca="false">BB16+BA17</f>
        <v>4645</v>
      </c>
      <c r="BC17" s="398"/>
      <c r="BD17" s="393"/>
      <c r="BE17" s="397" t="n">
        <f aca="false">+B17+H17+N17+T17+Z17+AF17+AL17+AR17+AX17</f>
        <v>95341</v>
      </c>
      <c r="BF17" s="397" t="n">
        <f aca="false">+C17+I17+O17+U17+AA17+AG17+AM17+AS17+AY17</f>
        <v>47670.5</v>
      </c>
      <c r="BG17" s="397" t="n">
        <f aca="false">+D17+J17+P17+V17+AB17+AH17+AN17+AT17+AZ17</f>
        <v>199032</v>
      </c>
      <c r="BH17" s="397" t="n">
        <f aca="false">+E17+K17+Q17+W17+AC17+AI17+AO17+AU17+BA17</f>
        <v>151361.5</v>
      </c>
      <c r="BI17" s="397" t="n">
        <f aca="false">+F17+L17+R17+X17+AD17+AJ17+AP17+AV17+BB17</f>
        <v>1225227.5</v>
      </c>
      <c r="BJ17" s="397"/>
    </row>
    <row r="18" customFormat="false" ht="12.75" hidden="false" customHeight="false" outlineLevel="0" collapsed="false">
      <c r="A18" s="394" t="n">
        <f aca="false">+BaseloadMarkets!A18</f>
        <v>36690</v>
      </c>
      <c r="B18" s="395" t="n">
        <f aca="false">+OCCMarkets!O18</f>
        <v>1569</v>
      </c>
      <c r="C18" s="396" t="n">
        <f aca="false">B18/2</f>
        <v>784.5</v>
      </c>
      <c r="D18" s="396" t="n">
        <f aca="false">+OCCMarkets!S18</f>
        <v>0</v>
      </c>
      <c r="E18" s="397" t="n">
        <f aca="false">D18-C18</f>
        <v>-784.5</v>
      </c>
      <c r="F18" s="397" t="n">
        <f aca="false">F17+E18</f>
        <v>10811</v>
      </c>
      <c r="G18" s="398"/>
      <c r="H18" s="395" t="n">
        <f aca="false">+OCCMarkets!C18</f>
        <v>16268</v>
      </c>
      <c r="I18" s="396" t="n">
        <f aca="false">H18/2</f>
        <v>8134</v>
      </c>
      <c r="J18" s="396" t="n">
        <f aca="false">+OCCMarkets!L18-OCCMarkets!H18</f>
        <v>6338</v>
      </c>
      <c r="K18" s="397" t="n">
        <f aca="false">J18-I18</f>
        <v>-1796</v>
      </c>
      <c r="L18" s="397" t="n">
        <f aca="false">L17+K18</f>
        <v>125156</v>
      </c>
      <c r="M18" s="398"/>
      <c r="N18" s="395" t="n">
        <f aca="false">+OCCMarkets!V18</f>
        <v>1165</v>
      </c>
      <c r="O18" s="396" t="n">
        <f aca="false">N18/2</f>
        <v>582.5</v>
      </c>
      <c r="P18" s="396" t="n">
        <f aca="false">+OCCMarkets!Z18</f>
        <v>0</v>
      </c>
      <c r="Q18" s="397" t="n">
        <f aca="false">P18-O18</f>
        <v>-582.5</v>
      </c>
      <c r="R18" s="397" t="n">
        <f aca="false">R17+Q18</f>
        <v>14598.5</v>
      </c>
      <c r="S18" s="398"/>
      <c r="T18" s="384" t="n">
        <f aca="false">+EES!C17</f>
        <v>70000</v>
      </c>
      <c r="U18" s="384" t="n">
        <f aca="false">T18/2</f>
        <v>35000</v>
      </c>
      <c r="V18" s="384" t="n">
        <f aca="false">+EES!AI17-EES!M17</f>
        <v>46583</v>
      </c>
      <c r="W18" s="397" t="n">
        <f aca="false">V18-U18</f>
        <v>11583</v>
      </c>
      <c r="X18" s="397" t="n">
        <f aca="false">X17+W18</f>
        <v>882880</v>
      </c>
      <c r="Y18" s="398"/>
      <c r="Z18" s="384" t="n">
        <f aca="false">+OCCMarkets!AC18</f>
        <v>155</v>
      </c>
      <c r="AA18" s="384" t="n">
        <f aca="false">Z18/2</f>
        <v>77.5</v>
      </c>
      <c r="AB18" s="384" t="n">
        <f aca="false">+OCCMarkets!AG18</f>
        <v>0</v>
      </c>
      <c r="AC18" s="397" t="n">
        <f aca="false">AB18-AA18</f>
        <v>-77.5</v>
      </c>
      <c r="AD18" s="397" t="n">
        <f aca="false">AD17+AC18</f>
        <v>3081</v>
      </c>
      <c r="AE18" s="398"/>
      <c r="AF18" s="384" t="n">
        <f aca="false">+OCCMarkets!AJ18</f>
        <v>9192</v>
      </c>
      <c r="AG18" s="384" t="n">
        <f aca="false">AF18/2</f>
        <v>4596</v>
      </c>
      <c r="AH18" s="384" t="n">
        <f aca="false">+OCCMarkets!AN18</f>
        <v>7680</v>
      </c>
      <c r="AI18" s="397" t="n">
        <f aca="false">AH18-AG18</f>
        <v>3084</v>
      </c>
      <c r="AJ18" s="397" t="n">
        <f aca="false">AJ17+AI18</f>
        <v>192055.5</v>
      </c>
      <c r="AK18" s="398"/>
      <c r="AL18" s="384" t="n">
        <f aca="false">+OCCMarkets!AQ18</f>
        <v>0</v>
      </c>
      <c r="AM18" s="384" t="n">
        <f aca="false">AL18/2</f>
        <v>0</v>
      </c>
      <c r="AN18" s="384" t="n">
        <f aca="false">+OCCMarkets!AU18</f>
        <v>0</v>
      </c>
      <c r="AO18" s="397" t="n">
        <f aca="false">AN18-AM18</f>
        <v>0</v>
      </c>
      <c r="AP18" s="397" t="n">
        <f aca="false">AP17+AO18</f>
        <v>0</v>
      </c>
      <c r="AQ18" s="398"/>
      <c r="AR18" s="384" t="n">
        <f aca="false">+OCCMarkets!AX18</f>
        <v>197</v>
      </c>
      <c r="AS18" s="384" t="n">
        <f aca="false">AR18/2</f>
        <v>98.5</v>
      </c>
      <c r="AT18" s="384" t="n">
        <f aca="false">+OCCMarkets!BB18</f>
        <v>0</v>
      </c>
      <c r="AU18" s="397" t="n">
        <f aca="false">AT18-AS18</f>
        <v>-98.5</v>
      </c>
      <c r="AV18" s="397" t="n">
        <f aca="false">AV17+AU18</f>
        <v>3328.5</v>
      </c>
      <c r="AW18" s="398"/>
      <c r="AX18" s="384" t="n">
        <f aca="false">+OCCMarkets!BE18</f>
        <v>309</v>
      </c>
      <c r="AY18" s="384" t="n">
        <f aca="false">AX18/2</f>
        <v>154.5</v>
      </c>
      <c r="AZ18" s="384" t="n">
        <f aca="false">+OCCMarkets!BI18</f>
        <v>0</v>
      </c>
      <c r="BA18" s="397" t="n">
        <f aca="false">AZ18-AY18</f>
        <v>-154.5</v>
      </c>
      <c r="BB18" s="397" t="n">
        <f aca="false">BB17+BA18</f>
        <v>4490.5</v>
      </c>
      <c r="BC18" s="398"/>
      <c r="BD18" s="393"/>
      <c r="BE18" s="397" t="n">
        <f aca="false">+B18+H18+N18+T18+Z18+AF18+AL18+AR18+AX18</f>
        <v>98855</v>
      </c>
      <c r="BF18" s="397" t="n">
        <f aca="false">+C18+I18+O18+U18+AA18+AG18+AM18+AS18+AY18</f>
        <v>49427.5</v>
      </c>
      <c r="BG18" s="397" t="n">
        <f aca="false">+D18+J18+P18+V18+AB18+AH18+AN18+AT18+AZ18</f>
        <v>60601</v>
      </c>
      <c r="BH18" s="397" t="n">
        <f aca="false">+E18+K18+Q18+W18+AC18+AI18+AO18+AU18+BA18</f>
        <v>11173.5</v>
      </c>
      <c r="BI18" s="397" t="n">
        <f aca="false">+F18+L18+R18+X18+AD18+AJ18+AP18+AV18+BB18</f>
        <v>1236401</v>
      </c>
      <c r="BJ18" s="397"/>
    </row>
    <row r="19" customFormat="false" ht="12.75" hidden="false" customHeight="false" outlineLevel="0" collapsed="false">
      <c r="A19" s="394" t="n">
        <f aca="false">+BaseloadMarkets!A19</f>
        <v>36691</v>
      </c>
      <c r="B19" s="395" t="n">
        <f aca="false">+OCCMarkets!O19</f>
        <v>1605</v>
      </c>
      <c r="C19" s="396" t="n">
        <f aca="false">B19/2</f>
        <v>802.5</v>
      </c>
      <c r="D19" s="396" t="n">
        <f aca="false">+OCCMarkets!S19</f>
        <v>1079</v>
      </c>
      <c r="E19" s="397" t="n">
        <f aca="false">D19-C19</f>
        <v>276.5</v>
      </c>
      <c r="F19" s="397" t="n">
        <f aca="false">F18+E19</f>
        <v>11087.5</v>
      </c>
      <c r="G19" s="398"/>
      <c r="H19" s="395" t="n">
        <f aca="false">+OCCMarkets!C19</f>
        <v>19529</v>
      </c>
      <c r="I19" s="396" t="n">
        <f aca="false">H19/2</f>
        <v>9764.5</v>
      </c>
      <c r="J19" s="396" t="n">
        <f aca="false">+OCCMarkets!L19-OCCMarkets!H19</f>
        <v>9291</v>
      </c>
      <c r="K19" s="397" t="n">
        <f aca="false">J19-I19</f>
        <v>-473.5</v>
      </c>
      <c r="L19" s="397" t="n">
        <f aca="false">L18+K19</f>
        <v>124682.5</v>
      </c>
      <c r="M19" s="398"/>
      <c r="N19" s="395" t="n">
        <f aca="false">+OCCMarkets!V19</f>
        <v>464</v>
      </c>
      <c r="O19" s="396" t="n">
        <f aca="false">N19/2</f>
        <v>232</v>
      </c>
      <c r="P19" s="396" t="n">
        <f aca="false">+OCCMarkets!Z19</f>
        <v>1079</v>
      </c>
      <c r="Q19" s="397" t="n">
        <f aca="false">P19-O19</f>
        <v>847</v>
      </c>
      <c r="R19" s="397" t="n">
        <f aca="false">R18+Q19</f>
        <v>15445.5</v>
      </c>
      <c r="S19" s="398"/>
      <c r="T19" s="384" t="n">
        <f aca="false">+EES!C18</f>
        <v>70000</v>
      </c>
      <c r="U19" s="384" t="n">
        <f aca="false">T19/2</f>
        <v>35000</v>
      </c>
      <c r="V19" s="384" t="n">
        <f aca="false">+EES!AI18-EES!M18</f>
        <v>40268</v>
      </c>
      <c r="W19" s="397" t="n">
        <f aca="false">V19-U19</f>
        <v>5268</v>
      </c>
      <c r="X19" s="397" t="n">
        <f aca="false">X18+W19</f>
        <v>888148</v>
      </c>
      <c r="Y19" s="398"/>
      <c r="Z19" s="384" t="n">
        <f aca="false">+OCCMarkets!AC19</f>
        <v>176</v>
      </c>
      <c r="AA19" s="384" t="n">
        <f aca="false">Z19/2</f>
        <v>88</v>
      </c>
      <c r="AB19" s="384" t="n">
        <f aca="false">+OCCMarkets!AG19</f>
        <v>0</v>
      </c>
      <c r="AC19" s="397" t="n">
        <f aca="false">AB19-AA19</f>
        <v>-88</v>
      </c>
      <c r="AD19" s="397" t="n">
        <f aca="false">AD18+AC19</f>
        <v>2993</v>
      </c>
      <c r="AE19" s="398"/>
      <c r="AF19" s="384" t="n">
        <f aca="false">+OCCMarkets!AJ19</f>
        <v>9556</v>
      </c>
      <c r="AG19" s="384" t="n">
        <f aca="false">AF19/2</f>
        <v>4778</v>
      </c>
      <c r="AH19" s="384" t="n">
        <f aca="false">+OCCMarkets!AN19</f>
        <v>9303</v>
      </c>
      <c r="AI19" s="397" t="n">
        <f aca="false">AH19-AG19</f>
        <v>4525</v>
      </c>
      <c r="AJ19" s="397" t="n">
        <f aca="false">AJ18+AI19</f>
        <v>196580.5</v>
      </c>
      <c r="AK19" s="398"/>
      <c r="AL19" s="384" t="n">
        <f aca="false">+OCCMarkets!AQ19</f>
        <v>0</v>
      </c>
      <c r="AM19" s="384" t="n">
        <f aca="false">AL19/2</f>
        <v>0</v>
      </c>
      <c r="AN19" s="384" t="n">
        <f aca="false">+OCCMarkets!AU19</f>
        <v>0</v>
      </c>
      <c r="AO19" s="397" t="n">
        <f aca="false">AN19-AM19</f>
        <v>0</v>
      </c>
      <c r="AP19" s="397" t="n">
        <f aca="false">AP18+AO19</f>
        <v>0</v>
      </c>
      <c r="AQ19" s="398"/>
      <c r="AR19" s="384" t="n">
        <f aca="false">+OCCMarkets!AX19</f>
        <v>200</v>
      </c>
      <c r="AS19" s="384" t="n">
        <f aca="false">AR19/2</f>
        <v>100</v>
      </c>
      <c r="AT19" s="384" t="n">
        <f aca="false">+OCCMarkets!BB19</f>
        <v>0</v>
      </c>
      <c r="AU19" s="397" t="n">
        <f aca="false">AT19-AS19</f>
        <v>-100</v>
      </c>
      <c r="AV19" s="397" t="n">
        <f aca="false">AV18+AU19</f>
        <v>3228.5</v>
      </c>
      <c r="AW19" s="398"/>
      <c r="AX19" s="384" t="n">
        <f aca="false">+OCCMarkets!BE19</f>
        <v>277</v>
      </c>
      <c r="AY19" s="384" t="n">
        <f aca="false">AX19/2</f>
        <v>138.5</v>
      </c>
      <c r="AZ19" s="384" t="n">
        <f aca="false">+OCCMarkets!BI19</f>
        <v>0</v>
      </c>
      <c r="BA19" s="397" t="n">
        <f aca="false">AZ19-AY19</f>
        <v>-138.5</v>
      </c>
      <c r="BB19" s="397" t="n">
        <f aca="false">BB18+BA19</f>
        <v>4352</v>
      </c>
      <c r="BC19" s="398"/>
      <c r="BD19" s="393"/>
      <c r="BE19" s="397" t="n">
        <f aca="false">+B19+H19+N19+T19+Z19+AF19+AL19+AR19+AX19</f>
        <v>101807</v>
      </c>
      <c r="BF19" s="397" t="n">
        <f aca="false">+C19+I19+O19+U19+AA19+AG19+AM19+AS19+AY19</f>
        <v>50903.5</v>
      </c>
      <c r="BG19" s="397" t="n">
        <f aca="false">+D19+J19+P19+V19+AB19+AH19+AN19+AT19+AZ19</f>
        <v>61020</v>
      </c>
      <c r="BH19" s="397" t="n">
        <f aca="false">+E19+K19+Q19+W19+AC19+AI19+AO19+AU19+BA19</f>
        <v>10116.5</v>
      </c>
      <c r="BI19" s="397" t="n">
        <f aca="false">+F19+L19+R19+X19+AD19+AJ19+AP19+AV19+BB19</f>
        <v>1246517.5</v>
      </c>
      <c r="BJ19" s="397"/>
    </row>
    <row r="20" customFormat="false" ht="12.75" hidden="false" customHeight="false" outlineLevel="0" collapsed="false">
      <c r="A20" s="394" t="n">
        <f aca="false">+BaseloadMarkets!A20</f>
        <v>36692</v>
      </c>
      <c r="B20" s="395" t="n">
        <f aca="false">+OCCMarkets!O20</f>
        <v>529</v>
      </c>
      <c r="C20" s="396" t="n">
        <f aca="false">B20/2</f>
        <v>264.5</v>
      </c>
      <c r="D20" s="396" t="n">
        <f aca="false">+OCCMarkets!S20</f>
        <v>0</v>
      </c>
      <c r="E20" s="397" t="n">
        <f aca="false">D20-C20</f>
        <v>-264.5</v>
      </c>
      <c r="F20" s="397" t="n">
        <f aca="false">F19+E20</f>
        <v>10823</v>
      </c>
      <c r="G20" s="398" t="n">
        <f aca="false">SUM(E16:E20)</f>
        <v>-306.5</v>
      </c>
      <c r="H20" s="395" t="n">
        <f aca="false">+OCCMarkets!C20</f>
        <v>12735</v>
      </c>
      <c r="I20" s="396" t="n">
        <f aca="false">H20/2</f>
        <v>6367.5</v>
      </c>
      <c r="J20" s="396" t="n">
        <f aca="false">+OCCMarkets!L20-OCCMarkets!H20</f>
        <v>6338</v>
      </c>
      <c r="K20" s="397" t="n">
        <f aca="false">J20-I20</f>
        <v>-29.5</v>
      </c>
      <c r="L20" s="397" t="n">
        <f aca="false">L19+K20</f>
        <v>124653</v>
      </c>
      <c r="M20" s="398" t="n">
        <f aca="false">SUM(K16:K20)</f>
        <v>323.5</v>
      </c>
      <c r="N20" s="395" t="n">
        <f aca="false">+OCCMarkets!V20</f>
        <v>1146</v>
      </c>
      <c r="O20" s="396" t="n">
        <f aca="false">N20/2</f>
        <v>573</v>
      </c>
      <c r="P20" s="396" t="n">
        <f aca="false">+OCCMarkets!Z20</f>
        <v>0</v>
      </c>
      <c r="Q20" s="397" t="n">
        <f aca="false">P20-O20</f>
        <v>-573</v>
      </c>
      <c r="R20" s="397" t="n">
        <f aca="false">R19+Q20</f>
        <v>14872.5</v>
      </c>
      <c r="S20" s="398" t="n">
        <f aca="false">SUM(Q16:Q20)</f>
        <v>-249</v>
      </c>
      <c r="T20" s="384" t="n">
        <f aca="false">+EES!C19</f>
        <v>70000</v>
      </c>
      <c r="U20" s="384" t="n">
        <f aca="false">T20/2</f>
        <v>35000</v>
      </c>
      <c r="V20" s="384" t="n">
        <f aca="false">+EES!AI19-EES!M19</f>
        <v>46245</v>
      </c>
      <c r="W20" s="397" t="n">
        <f aca="false">V20-U20</f>
        <v>11245</v>
      </c>
      <c r="X20" s="397" t="n">
        <f aca="false">X19+W20</f>
        <v>899393</v>
      </c>
      <c r="Y20" s="398" t="n">
        <f aca="false">SUM(W16:W20)</f>
        <v>271325</v>
      </c>
      <c r="Z20" s="384" t="n">
        <f aca="false">+OCCMarkets!AC20</f>
        <v>167</v>
      </c>
      <c r="AA20" s="384" t="n">
        <f aca="false">Z20/2</f>
        <v>83.5</v>
      </c>
      <c r="AB20" s="384" t="n">
        <f aca="false">+OCCMarkets!AG20</f>
        <v>0</v>
      </c>
      <c r="AC20" s="397" t="n">
        <f aca="false">AB20-AA20</f>
        <v>-83.5</v>
      </c>
      <c r="AD20" s="397" t="n">
        <f aca="false">AD19+AC20</f>
        <v>2909.5</v>
      </c>
      <c r="AE20" s="398" t="n">
        <f aca="false">SUM(AC16:AC20)</f>
        <v>-346.5</v>
      </c>
      <c r="AF20" s="384" t="n">
        <f aca="false">+OCCMarkets!AJ20</f>
        <v>9602</v>
      </c>
      <c r="AG20" s="384" t="n">
        <f aca="false">AF20/2</f>
        <v>4801</v>
      </c>
      <c r="AH20" s="384" t="n">
        <f aca="false">+OCCMarkets!AN20</f>
        <v>4987</v>
      </c>
      <c r="AI20" s="397" t="n">
        <f aca="false">AH20-AG20</f>
        <v>186</v>
      </c>
      <c r="AJ20" s="397" t="n">
        <f aca="false">AJ19+AI20</f>
        <v>196766.5</v>
      </c>
      <c r="AK20" s="398" t="n">
        <f aca="false">SUM(AI16:AI20)</f>
        <v>23489.5</v>
      </c>
      <c r="AL20" s="384" t="n">
        <f aca="false">+OCCMarkets!AQ20</f>
        <v>0</v>
      </c>
      <c r="AM20" s="384" t="n">
        <f aca="false">AL20/2</f>
        <v>0</v>
      </c>
      <c r="AN20" s="384" t="n">
        <f aca="false">+OCCMarkets!AU20</f>
        <v>0</v>
      </c>
      <c r="AO20" s="397" t="n">
        <f aca="false">AN20-AM20</f>
        <v>0</v>
      </c>
      <c r="AP20" s="397" t="n">
        <f aca="false">AP19+AO20</f>
        <v>0</v>
      </c>
      <c r="AQ20" s="398" t="n">
        <f aca="false">SUM(AO16:AO20)</f>
        <v>0</v>
      </c>
      <c r="AR20" s="384" t="n">
        <f aca="false">+OCCMarkets!AX20</f>
        <v>202</v>
      </c>
      <c r="AS20" s="384" t="n">
        <f aca="false">AR20/2</f>
        <v>101</v>
      </c>
      <c r="AT20" s="384" t="n">
        <f aca="false">+OCCMarkets!BB20</f>
        <v>0</v>
      </c>
      <c r="AU20" s="397" t="n">
        <f aca="false">AT20-AS20</f>
        <v>-101</v>
      </c>
      <c r="AV20" s="397" t="n">
        <f aca="false">AV19+AU20</f>
        <v>3127.5</v>
      </c>
      <c r="AW20" s="398" t="n">
        <f aca="false">SUM(AU16:AU20)</f>
        <v>-383</v>
      </c>
      <c r="AX20" s="384" t="n">
        <f aca="false">+OCCMarkets!BE20</f>
        <v>293</v>
      </c>
      <c r="AY20" s="384" t="n">
        <f aca="false">AX20/2</f>
        <v>146.5</v>
      </c>
      <c r="AZ20" s="384" t="n">
        <f aca="false">+OCCMarkets!BI20</f>
        <v>0</v>
      </c>
      <c r="BA20" s="397" t="n">
        <f aca="false">AZ20-AY20</f>
        <v>-146.5</v>
      </c>
      <c r="BB20" s="397" t="n">
        <f aca="false">BB19+BA20</f>
        <v>4205.5</v>
      </c>
      <c r="BC20" s="398" t="n">
        <f aca="false">SUM(BA16:BA20)</f>
        <v>-583.5</v>
      </c>
      <c r="BD20" s="393"/>
      <c r="BE20" s="397" t="n">
        <f aca="false">+B20+H20+N20+T20+Z20+AF20+AL20+AR20+AX20</f>
        <v>94674</v>
      </c>
      <c r="BF20" s="397" t="n">
        <f aca="false">+C20+I20+O20+U20+AA20+AG20+AM20+AS20+AY20</f>
        <v>47337</v>
      </c>
      <c r="BG20" s="397" t="n">
        <f aca="false">+D20+J20+P20+V20+AB20+AH20+AN20+AT20+AZ20</f>
        <v>57570</v>
      </c>
      <c r="BH20" s="397" t="n">
        <f aca="false">+E20+K20+Q20+W20+AC20+AI20+AO20+AU20+BA20</f>
        <v>10233</v>
      </c>
      <c r="BI20" s="397" t="n">
        <f aca="false">+F20+L20+R20+X20+AD20+AJ20+AP20+AV20+BB20</f>
        <v>1256750.5</v>
      </c>
      <c r="BJ20" s="393" t="n">
        <f aca="false">+G20+M20+S20+Y20+AE20+AK20+AQ20+AW20+BC20</f>
        <v>293269.5</v>
      </c>
      <c r="BK20" s="399"/>
    </row>
    <row r="21" customFormat="false" ht="12.75" hidden="false" customHeight="false" outlineLevel="0" collapsed="false">
      <c r="A21" s="394" t="n">
        <f aca="false">+BaseloadMarkets!A21</f>
        <v>36693</v>
      </c>
      <c r="B21" s="395" t="n">
        <f aca="false">+OCCMarkets!O21</f>
        <v>1137</v>
      </c>
      <c r="C21" s="396" t="n">
        <f aca="false">B21/2</f>
        <v>568.5</v>
      </c>
      <c r="D21" s="396" t="n">
        <f aca="false">+OCCMarkets!S21</f>
        <v>0</v>
      </c>
      <c r="E21" s="397" t="n">
        <f aca="false">D21-C21</f>
        <v>-568.5</v>
      </c>
      <c r="F21" s="397" t="n">
        <f aca="false">F20+E21</f>
        <v>10254.5</v>
      </c>
      <c r="G21" s="398"/>
      <c r="H21" s="395" t="n">
        <f aca="false">+OCCMarkets!C21</f>
        <v>11022</v>
      </c>
      <c r="I21" s="396" t="n">
        <f aca="false">H21/2</f>
        <v>5511</v>
      </c>
      <c r="J21" s="396" t="n">
        <f aca="false">+OCCMarkets!L21-OCCMarkets!H21</f>
        <v>3997</v>
      </c>
      <c r="K21" s="397" t="n">
        <f aca="false">J21-I21</f>
        <v>-1514</v>
      </c>
      <c r="L21" s="397" t="n">
        <f aca="false">L20+K21</f>
        <v>123139</v>
      </c>
      <c r="M21" s="398"/>
      <c r="N21" s="395" t="n">
        <f aca="false">+OCCMarkets!V21</f>
        <v>765</v>
      </c>
      <c r="O21" s="396" t="n">
        <f aca="false">N21/2</f>
        <v>382.5</v>
      </c>
      <c r="P21" s="396" t="n">
        <f aca="false">+OCCMarkets!Z21</f>
        <v>0</v>
      </c>
      <c r="Q21" s="397" t="n">
        <f aca="false">P21-O21</f>
        <v>-382.5</v>
      </c>
      <c r="R21" s="397" t="n">
        <f aca="false">R20+Q21</f>
        <v>14490</v>
      </c>
      <c r="S21" s="398"/>
      <c r="T21" s="384" t="n">
        <f aca="false">+EES!C20</f>
        <v>70000</v>
      </c>
      <c r="U21" s="384" t="n">
        <f aca="false">T21/2</f>
        <v>35000</v>
      </c>
      <c r="V21" s="384" t="n">
        <f aca="false">+EES!AI20-EES!M20</f>
        <v>10242</v>
      </c>
      <c r="W21" s="397" t="n">
        <f aca="false">V21-U21</f>
        <v>-24758</v>
      </c>
      <c r="X21" s="397" t="n">
        <f aca="false">X20+W21</f>
        <v>874635</v>
      </c>
      <c r="Y21" s="398"/>
      <c r="Z21" s="384" t="n">
        <f aca="false">+OCCMarkets!AC21</f>
        <v>165</v>
      </c>
      <c r="AA21" s="384" t="n">
        <f aca="false">Z21/2</f>
        <v>82.5</v>
      </c>
      <c r="AB21" s="384" t="n">
        <f aca="false">+OCCMarkets!AG21</f>
        <v>0</v>
      </c>
      <c r="AC21" s="397" t="n">
        <f aca="false">AB21-AA21</f>
        <v>-82.5</v>
      </c>
      <c r="AD21" s="397" t="n">
        <f aca="false">AD20+AC21</f>
        <v>2827</v>
      </c>
      <c r="AE21" s="398"/>
      <c r="AF21" s="384" t="n">
        <f aca="false">+OCCMarkets!AJ21</f>
        <v>9309</v>
      </c>
      <c r="AG21" s="384" t="n">
        <f aca="false">AF21/2</f>
        <v>4654.5</v>
      </c>
      <c r="AH21" s="384" t="n">
        <f aca="false">+OCCMarkets!AN21</f>
        <v>987</v>
      </c>
      <c r="AI21" s="397" t="n">
        <f aca="false">AH21-AG21</f>
        <v>-3667.5</v>
      </c>
      <c r="AJ21" s="397" t="n">
        <f aca="false">AJ20+AI21</f>
        <v>193099</v>
      </c>
      <c r="AK21" s="398"/>
      <c r="AL21" s="384" t="n">
        <f aca="false">+OCCMarkets!AQ21</f>
        <v>0</v>
      </c>
      <c r="AM21" s="384" t="n">
        <f aca="false">AL21/2</f>
        <v>0</v>
      </c>
      <c r="AN21" s="384" t="n">
        <f aca="false">+OCCMarkets!AU21</f>
        <v>0</v>
      </c>
      <c r="AO21" s="397" t="n">
        <f aca="false">AN21-AM21</f>
        <v>0</v>
      </c>
      <c r="AP21" s="397" t="n">
        <f aca="false">AP20+AO21</f>
        <v>0</v>
      </c>
      <c r="AQ21" s="398"/>
      <c r="AR21" s="384" t="n">
        <f aca="false">+OCCMarkets!AX21</f>
        <v>205</v>
      </c>
      <c r="AS21" s="384" t="n">
        <f aca="false">AR21/2</f>
        <v>102.5</v>
      </c>
      <c r="AT21" s="384" t="n">
        <f aca="false">+OCCMarkets!BB21</f>
        <v>0</v>
      </c>
      <c r="AU21" s="397" t="n">
        <f aca="false">AT21-AS21</f>
        <v>-102.5</v>
      </c>
      <c r="AV21" s="397" t="n">
        <f aca="false">AV20+AU21</f>
        <v>3025</v>
      </c>
      <c r="AW21" s="398"/>
      <c r="AX21" s="384" t="n">
        <f aca="false">+OCCMarkets!BE21</f>
        <v>301</v>
      </c>
      <c r="AY21" s="384" t="n">
        <f aca="false">AX21/2</f>
        <v>150.5</v>
      </c>
      <c r="AZ21" s="384" t="n">
        <f aca="false">+OCCMarkets!BI21</f>
        <v>0</v>
      </c>
      <c r="BA21" s="397" t="n">
        <f aca="false">AZ21-AY21</f>
        <v>-150.5</v>
      </c>
      <c r="BB21" s="397" t="n">
        <f aca="false">BB20+BA21</f>
        <v>4055</v>
      </c>
      <c r="BC21" s="398"/>
      <c r="BD21" s="393"/>
      <c r="BE21" s="397" t="n">
        <f aca="false">+B21+H21+N21+T21+Z21+AF21+AL21+AR21+AX21</f>
        <v>92904</v>
      </c>
      <c r="BF21" s="397" t="n">
        <f aca="false">+C21+I21+O21+U21+AA21+AG21+AM21+AS21+AY21</f>
        <v>46452</v>
      </c>
      <c r="BG21" s="397" t="n">
        <f aca="false">+D21+J21+P21+V21+AB21+AH21+AN21+AT21+AZ21</f>
        <v>15226</v>
      </c>
      <c r="BH21" s="397" t="n">
        <f aca="false">+E21+K21+Q21+W21+AC21+AI21+AO21+AU21+BA21</f>
        <v>-31226</v>
      </c>
      <c r="BI21" s="397" t="n">
        <f aca="false">+F21+L21+R21+X21+AD21+AJ21+AP21+AV21+BB21</f>
        <v>1225524.5</v>
      </c>
      <c r="BJ21" s="397"/>
    </row>
    <row r="22" customFormat="false" ht="12.75" hidden="false" customHeight="false" outlineLevel="0" collapsed="false">
      <c r="A22" s="394" t="n">
        <f aca="false">+BaseloadMarkets!A22</f>
        <v>36694</v>
      </c>
      <c r="B22" s="395" t="n">
        <f aca="false">+OCCMarkets!O22</f>
        <v>1715</v>
      </c>
      <c r="C22" s="396" t="n">
        <f aca="false">B22/2</f>
        <v>857.5</v>
      </c>
      <c r="D22" s="396" t="n">
        <f aca="false">+OCCMarkets!S22</f>
        <v>408</v>
      </c>
      <c r="E22" s="397" t="n">
        <f aca="false">D22-C22</f>
        <v>-449.5</v>
      </c>
      <c r="F22" s="397" t="n">
        <f aca="false">F21+E22</f>
        <v>9805</v>
      </c>
      <c r="G22" s="398"/>
      <c r="H22" s="395" t="n">
        <f aca="false">+OCCMarkets!C22</f>
        <v>7208</v>
      </c>
      <c r="I22" s="396" t="n">
        <f aca="false">H22/2</f>
        <v>3604</v>
      </c>
      <c r="J22" s="396" t="n">
        <f aca="false">+OCCMarkets!L22-OCCMarkets!H22</f>
        <v>4405</v>
      </c>
      <c r="K22" s="397" t="n">
        <f aca="false">J22-I22</f>
        <v>801</v>
      </c>
      <c r="L22" s="397" t="n">
        <f aca="false">L21+K22</f>
        <v>123940</v>
      </c>
      <c r="M22" s="398"/>
      <c r="N22" s="395" t="n">
        <f aca="false">+OCCMarkets!V22</f>
        <v>1554</v>
      </c>
      <c r="O22" s="396" t="n">
        <f aca="false">N22/2</f>
        <v>777</v>
      </c>
      <c r="P22" s="396" t="n">
        <f aca="false">+OCCMarkets!Z22</f>
        <v>285</v>
      </c>
      <c r="Q22" s="397" t="n">
        <f aca="false">P22-O22</f>
        <v>-492</v>
      </c>
      <c r="R22" s="397" t="n">
        <f aca="false">R21+Q22</f>
        <v>13998</v>
      </c>
      <c r="S22" s="398"/>
      <c r="T22" s="384" t="n">
        <f aca="false">+EES!C21</f>
        <v>70000</v>
      </c>
      <c r="U22" s="384" t="n">
        <f aca="false">T22/2</f>
        <v>35000</v>
      </c>
      <c r="V22" s="384" t="n">
        <f aca="false">+EES!AI21-EES!M21</f>
        <v>41479</v>
      </c>
      <c r="W22" s="397" t="n">
        <f aca="false">V22-U22</f>
        <v>6479</v>
      </c>
      <c r="X22" s="397" t="n">
        <f aca="false">X21+W22</f>
        <v>881114</v>
      </c>
      <c r="Y22" s="398"/>
      <c r="Z22" s="384" t="n">
        <f aca="false">+OCCMarkets!AC22</f>
        <v>177</v>
      </c>
      <c r="AA22" s="384" t="n">
        <f aca="false">Z22/2</f>
        <v>88.5</v>
      </c>
      <c r="AB22" s="384" t="n">
        <f aca="false">+OCCMarkets!AG22</f>
        <v>0</v>
      </c>
      <c r="AC22" s="397" t="n">
        <f aca="false">AB22-AA22</f>
        <v>-88.5</v>
      </c>
      <c r="AD22" s="397" t="n">
        <f aca="false">AD21+AC22</f>
        <v>2738.5</v>
      </c>
      <c r="AE22" s="398"/>
      <c r="AF22" s="384" t="n">
        <f aca="false">+OCCMarkets!AJ22</f>
        <v>8922</v>
      </c>
      <c r="AG22" s="384" t="n">
        <f aca="false">AF22/2</f>
        <v>4461</v>
      </c>
      <c r="AH22" s="384" t="n">
        <f aca="false">+OCCMarkets!AN22</f>
        <v>2987</v>
      </c>
      <c r="AI22" s="397" t="n">
        <f aca="false">AH22-AG22</f>
        <v>-1474</v>
      </c>
      <c r="AJ22" s="397" t="n">
        <f aca="false">AJ21+AI22</f>
        <v>191625</v>
      </c>
      <c r="AK22" s="398"/>
      <c r="AL22" s="384" t="n">
        <f aca="false">+OCCMarkets!AQ22</f>
        <v>0</v>
      </c>
      <c r="AM22" s="384" t="n">
        <f aca="false">AL22/2</f>
        <v>0</v>
      </c>
      <c r="AN22" s="384" t="n">
        <f aca="false">+OCCMarkets!AU22</f>
        <v>0</v>
      </c>
      <c r="AO22" s="397" t="n">
        <f aca="false">AN22-AM22</f>
        <v>0</v>
      </c>
      <c r="AP22" s="397" t="n">
        <f aca="false">AP21+AO22</f>
        <v>0</v>
      </c>
      <c r="AQ22" s="398"/>
      <c r="AR22" s="384" t="n">
        <f aca="false">+OCCMarkets!AX22</f>
        <v>26</v>
      </c>
      <c r="AS22" s="384" t="n">
        <f aca="false">AR22/2</f>
        <v>13</v>
      </c>
      <c r="AT22" s="384" t="n">
        <f aca="false">+OCCMarkets!BB22</f>
        <v>0</v>
      </c>
      <c r="AU22" s="397" t="n">
        <f aca="false">AT22-AS22</f>
        <v>-13</v>
      </c>
      <c r="AV22" s="397" t="n">
        <f aca="false">AV21+AU22</f>
        <v>3012</v>
      </c>
      <c r="AW22" s="398"/>
      <c r="AX22" s="384" t="n">
        <f aca="false">+OCCMarkets!BE22</f>
        <v>145</v>
      </c>
      <c r="AY22" s="384" t="n">
        <f aca="false">AX22/2</f>
        <v>72.5</v>
      </c>
      <c r="AZ22" s="384" t="n">
        <f aca="false">+OCCMarkets!BI22</f>
        <v>0</v>
      </c>
      <c r="BA22" s="397" t="n">
        <f aca="false">AZ22-AY22</f>
        <v>-72.5</v>
      </c>
      <c r="BB22" s="397" t="n">
        <f aca="false">BB21+BA22</f>
        <v>3982.5</v>
      </c>
      <c r="BC22" s="398"/>
      <c r="BD22" s="393"/>
      <c r="BE22" s="397" t="n">
        <f aca="false">+B22+H22+N22+T22+Z22+AF22+AL22+AR22+AX22</f>
        <v>89747</v>
      </c>
      <c r="BF22" s="397" t="n">
        <f aca="false">+C22+I22+O22+U22+AA22+AG22+AM22+AS22+AY22</f>
        <v>44873.5</v>
      </c>
      <c r="BG22" s="397" t="n">
        <f aca="false">+D22+J22+P22+V22+AB22+AH22+AN22+AT22+AZ22</f>
        <v>49564</v>
      </c>
      <c r="BH22" s="397" t="n">
        <f aca="false">+E22+K22+Q22+W22+AC22+AI22+AO22+AU22+BA22</f>
        <v>4690.5</v>
      </c>
      <c r="BI22" s="397" t="n">
        <f aca="false">+F22+L22+R22+X22+AD22+AJ22+AP22+AV22+BB22</f>
        <v>1230215</v>
      </c>
      <c r="BJ22" s="397"/>
    </row>
    <row r="23" customFormat="false" ht="12.75" hidden="false" customHeight="false" outlineLevel="0" collapsed="false">
      <c r="A23" s="394" t="n">
        <f aca="false">+BaseloadMarkets!A23</f>
        <v>36695</v>
      </c>
      <c r="B23" s="395" t="n">
        <f aca="false">+OCCMarkets!O23</f>
        <v>1776</v>
      </c>
      <c r="C23" s="396" t="n">
        <f aca="false">B23/2</f>
        <v>888</v>
      </c>
      <c r="D23" s="396" t="n">
        <f aca="false">+OCCMarkets!S23</f>
        <v>524</v>
      </c>
      <c r="E23" s="397" t="n">
        <f aca="false">D23-C23</f>
        <v>-364</v>
      </c>
      <c r="F23" s="397" t="n">
        <f aca="false">F22+E23</f>
        <v>9441</v>
      </c>
      <c r="G23" s="398"/>
      <c r="H23" s="395" t="n">
        <f aca="false">+OCCMarkets!C23</f>
        <v>7458</v>
      </c>
      <c r="I23" s="396" t="n">
        <f aca="false">H23/2</f>
        <v>3729</v>
      </c>
      <c r="J23" s="396" t="n">
        <f aca="false">+OCCMarkets!L23-OCCMarkets!H23</f>
        <v>4521</v>
      </c>
      <c r="K23" s="397" t="n">
        <f aca="false">J23-I23</f>
        <v>792</v>
      </c>
      <c r="L23" s="397" t="n">
        <f aca="false">L22+K23</f>
        <v>124732</v>
      </c>
      <c r="M23" s="398"/>
      <c r="N23" s="395" t="n">
        <f aca="false">+OCCMarkets!V23</f>
        <v>1217</v>
      </c>
      <c r="O23" s="396" t="n">
        <f aca="false">N23/2</f>
        <v>608.5</v>
      </c>
      <c r="P23" s="396" t="n">
        <f aca="false">+OCCMarkets!Z23</f>
        <v>367</v>
      </c>
      <c r="Q23" s="397" t="n">
        <f aca="false">P23-O23</f>
        <v>-241.5</v>
      </c>
      <c r="R23" s="397" t="n">
        <f aca="false">R22+Q23</f>
        <v>13756.5</v>
      </c>
      <c r="S23" s="398"/>
      <c r="T23" s="384" t="n">
        <f aca="false">+EES!C22</f>
        <v>70000</v>
      </c>
      <c r="U23" s="384" t="n">
        <f aca="false">T23/2</f>
        <v>35000</v>
      </c>
      <c r="V23" s="384" t="n">
        <f aca="false">+EES!AI22-EES!M22</f>
        <v>41078</v>
      </c>
      <c r="W23" s="397" t="n">
        <f aca="false">V23-U23</f>
        <v>6078</v>
      </c>
      <c r="X23" s="397" t="n">
        <f aca="false">X22+W23</f>
        <v>887192</v>
      </c>
      <c r="Y23" s="398"/>
      <c r="Z23" s="384" t="n">
        <f aca="false">+OCCMarkets!AC23</f>
        <v>36</v>
      </c>
      <c r="AA23" s="384" t="n">
        <f aca="false">Z23/2</f>
        <v>18</v>
      </c>
      <c r="AB23" s="384" t="n">
        <f aca="false">+OCCMarkets!AG23</f>
        <v>0</v>
      </c>
      <c r="AC23" s="397" t="n">
        <f aca="false">AB23-AA23</f>
        <v>-18</v>
      </c>
      <c r="AD23" s="397" t="n">
        <f aca="false">AD22+AC23</f>
        <v>2720.5</v>
      </c>
      <c r="AE23" s="398"/>
      <c r="AF23" s="384" t="n">
        <f aca="false">+OCCMarkets!AJ23</f>
        <v>8958</v>
      </c>
      <c r="AG23" s="384" t="n">
        <f aca="false">AF23/2</f>
        <v>4479</v>
      </c>
      <c r="AH23" s="384" t="n">
        <f aca="false">+OCCMarkets!AN23</f>
        <v>3554</v>
      </c>
      <c r="AI23" s="397" t="n">
        <f aca="false">AH23-AG23</f>
        <v>-925</v>
      </c>
      <c r="AJ23" s="397" t="n">
        <f aca="false">AJ22+AI23</f>
        <v>190700</v>
      </c>
      <c r="AK23" s="398"/>
      <c r="AL23" s="384" t="n">
        <f aca="false">+OCCMarkets!AQ23</f>
        <v>0</v>
      </c>
      <c r="AM23" s="384" t="n">
        <f aca="false">AL23/2</f>
        <v>0</v>
      </c>
      <c r="AN23" s="384" t="n">
        <f aca="false">+OCCMarkets!AU23</f>
        <v>0</v>
      </c>
      <c r="AO23" s="397" t="n">
        <f aca="false">AN23-AM23</f>
        <v>0</v>
      </c>
      <c r="AP23" s="397" t="n">
        <f aca="false">AP22+AO23</f>
        <v>0</v>
      </c>
      <c r="AQ23" s="398"/>
      <c r="AR23" s="384" t="n">
        <f aca="false">+OCCMarkets!AX23</f>
        <v>0</v>
      </c>
      <c r="AS23" s="384" t="n">
        <f aca="false">AR23/2</f>
        <v>0</v>
      </c>
      <c r="AT23" s="384" t="n">
        <f aca="false">+OCCMarkets!BB23</f>
        <v>0</v>
      </c>
      <c r="AU23" s="397" t="n">
        <f aca="false">AT23-AS23</f>
        <v>0</v>
      </c>
      <c r="AV23" s="397" t="n">
        <f aca="false">AV22+AU23</f>
        <v>3012</v>
      </c>
      <c r="AW23" s="398"/>
      <c r="AX23" s="384" t="n">
        <f aca="false">+OCCMarkets!BE23</f>
        <v>24</v>
      </c>
      <c r="AY23" s="384" t="n">
        <f aca="false">AX23/2</f>
        <v>12</v>
      </c>
      <c r="AZ23" s="384" t="n">
        <f aca="false">+OCCMarkets!BI23</f>
        <v>0</v>
      </c>
      <c r="BA23" s="397" t="n">
        <f aca="false">AZ23-AY23</f>
        <v>-12</v>
      </c>
      <c r="BB23" s="397" t="n">
        <f aca="false">BB22+BA23</f>
        <v>3970.5</v>
      </c>
      <c r="BC23" s="398"/>
      <c r="BD23" s="393"/>
      <c r="BE23" s="397" t="n">
        <f aca="false">+B23+H23+N23+T23+Z23+AF23+AL23+AR23+AX23</f>
        <v>89469</v>
      </c>
      <c r="BF23" s="397" t="n">
        <f aca="false">+C23+I23+O23+U23+AA23+AG23+AM23+AS23+AY23</f>
        <v>44734.5</v>
      </c>
      <c r="BG23" s="397" t="n">
        <f aca="false">+D23+J23+P23+V23+AB23+AH23+AN23+AT23+AZ23</f>
        <v>50044</v>
      </c>
      <c r="BH23" s="397" t="n">
        <f aca="false">+E23+K23+Q23+W23+AC23+AI23+AO23+AU23+BA23</f>
        <v>5309.5</v>
      </c>
      <c r="BI23" s="397" t="n">
        <f aca="false">+F23+L23+R23+X23+AD23+AJ23+AP23+AV23+BB23</f>
        <v>1235524.5</v>
      </c>
      <c r="BJ23" s="397"/>
    </row>
    <row r="24" customFormat="false" ht="12.75" hidden="false" customHeight="false" outlineLevel="0" collapsed="false">
      <c r="A24" s="394" t="n">
        <f aca="false">+BaseloadMarkets!A24</f>
        <v>36696</v>
      </c>
      <c r="B24" s="395" t="n">
        <f aca="false">+OCCMarkets!O24</f>
        <v>1848</v>
      </c>
      <c r="C24" s="396" t="n">
        <f aca="false">B24/2</f>
        <v>924</v>
      </c>
      <c r="D24" s="396" t="n">
        <f aca="false">+OCCMarkets!S24</f>
        <v>530</v>
      </c>
      <c r="E24" s="397" t="n">
        <f aca="false">D24-C24</f>
        <v>-394</v>
      </c>
      <c r="F24" s="397" t="n">
        <f aca="false">F23+E24</f>
        <v>9047</v>
      </c>
      <c r="G24" s="398"/>
      <c r="H24" s="395" t="n">
        <f aca="false">+OCCMarkets!C24</f>
        <v>7180</v>
      </c>
      <c r="I24" s="396" t="n">
        <f aca="false">H24/2</f>
        <v>3590</v>
      </c>
      <c r="J24" s="396" t="n">
        <f aca="false">+OCCMarkets!L24-OCCMarkets!H24</f>
        <v>4527</v>
      </c>
      <c r="K24" s="397" t="n">
        <f aca="false">J24-I24</f>
        <v>937</v>
      </c>
      <c r="L24" s="397" t="n">
        <f aca="false">L23+K24</f>
        <v>125669</v>
      </c>
      <c r="M24" s="398"/>
      <c r="N24" s="395" t="n">
        <f aca="false">+OCCMarkets!V24</f>
        <v>784</v>
      </c>
      <c r="O24" s="396" t="n">
        <f aca="false">N24/2</f>
        <v>392</v>
      </c>
      <c r="P24" s="396" t="n">
        <f aca="false">+OCCMarkets!Z24</f>
        <v>371</v>
      </c>
      <c r="Q24" s="397" t="n">
        <f aca="false">P24-O24</f>
        <v>-21</v>
      </c>
      <c r="R24" s="397" t="n">
        <f aca="false">R23+Q24</f>
        <v>13735.5</v>
      </c>
      <c r="S24" s="398"/>
      <c r="T24" s="384" t="n">
        <f aca="false">+EES!C23</f>
        <v>70000</v>
      </c>
      <c r="U24" s="384" t="n">
        <f aca="false">T24/2</f>
        <v>35000</v>
      </c>
      <c r="V24" s="384" t="n">
        <f aca="false">+EES!AI23-EES!M23</f>
        <v>80444</v>
      </c>
      <c r="W24" s="397" t="n">
        <f aca="false">V24-U24</f>
        <v>45444</v>
      </c>
      <c r="X24" s="397" t="n">
        <f aca="false">X23+W24</f>
        <v>932636</v>
      </c>
      <c r="Y24" s="398"/>
      <c r="Z24" s="384" t="n">
        <f aca="false">+OCCMarkets!AC24</f>
        <v>98</v>
      </c>
      <c r="AA24" s="384" t="n">
        <f aca="false">Z24/2</f>
        <v>49</v>
      </c>
      <c r="AB24" s="384" t="n">
        <f aca="false">+OCCMarkets!AG24</f>
        <v>0</v>
      </c>
      <c r="AC24" s="397" t="n">
        <f aca="false">AB24-AA24</f>
        <v>-49</v>
      </c>
      <c r="AD24" s="397" t="n">
        <f aca="false">AD23+AC24</f>
        <v>2671.5</v>
      </c>
      <c r="AE24" s="398"/>
      <c r="AF24" s="384" t="n">
        <f aca="false">+OCCMarkets!AJ24</f>
        <v>9034</v>
      </c>
      <c r="AG24" s="384" t="n">
        <f aca="false">AF24/2</f>
        <v>4517</v>
      </c>
      <c r="AH24" s="384" t="n">
        <f aca="false">+OCCMarkets!AN24</f>
        <v>3582</v>
      </c>
      <c r="AI24" s="397" t="n">
        <f aca="false">AH24-AG24</f>
        <v>-935</v>
      </c>
      <c r="AJ24" s="397" t="n">
        <f aca="false">AJ23+AI24</f>
        <v>189765</v>
      </c>
      <c r="AK24" s="398"/>
      <c r="AL24" s="384" t="n">
        <f aca="false">+OCCMarkets!AQ24</f>
        <v>0</v>
      </c>
      <c r="AM24" s="384" t="n">
        <f aca="false">AL24/2</f>
        <v>0</v>
      </c>
      <c r="AN24" s="384" t="n">
        <f aca="false">+OCCMarkets!AU24</f>
        <v>0</v>
      </c>
      <c r="AO24" s="397" t="n">
        <f aca="false">AN24-AM24</f>
        <v>0</v>
      </c>
      <c r="AP24" s="397" t="n">
        <f aca="false">AP23+AO24</f>
        <v>0</v>
      </c>
      <c r="AQ24" s="398"/>
      <c r="AR24" s="384" t="n">
        <f aca="false">+OCCMarkets!AX24</f>
        <v>116</v>
      </c>
      <c r="AS24" s="384" t="n">
        <f aca="false">AR24/2</f>
        <v>58</v>
      </c>
      <c r="AT24" s="384" t="n">
        <f aca="false">+OCCMarkets!BB24</f>
        <v>0</v>
      </c>
      <c r="AU24" s="397" t="n">
        <f aca="false">AT24-AS24</f>
        <v>-58</v>
      </c>
      <c r="AV24" s="397" t="n">
        <f aca="false">AV23+AU24</f>
        <v>2954</v>
      </c>
      <c r="AW24" s="398"/>
      <c r="AX24" s="384" t="n">
        <f aca="false">+OCCMarkets!BE24</f>
        <v>269</v>
      </c>
      <c r="AY24" s="384" t="n">
        <f aca="false">AX24/2</f>
        <v>134.5</v>
      </c>
      <c r="AZ24" s="384" t="n">
        <f aca="false">+OCCMarkets!BI24</f>
        <v>0</v>
      </c>
      <c r="BA24" s="397" t="n">
        <f aca="false">AZ24-AY24</f>
        <v>-134.5</v>
      </c>
      <c r="BB24" s="397" t="n">
        <f aca="false">BB23+BA24</f>
        <v>3836</v>
      </c>
      <c r="BC24" s="398"/>
      <c r="BD24" s="393"/>
      <c r="BE24" s="397" t="n">
        <f aca="false">+B24+H24+N24+T24+Z24+AF24+AL24+AR24+AX24</f>
        <v>89329</v>
      </c>
      <c r="BF24" s="397" t="n">
        <f aca="false">+C24+I24+O24+U24+AA24+AG24+AM24+AS24+AY24</f>
        <v>44664.5</v>
      </c>
      <c r="BG24" s="397" t="n">
        <f aca="false">+D24+J24+P24+V24+AB24+AH24+AN24+AT24+AZ24</f>
        <v>89454</v>
      </c>
      <c r="BH24" s="397" t="n">
        <f aca="false">+E24+K24+Q24+W24+AC24+AI24+AO24+AU24+BA24</f>
        <v>44789.5</v>
      </c>
      <c r="BI24" s="397" t="n">
        <f aca="false">+F24+L24+R24+X24+AD24+AJ24+AP24+AV24+BB24</f>
        <v>1280314</v>
      </c>
      <c r="BJ24" s="397"/>
    </row>
    <row r="25" customFormat="false" ht="12.75" hidden="false" customHeight="false" outlineLevel="0" collapsed="false">
      <c r="A25" s="394" t="n">
        <f aca="false">+BaseloadMarkets!A25</f>
        <v>36697</v>
      </c>
      <c r="B25" s="395" t="n">
        <f aca="false">+OCCMarkets!O25</f>
        <v>1457</v>
      </c>
      <c r="C25" s="396" t="n">
        <f aca="false">B25/2</f>
        <v>728.5</v>
      </c>
      <c r="D25" s="396" t="n">
        <f aca="false">+OCCMarkets!S25</f>
        <v>981</v>
      </c>
      <c r="E25" s="397" t="n">
        <f aca="false">D25-C25</f>
        <v>252.5</v>
      </c>
      <c r="F25" s="397" t="n">
        <f aca="false">F24+E25</f>
        <v>9299.5</v>
      </c>
      <c r="G25" s="398" t="n">
        <f aca="false">SUM(E21:E25)</f>
        <v>-1523.5</v>
      </c>
      <c r="H25" s="395" t="n">
        <f aca="false">+OCCMarkets!C25</f>
        <v>10118</v>
      </c>
      <c r="I25" s="396" t="n">
        <f aca="false">H25/2</f>
        <v>5059</v>
      </c>
      <c r="J25" s="396" t="n">
        <f aca="false">+OCCMarkets!L25-OCCMarkets!H25</f>
        <v>5905</v>
      </c>
      <c r="K25" s="397" t="n">
        <f aca="false">J25-I25</f>
        <v>846</v>
      </c>
      <c r="L25" s="397" t="n">
        <f aca="false">L24+K25</f>
        <v>126515</v>
      </c>
      <c r="M25" s="398" t="n">
        <f aca="false">SUM(K21:K25)</f>
        <v>1862</v>
      </c>
      <c r="N25" s="395" t="n">
        <f aca="false">+OCCMarkets!V25</f>
        <v>1307</v>
      </c>
      <c r="O25" s="396" t="n">
        <f aca="false">N25/2</f>
        <v>653.5</v>
      </c>
      <c r="P25" s="396" t="n">
        <f aca="false">+OCCMarkets!Z25</f>
        <v>545</v>
      </c>
      <c r="Q25" s="397" t="n">
        <f aca="false">P25-O25</f>
        <v>-108.5</v>
      </c>
      <c r="R25" s="397" t="n">
        <f aca="false">R24+Q25</f>
        <v>13627</v>
      </c>
      <c r="S25" s="398" t="n">
        <f aca="false">SUM(Q21:Q25)</f>
        <v>-1245.5</v>
      </c>
      <c r="T25" s="384" t="n">
        <f aca="false">+EES!C24</f>
        <v>70000</v>
      </c>
      <c r="U25" s="384" t="n">
        <f aca="false">T25/2</f>
        <v>35000</v>
      </c>
      <c r="V25" s="384" t="n">
        <f aca="false">+EES!AI24-EES!M24</f>
        <v>6341</v>
      </c>
      <c r="W25" s="397" t="n">
        <f aca="false">V25-U25</f>
        <v>-28659</v>
      </c>
      <c r="X25" s="397" t="n">
        <f aca="false">X24+W25</f>
        <v>903977</v>
      </c>
      <c r="Y25" s="398" t="n">
        <f aca="false">SUM(W21:W25)</f>
        <v>4584</v>
      </c>
      <c r="Z25" s="384" t="n">
        <f aca="false">+OCCMarkets!AC25</f>
        <v>179</v>
      </c>
      <c r="AA25" s="384" t="n">
        <f aca="false">Z25/2</f>
        <v>89.5</v>
      </c>
      <c r="AB25" s="384" t="n">
        <f aca="false">+OCCMarkets!AG25</f>
        <v>545</v>
      </c>
      <c r="AC25" s="397" t="n">
        <f aca="false">AB25-AA25</f>
        <v>455.5</v>
      </c>
      <c r="AD25" s="397" t="n">
        <f aca="false">AD24+AC25</f>
        <v>3127</v>
      </c>
      <c r="AE25" s="398" t="n">
        <f aca="false">SUM(AC21:AC25)</f>
        <v>217.5</v>
      </c>
      <c r="AF25" s="384" t="n">
        <f aca="false">+OCCMarkets!AJ25</f>
        <v>8953</v>
      </c>
      <c r="AG25" s="384" t="n">
        <f aca="false">AF25/2</f>
        <v>4476.5</v>
      </c>
      <c r="AH25" s="384" t="n">
        <f aca="false">+OCCMarkets!AN25</f>
        <v>4969</v>
      </c>
      <c r="AI25" s="397" t="n">
        <f aca="false">AH25-AG25</f>
        <v>492.5</v>
      </c>
      <c r="AJ25" s="397" t="n">
        <f aca="false">AJ24+AI25</f>
        <v>190257.5</v>
      </c>
      <c r="AK25" s="398" t="n">
        <f aca="false">SUM(AI21:AI25)</f>
        <v>-6509</v>
      </c>
      <c r="AL25" s="384" t="n">
        <f aca="false">+OCCMarkets!AQ25</f>
        <v>0</v>
      </c>
      <c r="AM25" s="384" t="n">
        <f aca="false">AL25/2</f>
        <v>0</v>
      </c>
      <c r="AN25" s="384" t="n">
        <f aca="false">+OCCMarkets!AU25</f>
        <v>0</v>
      </c>
      <c r="AO25" s="397" t="n">
        <f aca="false">AN25-AM25</f>
        <v>0</v>
      </c>
      <c r="AP25" s="397" t="n">
        <f aca="false">AP24+AO25</f>
        <v>0</v>
      </c>
      <c r="AQ25" s="398" t="n">
        <f aca="false">SUM(AO21:AO25)</f>
        <v>0</v>
      </c>
      <c r="AR25" s="384" t="n">
        <f aca="false">+OCCMarkets!AX25</f>
        <v>202</v>
      </c>
      <c r="AS25" s="384" t="n">
        <f aca="false">AR25/2</f>
        <v>101</v>
      </c>
      <c r="AT25" s="384" t="n">
        <f aca="false">+OCCMarkets!BB25</f>
        <v>545</v>
      </c>
      <c r="AU25" s="397" t="n">
        <f aca="false">AT25-AS25</f>
        <v>444</v>
      </c>
      <c r="AV25" s="397" t="n">
        <f aca="false">AV24+AU25</f>
        <v>3398</v>
      </c>
      <c r="AW25" s="398" t="n">
        <f aca="false">SUM(AU21:AU25)</f>
        <v>270.5</v>
      </c>
      <c r="AX25" s="384" t="n">
        <f aca="false">+OCCMarkets!BE25</f>
        <v>320</v>
      </c>
      <c r="AY25" s="384" t="n">
        <f aca="false">AX25/2</f>
        <v>160</v>
      </c>
      <c r="AZ25" s="384" t="n">
        <f aca="false">+OCCMarkets!BI25</f>
        <v>545</v>
      </c>
      <c r="BA25" s="397" t="n">
        <f aca="false">AZ25-AY25</f>
        <v>385</v>
      </c>
      <c r="BB25" s="397" t="n">
        <f aca="false">BB24+BA25</f>
        <v>4221</v>
      </c>
      <c r="BC25" s="398" t="n">
        <f aca="false">SUM(BA21:BA25)</f>
        <v>15.5</v>
      </c>
      <c r="BD25" s="393"/>
      <c r="BE25" s="397" t="n">
        <f aca="false">+B25+H25+N25+T25+Z25+AF25+AL25+AR25+AX25</f>
        <v>92536</v>
      </c>
      <c r="BF25" s="397" t="n">
        <f aca="false">+C25+I25+O25+U25+AA25+AG25+AM25+AS25+AY25</f>
        <v>46268</v>
      </c>
      <c r="BG25" s="397" t="n">
        <f aca="false">+D25+J25+P25+V25+AB25+AH25+AN25+AT25+AZ25</f>
        <v>20376</v>
      </c>
      <c r="BH25" s="397" t="n">
        <f aca="false">+E25+K25+Q25+W25+AC25+AI25+AO25+AU25+BA25</f>
        <v>-25892</v>
      </c>
      <c r="BI25" s="397" t="n">
        <f aca="false">+F25+L25+R25+X25+AD25+AJ25+AP25+AV25+BB25</f>
        <v>1254422</v>
      </c>
      <c r="BJ25" s="393" t="n">
        <f aca="false">+G25+M25+S25+Y25+AE25+AK25+AQ25+AW25+BC25</f>
        <v>-2328.5</v>
      </c>
      <c r="BK25" s="399"/>
    </row>
    <row r="26" customFormat="false" ht="12.75" hidden="false" customHeight="false" outlineLevel="0" collapsed="false">
      <c r="A26" s="394" t="n">
        <f aca="false">+BaseloadMarkets!A26</f>
        <v>36698</v>
      </c>
      <c r="B26" s="395" t="n">
        <f aca="false">+OCCMarkets!O26</f>
        <v>1882</v>
      </c>
      <c r="C26" s="396" t="n">
        <f aca="false">B26/2</f>
        <v>941</v>
      </c>
      <c r="D26" s="396" t="n">
        <f aca="false">+OCCMarkets!S26</f>
        <v>0</v>
      </c>
      <c r="E26" s="397" t="n">
        <f aca="false">D26-C26</f>
        <v>-941</v>
      </c>
      <c r="F26" s="397" t="n">
        <f aca="false">F25+E26</f>
        <v>8358.5</v>
      </c>
      <c r="G26" s="398"/>
      <c r="H26" s="395" t="n">
        <f aca="false">+OCCMarkets!C26</f>
        <v>9883</v>
      </c>
      <c r="I26" s="396" t="n">
        <f aca="false">H26/2</f>
        <v>4941.5</v>
      </c>
      <c r="J26" s="396" t="n">
        <f aca="false">+OCCMarkets!L26-OCCMarkets!H26</f>
        <v>3997</v>
      </c>
      <c r="K26" s="397" t="n">
        <f aca="false">J26-I26</f>
        <v>-944.5</v>
      </c>
      <c r="L26" s="397" t="n">
        <f aca="false">L25+K26</f>
        <v>125570.5</v>
      </c>
      <c r="M26" s="398"/>
      <c r="N26" s="395" t="n">
        <f aca="false">+OCCMarkets!V26</f>
        <v>1249</v>
      </c>
      <c r="O26" s="396" t="n">
        <f aca="false">N26/2</f>
        <v>624.5</v>
      </c>
      <c r="P26" s="396" t="n">
        <f aca="false">+OCCMarkets!Z26</f>
        <v>0</v>
      </c>
      <c r="Q26" s="397" t="n">
        <f aca="false">P26-O26</f>
        <v>-624.5</v>
      </c>
      <c r="R26" s="397" t="n">
        <f aca="false">R25+Q26</f>
        <v>13002.5</v>
      </c>
      <c r="S26" s="398"/>
      <c r="T26" s="384" t="n">
        <f aca="false">+EES!C25</f>
        <v>70000</v>
      </c>
      <c r="U26" s="384" t="n">
        <f aca="false">T26/2</f>
        <v>35000</v>
      </c>
      <c r="V26" s="384" t="n">
        <f aca="false">+EES!AI25-EES!M25</f>
        <v>4000</v>
      </c>
      <c r="W26" s="397" t="n">
        <f aca="false">V26-U26</f>
        <v>-31000</v>
      </c>
      <c r="X26" s="397" t="n">
        <f aca="false">X25+W26</f>
        <v>872977</v>
      </c>
      <c r="Y26" s="398"/>
      <c r="Z26" s="384" t="n">
        <f aca="false">+OCCMarkets!AC26</f>
        <v>178</v>
      </c>
      <c r="AA26" s="384" t="n">
        <f aca="false">Z26/2</f>
        <v>89</v>
      </c>
      <c r="AB26" s="384" t="n">
        <f aca="false">+OCCMarkets!AG26</f>
        <v>0</v>
      </c>
      <c r="AC26" s="397" t="n">
        <f aca="false">AB26-AA26</f>
        <v>-89</v>
      </c>
      <c r="AD26" s="397" t="n">
        <f aca="false">AD25+AC26</f>
        <v>3038</v>
      </c>
      <c r="AE26" s="398"/>
      <c r="AF26" s="384" t="n">
        <f aca="false">+OCCMarkets!AJ26</f>
        <v>9037</v>
      </c>
      <c r="AG26" s="384" t="n">
        <f aca="false">AF26/2</f>
        <v>4518.5</v>
      </c>
      <c r="AH26" s="384" t="n">
        <f aca="false">+OCCMarkets!AN26</f>
        <v>1466</v>
      </c>
      <c r="AI26" s="397" t="n">
        <f aca="false">AH26-AG26</f>
        <v>-3052.5</v>
      </c>
      <c r="AJ26" s="397" t="n">
        <f aca="false">AJ25+AI26</f>
        <v>187205</v>
      </c>
      <c r="AK26" s="398"/>
      <c r="AL26" s="384" t="n">
        <f aca="false">+OCCMarkets!AQ26</f>
        <v>0</v>
      </c>
      <c r="AM26" s="384" t="n">
        <f aca="false">AL26/2</f>
        <v>0</v>
      </c>
      <c r="AN26" s="384" t="n">
        <f aca="false">+OCCMarkets!AU26</f>
        <v>0</v>
      </c>
      <c r="AO26" s="397" t="n">
        <f aca="false">AN26-AM26</f>
        <v>0</v>
      </c>
      <c r="AP26" s="397" t="n">
        <f aca="false">AP25+AO26</f>
        <v>0</v>
      </c>
      <c r="AQ26" s="398"/>
      <c r="AR26" s="384" t="n">
        <f aca="false">+OCCMarkets!AX26</f>
        <v>190</v>
      </c>
      <c r="AS26" s="384" t="n">
        <f aca="false">AR26/2</f>
        <v>95</v>
      </c>
      <c r="AT26" s="384" t="n">
        <f aca="false">+OCCMarkets!BB26</f>
        <v>0</v>
      </c>
      <c r="AU26" s="397" t="n">
        <f aca="false">AT26-AS26</f>
        <v>-95</v>
      </c>
      <c r="AV26" s="397" t="n">
        <f aca="false">AV25+AU26</f>
        <v>3303</v>
      </c>
      <c r="AW26" s="398"/>
      <c r="AX26" s="384" t="n">
        <f aca="false">+OCCMarkets!BE26</f>
        <v>301</v>
      </c>
      <c r="AY26" s="384" t="n">
        <f aca="false">AX26/2</f>
        <v>150.5</v>
      </c>
      <c r="AZ26" s="384" t="n">
        <f aca="false">+OCCMarkets!BI26</f>
        <v>0</v>
      </c>
      <c r="BA26" s="397" t="n">
        <f aca="false">AZ26-AY26</f>
        <v>-150.5</v>
      </c>
      <c r="BB26" s="397" t="n">
        <f aca="false">BB25+BA26</f>
        <v>4070.5</v>
      </c>
      <c r="BC26" s="398"/>
      <c r="BD26" s="393"/>
      <c r="BE26" s="397" t="n">
        <f aca="false">+B26+H26+N26+T26+Z26+AF26+AL26+AR26+AX26</f>
        <v>92720</v>
      </c>
      <c r="BF26" s="397" t="n">
        <f aca="false">+C26+I26+O26+U26+AA26+AG26+AM26+AS26+AY26</f>
        <v>46360</v>
      </c>
      <c r="BG26" s="397" t="n">
        <f aca="false">+D26+J26+P26+V26+AB26+AH26+AN26+AT26+AZ26</f>
        <v>9463</v>
      </c>
      <c r="BH26" s="397" t="n">
        <f aca="false">+E26+K26+Q26+W26+AC26+AI26+AO26+AU26+BA26</f>
        <v>-36897</v>
      </c>
      <c r="BI26" s="397" t="n">
        <f aca="false">+F26+L26+R26+X26+AD26+AJ26+AP26+AV26+BB26</f>
        <v>1217525</v>
      </c>
      <c r="BJ26" s="397"/>
    </row>
    <row r="27" customFormat="false" ht="12.75" hidden="false" customHeight="false" outlineLevel="0" collapsed="false">
      <c r="A27" s="394" t="n">
        <f aca="false">+BaseloadMarkets!A27</f>
        <v>36699</v>
      </c>
      <c r="B27" s="395" t="n">
        <f aca="false">+OCCMarkets!O27</f>
        <v>1689</v>
      </c>
      <c r="C27" s="396" t="n">
        <f aca="false">B27/2</f>
        <v>844.5</v>
      </c>
      <c r="D27" s="396" t="n">
        <f aca="false">+OCCMarkets!S27</f>
        <v>819</v>
      </c>
      <c r="E27" s="397" t="n">
        <f aca="false">D27-C27</f>
        <v>-25.5</v>
      </c>
      <c r="F27" s="397" t="n">
        <f aca="false">F26+E27</f>
        <v>8333</v>
      </c>
      <c r="G27" s="398"/>
      <c r="H27" s="395" t="n">
        <f aca="false">+OCCMarkets!C27</f>
        <v>10297</v>
      </c>
      <c r="I27" s="396" t="n">
        <f aca="false">H27/2</f>
        <v>5148.5</v>
      </c>
      <c r="J27" s="396" t="n">
        <f aca="false">+OCCMarkets!L27-OCCMarkets!H27</f>
        <v>5590</v>
      </c>
      <c r="K27" s="397" t="n">
        <f aca="false">J27-I27</f>
        <v>441.5</v>
      </c>
      <c r="L27" s="397" t="n">
        <f aca="false">L26+K27</f>
        <v>126012</v>
      </c>
      <c r="M27" s="398"/>
      <c r="N27" s="395" t="n">
        <f aca="false">+OCCMarkets!V27</f>
        <v>1200</v>
      </c>
      <c r="O27" s="396" t="n">
        <f aca="false">N27/2</f>
        <v>600</v>
      </c>
      <c r="P27" s="396" t="n">
        <f aca="false">+OCCMarkets!Z27</f>
        <v>455</v>
      </c>
      <c r="Q27" s="397" t="n">
        <f aca="false">P27-O27</f>
        <v>-145</v>
      </c>
      <c r="R27" s="397" t="n">
        <f aca="false">R26+Q27</f>
        <v>12857.5</v>
      </c>
      <c r="S27" s="398"/>
      <c r="T27" s="384" t="n">
        <f aca="false">+EES!C26</f>
        <v>70000</v>
      </c>
      <c r="U27" s="384" t="n">
        <f aca="false">T27/2</f>
        <v>35000</v>
      </c>
      <c r="V27" s="384" t="n">
        <f aca="false">+EES!AI26-EES!M26</f>
        <v>7787</v>
      </c>
      <c r="W27" s="397" t="n">
        <f aca="false">V27-U27</f>
        <v>-27213</v>
      </c>
      <c r="X27" s="397" t="n">
        <f aca="false">X26+W27</f>
        <v>845764</v>
      </c>
      <c r="Y27" s="398"/>
      <c r="Z27" s="384" t="n">
        <f aca="false">+OCCMarkets!AC27</f>
        <v>177</v>
      </c>
      <c r="AA27" s="384" t="n">
        <f aca="false">Z27/2</f>
        <v>88.5</v>
      </c>
      <c r="AB27" s="384" t="n">
        <f aca="false">+OCCMarkets!AG27</f>
        <v>0</v>
      </c>
      <c r="AC27" s="397" t="n">
        <f aca="false">AB27-AA27</f>
        <v>-88.5</v>
      </c>
      <c r="AD27" s="397" t="n">
        <f aca="false">AD26+AC27</f>
        <v>2949.5</v>
      </c>
      <c r="AE27" s="398"/>
      <c r="AF27" s="384" t="n">
        <f aca="false">+OCCMarkets!AJ27</f>
        <v>9084</v>
      </c>
      <c r="AG27" s="384" t="n">
        <f aca="false">AF27/2</f>
        <v>4542</v>
      </c>
      <c r="AH27" s="384" t="n">
        <f aca="false">+OCCMarkets!AN27</f>
        <v>3994</v>
      </c>
      <c r="AI27" s="397" t="n">
        <f aca="false">AH27-AG27</f>
        <v>-548</v>
      </c>
      <c r="AJ27" s="397" t="n">
        <f aca="false">AJ26+AI27</f>
        <v>186657</v>
      </c>
      <c r="AK27" s="398"/>
      <c r="AL27" s="384" t="n">
        <f aca="false">+OCCMarkets!AQ27</f>
        <v>0</v>
      </c>
      <c r="AM27" s="384" t="n">
        <f aca="false">AL27/2</f>
        <v>0</v>
      </c>
      <c r="AN27" s="384" t="n">
        <f aca="false">+OCCMarkets!AU27</f>
        <v>0</v>
      </c>
      <c r="AO27" s="397" t="n">
        <f aca="false">AN27-AM27</f>
        <v>0</v>
      </c>
      <c r="AP27" s="397" t="n">
        <f aca="false">AP26+AO27</f>
        <v>0</v>
      </c>
      <c r="AQ27" s="398"/>
      <c r="AR27" s="384" t="n">
        <f aca="false">+OCCMarkets!AX27</f>
        <v>206</v>
      </c>
      <c r="AS27" s="384" t="n">
        <f aca="false">AR27/2</f>
        <v>103</v>
      </c>
      <c r="AT27" s="384" t="n">
        <f aca="false">+OCCMarkets!BB27</f>
        <v>0</v>
      </c>
      <c r="AU27" s="397" t="n">
        <f aca="false">AT27-AS27</f>
        <v>-103</v>
      </c>
      <c r="AV27" s="397" t="n">
        <f aca="false">AV26+AU27</f>
        <v>3200</v>
      </c>
      <c r="AW27" s="398"/>
      <c r="AX27" s="384" t="n">
        <f aca="false">+OCCMarkets!BE27</f>
        <v>308</v>
      </c>
      <c r="AY27" s="384" t="n">
        <f aca="false">AX27/2</f>
        <v>154</v>
      </c>
      <c r="AZ27" s="384" t="n">
        <f aca="false">+OCCMarkets!BI27</f>
        <v>0</v>
      </c>
      <c r="BA27" s="397" t="n">
        <f aca="false">AZ27-AY27</f>
        <v>-154</v>
      </c>
      <c r="BB27" s="397" t="n">
        <f aca="false">BB26+BA27</f>
        <v>3916.5</v>
      </c>
      <c r="BC27" s="398"/>
      <c r="BD27" s="393"/>
      <c r="BE27" s="397" t="n">
        <f aca="false">+B27+H27+N27+T27+Z27+AF27+AL27+AR27+AX27</f>
        <v>92961</v>
      </c>
      <c r="BF27" s="397" t="n">
        <f aca="false">+C27+I27+O27+U27+AA27+AG27+AM27+AS27+AY27</f>
        <v>46480.5</v>
      </c>
      <c r="BG27" s="397" t="n">
        <f aca="false">+D27+J27+P27+V27+AB27+AH27+AN27+AT27+AZ27</f>
        <v>18645</v>
      </c>
      <c r="BH27" s="397" t="n">
        <f aca="false">+E27+K27+Q27+W27+AC27+AI27+AO27+AU27+BA27</f>
        <v>-27835.5</v>
      </c>
      <c r="BI27" s="397" t="n">
        <f aca="false">+F27+L27+R27+X27+AD27+AJ27+AP27+AV27+BB27</f>
        <v>1189689.5</v>
      </c>
      <c r="BJ27" s="397"/>
    </row>
    <row r="28" customFormat="false" ht="12.75" hidden="false" customHeight="false" outlineLevel="0" collapsed="false">
      <c r="A28" s="394" t="n">
        <f aca="false">+BaseloadMarkets!A28</f>
        <v>36700</v>
      </c>
      <c r="B28" s="395" t="n">
        <f aca="false">+OCCMarkets!O28</f>
        <v>1498</v>
      </c>
      <c r="C28" s="396" t="n">
        <f aca="false">B28/2</f>
        <v>749</v>
      </c>
      <c r="D28" s="396" t="n">
        <f aca="false">+OCCMarkets!S28</f>
        <v>52</v>
      </c>
      <c r="E28" s="397" t="n">
        <f aca="false">D28-C28</f>
        <v>-697</v>
      </c>
      <c r="F28" s="397" t="n">
        <f aca="false">F27+E28</f>
        <v>7636</v>
      </c>
      <c r="G28" s="398"/>
      <c r="H28" s="395" t="n">
        <f aca="false">+OCCMarkets!C28</f>
        <v>10806</v>
      </c>
      <c r="I28" s="396" t="n">
        <f aca="false">H28/2</f>
        <v>5403</v>
      </c>
      <c r="J28" s="396" t="n">
        <f aca="false">+OCCMarkets!L28-OCCMarkets!H28</f>
        <v>4063</v>
      </c>
      <c r="K28" s="397" t="n">
        <f aca="false">J28-I28</f>
        <v>-1340</v>
      </c>
      <c r="L28" s="397" t="n">
        <f aca="false">L27+K28</f>
        <v>124672</v>
      </c>
      <c r="M28" s="398"/>
      <c r="N28" s="395" t="n">
        <f aca="false">+OCCMarkets!V28</f>
        <v>1288</v>
      </c>
      <c r="O28" s="396" t="n">
        <f aca="false">N28/2</f>
        <v>644</v>
      </c>
      <c r="P28" s="396" t="n">
        <f aca="false">+OCCMarkets!Z28</f>
        <v>52</v>
      </c>
      <c r="Q28" s="397" t="n">
        <f aca="false">P28-O28</f>
        <v>-592</v>
      </c>
      <c r="R28" s="397" t="n">
        <f aca="false">R27+Q28</f>
        <v>12265.5</v>
      </c>
      <c r="S28" s="398"/>
      <c r="T28" s="384" t="n">
        <f aca="false">+EES!C27</f>
        <v>70000</v>
      </c>
      <c r="U28" s="384" t="n">
        <f aca="false">T28/2</f>
        <v>35000</v>
      </c>
      <c r="V28" s="384" t="n">
        <f aca="false">+EES!AI27-EES!M27</f>
        <v>59054</v>
      </c>
      <c r="W28" s="397" t="n">
        <f aca="false">V28-U28</f>
        <v>24054</v>
      </c>
      <c r="X28" s="397" t="n">
        <f aca="false">X27+W28</f>
        <v>869818</v>
      </c>
      <c r="Y28" s="398"/>
      <c r="Z28" s="384" t="n">
        <f aca="false">+OCCMarkets!AC28</f>
        <v>182</v>
      </c>
      <c r="AA28" s="384" t="n">
        <f aca="false">Z28/2</f>
        <v>91</v>
      </c>
      <c r="AB28" s="384" t="n">
        <f aca="false">+OCCMarkets!AG28</f>
        <v>0</v>
      </c>
      <c r="AC28" s="397" t="n">
        <f aca="false">AB28-AA28</f>
        <v>-91</v>
      </c>
      <c r="AD28" s="397" t="n">
        <f aca="false">AD27+AC28</f>
        <v>2858.5</v>
      </c>
      <c r="AE28" s="398"/>
      <c r="AF28" s="384" t="n">
        <f aca="false">+OCCMarkets!AJ28</f>
        <v>9505</v>
      </c>
      <c r="AG28" s="384" t="n">
        <f aca="false">AF28/2</f>
        <v>4752.5</v>
      </c>
      <c r="AH28" s="384" t="n">
        <f aca="false">+OCCMarkets!AN28</f>
        <v>2464</v>
      </c>
      <c r="AI28" s="397" t="n">
        <f aca="false">AH28-AG28</f>
        <v>-2288.5</v>
      </c>
      <c r="AJ28" s="397" t="n">
        <f aca="false">AJ27+AI28</f>
        <v>184368.5</v>
      </c>
      <c r="AK28" s="398"/>
      <c r="AL28" s="384" t="n">
        <f aca="false">+OCCMarkets!AQ28</f>
        <v>0</v>
      </c>
      <c r="AM28" s="384" t="n">
        <f aca="false">AL28/2</f>
        <v>0</v>
      </c>
      <c r="AN28" s="384" t="n">
        <f aca="false">+OCCMarkets!AU28</f>
        <v>0</v>
      </c>
      <c r="AO28" s="397" t="n">
        <f aca="false">AN28-AM28</f>
        <v>0</v>
      </c>
      <c r="AP28" s="397" t="n">
        <f aca="false">AP27+AO28</f>
        <v>0</v>
      </c>
      <c r="AQ28" s="398"/>
      <c r="AR28" s="384" t="n">
        <f aca="false">+OCCMarkets!AX28</f>
        <v>210</v>
      </c>
      <c r="AS28" s="384" t="n">
        <f aca="false">AR28/2</f>
        <v>105</v>
      </c>
      <c r="AT28" s="384" t="n">
        <f aca="false">+OCCMarkets!BB28</f>
        <v>0</v>
      </c>
      <c r="AU28" s="397" t="n">
        <f aca="false">AT28-AS28</f>
        <v>-105</v>
      </c>
      <c r="AV28" s="397" t="n">
        <f aca="false">AV27+AU28</f>
        <v>3095</v>
      </c>
      <c r="AW28" s="398"/>
      <c r="AX28" s="384" t="n">
        <f aca="false">+OCCMarkets!BE28</f>
        <v>317</v>
      </c>
      <c r="AY28" s="384" t="n">
        <f aca="false">AX28/2</f>
        <v>158.5</v>
      </c>
      <c r="AZ28" s="384" t="n">
        <f aca="false">+OCCMarkets!BI28</f>
        <v>0</v>
      </c>
      <c r="BA28" s="397" t="n">
        <f aca="false">AZ28-AY28</f>
        <v>-158.5</v>
      </c>
      <c r="BB28" s="397" t="n">
        <f aca="false">BB27+BA28</f>
        <v>3758</v>
      </c>
      <c r="BC28" s="398"/>
      <c r="BD28" s="393"/>
      <c r="BE28" s="397" t="n">
        <f aca="false">+B28+H28+N28+T28+Z28+AF28+AL28+AR28+AX28</f>
        <v>93806</v>
      </c>
      <c r="BF28" s="397" t="n">
        <f aca="false">+C28+I28+O28+U28+AA28+AG28+AM28+AS28+AY28</f>
        <v>46903</v>
      </c>
      <c r="BG28" s="397" t="n">
        <f aca="false">+D28+J28+P28+V28+AB28+AH28+AN28+AT28+AZ28</f>
        <v>65685</v>
      </c>
      <c r="BH28" s="397" t="n">
        <f aca="false">+E28+K28+Q28+W28+AC28+AI28+AO28+AU28+BA28</f>
        <v>18782</v>
      </c>
      <c r="BI28" s="397" t="n">
        <f aca="false">+F28+L28+R28+X28+AD28+AJ28+AP28+AV28+BB28</f>
        <v>1208471.5</v>
      </c>
      <c r="BJ28" s="397"/>
    </row>
    <row r="29" customFormat="false" ht="12.75" hidden="false" customHeight="false" outlineLevel="0" collapsed="false">
      <c r="A29" s="394" t="n">
        <f aca="false">+BaseloadMarkets!A29</f>
        <v>36701</v>
      </c>
      <c r="B29" s="395" t="n">
        <f aca="false">+OCCMarkets!O29</f>
        <v>1717</v>
      </c>
      <c r="C29" s="396" t="n">
        <f aca="false">B29/2</f>
        <v>858.5</v>
      </c>
      <c r="D29" s="396" t="n">
        <f aca="false">+OCCMarkets!S29</f>
        <v>93</v>
      </c>
      <c r="E29" s="397" t="n">
        <f aca="false">D29-C29</f>
        <v>-765.5</v>
      </c>
      <c r="F29" s="397" t="n">
        <f aca="false">F28+E29</f>
        <v>6870.5</v>
      </c>
      <c r="G29" s="398"/>
      <c r="H29" s="395" t="n">
        <f aca="false">+OCCMarkets!C29</f>
        <v>11323</v>
      </c>
      <c r="I29" s="396" t="n">
        <f aca="false">H29/2</f>
        <v>5661.5</v>
      </c>
      <c r="J29" s="396" t="n">
        <f aca="false">+OCCMarkets!L29-OCCMarkets!H29</f>
        <v>4245</v>
      </c>
      <c r="K29" s="397" t="n">
        <f aca="false">J29-I29</f>
        <v>-1416.5</v>
      </c>
      <c r="L29" s="397" t="n">
        <f aca="false">L28+K29</f>
        <v>123255.5</v>
      </c>
      <c r="M29" s="398"/>
      <c r="N29" s="395" t="n">
        <f aca="false">+OCCMarkets!V29</f>
        <v>2</v>
      </c>
      <c r="O29" s="396" t="n">
        <f aca="false">N29/2</f>
        <v>1</v>
      </c>
      <c r="P29" s="396" t="n">
        <f aca="false">+OCCMarkets!Z29</f>
        <v>62</v>
      </c>
      <c r="Q29" s="397" t="n">
        <f aca="false">P29-O29</f>
        <v>61</v>
      </c>
      <c r="R29" s="397" t="n">
        <f aca="false">R28+Q29</f>
        <v>12326.5</v>
      </c>
      <c r="S29" s="398"/>
      <c r="T29" s="384" t="n">
        <f aca="false">+EES!C28</f>
        <v>70000</v>
      </c>
      <c r="U29" s="384" t="n">
        <f aca="false">T29/2</f>
        <v>35000</v>
      </c>
      <c r="V29" s="384" t="n">
        <f aca="false">+EES!AI28-EES!M28</f>
        <v>51563</v>
      </c>
      <c r="W29" s="397" t="n">
        <f aca="false">V29-U29</f>
        <v>16563</v>
      </c>
      <c r="X29" s="397" t="n">
        <f aca="false">X28+W29</f>
        <v>886381</v>
      </c>
      <c r="Y29" s="398"/>
      <c r="Z29" s="384" t="n">
        <f aca="false">+OCCMarkets!AC29</f>
        <v>177</v>
      </c>
      <c r="AA29" s="384" t="n">
        <f aca="false">Z29/2</f>
        <v>88.5</v>
      </c>
      <c r="AB29" s="384" t="n">
        <f aca="false">+OCCMarkets!AG29</f>
        <v>0</v>
      </c>
      <c r="AC29" s="397" t="n">
        <f aca="false">AB29-AA29</f>
        <v>-88.5</v>
      </c>
      <c r="AD29" s="397" t="n">
        <f aca="false">AD28+AC29</f>
        <v>2770</v>
      </c>
      <c r="AE29" s="398"/>
      <c r="AF29" s="384" t="n">
        <f aca="false">+OCCMarkets!AJ29</f>
        <v>9333</v>
      </c>
      <c r="AG29" s="384" t="n">
        <f aca="false">AF29/2</f>
        <v>4666.5</v>
      </c>
      <c r="AH29" s="384" t="n">
        <f aca="false">+OCCMarkets!AN29</f>
        <v>987</v>
      </c>
      <c r="AI29" s="397" t="n">
        <f aca="false">AH29-AG29</f>
        <v>-3679.5</v>
      </c>
      <c r="AJ29" s="397" t="n">
        <f aca="false">AJ28+AI29</f>
        <v>180689</v>
      </c>
      <c r="AK29" s="398"/>
      <c r="AL29" s="384" t="n">
        <f aca="false">+OCCMarkets!AQ29</f>
        <v>0</v>
      </c>
      <c r="AM29" s="384" t="n">
        <f aca="false">AL29/2</f>
        <v>0</v>
      </c>
      <c r="AN29" s="384" t="n">
        <f aca="false">+OCCMarkets!AU29</f>
        <v>0</v>
      </c>
      <c r="AO29" s="397" t="n">
        <f aca="false">AN29-AM29</f>
        <v>0</v>
      </c>
      <c r="AP29" s="397" t="n">
        <f aca="false">AP28+AO29</f>
        <v>0</v>
      </c>
      <c r="AQ29" s="398"/>
      <c r="AR29" s="384" t="n">
        <f aca="false">+OCCMarkets!AX29</f>
        <v>27</v>
      </c>
      <c r="AS29" s="384" t="n">
        <f aca="false">AR29/2</f>
        <v>13.5</v>
      </c>
      <c r="AT29" s="384" t="n">
        <f aca="false">+OCCMarkets!BB29</f>
        <v>0</v>
      </c>
      <c r="AU29" s="397" t="n">
        <f aca="false">AT29-AS29</f>
        <v>-13.5</v>
      </c>
      <c r="AV29" s="397" t="n">
        <f aca="false">AV28+AU29</f>
        <v>3081.5</v>
      </c>
      <c r="AW29" s="398"/>
      <c r="AX29" s="384" t="n">
        <f aca="false">+OCCMarkets!BE29</f>
        <v>28</v>
      </c>
      <c r="AY29" s="384" t="n">
        <f aca="false">AX29/2</f>
        <v>14</v>
      </c>
      <c r="AZ29" s="384" t="n">
        <f aca="false">+OCCMarkets!BI29</f>
        <v>0</v>
      </c>
      <c r="BA29" s="397" t="n">
        <f aca="false">AZ29-AY29</f>
        <v>-14</v>
      </c>
      <c r="BB29" s="397" t="n">
        <f aca="false">BB28+BA29</f>
        <v>3744</v>
      </c>
      <c r="BC29" s="398"/>
      <c r="BD29" s="393"/>
      <c r="BE29" s="397" t="n">
        <f aca="false">+B29+H29+N29+T29+Z29+AF29+AL29+AR29+AX29</f>
        <v>92607</v>
      </c>
      <c r="BF29" s="397" t="n">
        <f aca="false">+C29+I29+O29+U29+AA29+AG29+AM29+AS29+AY29</f>
        <v>46303.5</v>
      </c>
      <c r="BG29" s="397" t="n">
        <f aca="false">+D29+J29+P29+V29+AB29+AH29+AN29+AT29+AZ29</f>
        <v>56950</v>
      </c>
      <c r="BH29" s="397" t="n">
        <f aca="false">+E29+K29+Q29+W29+AC29+AI29+AO29+AU29+BA29</f>
        <v>10646.5</v>
      </c>
      <c r="BI29" s="397" t="n">
        <f aca="false">+F29+L29+R29+X29+AD29+AJ29+AP29+AV29+BB29</f>
        <v>1219118</v>
      </c>
      <c r="BJ29" s="397"/>
    </row>
    <row r="30" customFormat="false" ht="12.75" hidden="false" customHeight="false" outlineLevel="0" collapsed="false">
      <c r="A30" s="394" t="n">
        <f aca="false">+BaseloadMarkets!A30</f>
        <v>36702</v>
      </c>
      <c r="B30" s="395" t="n">
        <f aca="false">+OCCMarkets!O30</f>
        <v>1789</v>
      </c>
      <c r="C30" s="396" t="n">
        <f aca="false">B30/2</f>
        <v>894.5</v>
      </c>
      <c r="D30" s="396" t="n">
        <f aca="false">+OCCMarkets!S30</f>
        <v>0</v>
      </c>
      <c r="E30" s="397" t="n">
        <f aca="false">D30-C30</f>
        <v>-894.5</v>
      </c>
      <c r="F30" s="397" t="n">
        <f aca="false">F29+E30</f>
        <v>5976</v>
      </c>
      <c r="G30" s="398" t="n">
        <f aca="false">SUM(E26:E30)</f>
        <v>-3323.5</v>
      </c>
      <c r="H30" s="395" t="n">
        <f aca="false">+OCCMarkets!C30</f>
        <v>13533</v>
      </c>
      <c r="I30" s="396" t="n">
        <f aca="false">H30/2</f>
        <v>6766.5</v>
      </c>
      <c r="J30" s="396" t="n">
        <f aca="false">+OCCMarkets!L30-OCCMarkets!H30</f>
        <v>3997</v>
      </c>
      <c r="K30" s="397" t="n">
        <f aca="false">J30-I30</f>
        <v>-2769.5</v>
      </c>
      <c r="L30" s="397" t="n">
        <f aca="false">L29+K30</f>
        <v>120486</v>
      </c>
      <c r="M30" s="398" t="n">
        <f aca="false">SUM(K26:K30)</f>
        <v>-6029</v>
      </c>
      <c r="N30" s="395" t="n">
        <f aca="false">+OCCMarkets!V30</f>
        <v>0</v>
      </c>
      <c r="O30" s="396" t="n">
        <f aca="false">N30/2</f>
        <v>0</v>
      </c>
      <c r="P30" s="396" t="n">
        <f aca="false">+OCCMarkets!Z30</f>
        <v>0</v>
      </c>
      <c r="Q30" s="397" t="n">
        <f aca="false">P30-O30</f>
        <v>0</v>
      </c>
      <c r="R30" s="397" t="n">
        <f aca="false">R29+Q30</f>
        <v>12326.5</v>
      </c>
      <c r="S30" s="398" t="n">
        <f aca="false">SUM(Q26:Q30)</f>
        <v>-1300.5</v>
      </c>
      <c r="T30" s="384" t="n">
        <f aca="false">+EES!C29</f>
        <v>70000</v>
      </c>
      <c r="U30" s="384" t="n">
        <f aca="false">T30/2</f>
        <v>35000</v>
      </c>
      <c r="V30" s="384" t="n">
        <f aca="false">+EES!AI29-EES!M29</f>
        <v>54121</v>
      </c>
      <c r="W30" s="397" t="n">
        <f aca="false">V30-U30</f>
        <v>19121</v>
      </c>
      <c r="X30" s="397" t="n">
        <f aca="false">X29+W30</f>
        <v>905502</v>
      </c>
      <c r="Y30" s="398" t="n">
        <f aca="false">SUM(W26:W30)</f>
        <v>1525</v>
      </c>
      <c r="Z30" s="384" t="n">
        <f aca="false">+OCCMarkets!AC30</f>
        <v>59</v>
      </c>
      <c r="AA30" s="384" t="n">
        <f aca="false">Z30/2</f>
        <v>29.5</v>
      </c>
      <c r="AB30" s="384" t="n">
        <f aca="false">+OCCMarkets!AG30</f>
        <v>0</v>
      </c>
      <c r="AC30" s="397" t="n">
        <f aca="false">AB30-AA30</f>
        <v>-29.5</v>
      </c>
      <c r="AD30" s="397" t="n">
        <f aca="false">AD29+AC30</f>
        <v>2740.5</v>
      </c>
      <c r="AE30" s="398" t="n">
        <f aca="false">SUM(AC26:AC30)</f>
        <v>-386.5</v>
      </c>
      <c r="AF30" s="384" t="n">
        <f aca="false">+OCCMarkets!AJ30</f>
        <v>7147</v>
      </c>
      <c r="AG30" s="384" t="n">
        <f aca="false">AF30/2</f>
        <v>3573.5</v>
      </c>
      <c r="AH30" s="384" t="n">
        <f aca="false">+OCCMarkets!AN30</f>
        <v>987</v>
      </c>
      <c r="AI30" s="397" t="n">
        <f aca="false">AH30-AG30</f>
        <v>-2586.5</v>
      </c>
      <c r="AJ30" s="397" t="n">
        <f aca="false">AJ29+AI30</f>
        <v>178102.5</v>
      </c>
      <c r="AK30" s="398" t="n">
        <f aca="false">SUM(AI26:AI30)</f>
        <v>-12155</v>
      </c>
      <c r="AL30" s="384" t="n">
        <f aca="false">+OCCMarkets!AQ30</f>
        <v>0</v>
      </c>
      <c r="AM30" s="384" t="n">
        <f aca="false">AL30/2</f>
        <v>0</v>
      </c>
      <c r="AN30" s="384" t="n">
        <f aca="false">+OCCMarkets!AU30</f>
        <v>0</v>
      </c>
      <c r="AO30" s="397" t="n">
        <f aca="false">AN30-AM30</f>
        <v>0</v>
      </c>
      <c r="AP30" s="397" t="n">
        <f aca="false">AP29+AO30</f>
        <v>0</v>
      </c>
      <c r="AQ30" s="398" t="n">
        <f aca="false">SUM(AO26:AO30)</f>
        <v>0</v>
      </c>
      <c r="AR30" s="384" t="n">
        <f aca="false">+OCCMarkets!AX30</f>
        <v>35</v>
      </c>
      <c r="AS30" s="384" t="n">
        <f aca="false">AR30/2</f>
        <v>17.5</v>
      </c>
      <c r="AT30" s="384" t="n">
        <f aca="false">+OCCMarkets!BB30</f>
        <v>0</v>
      </c>
      <c r="AU30" s="397" t="n">
        <f aca="false">AT30-AS30</f>
        <v>-17.5</v>
      </c>
      <c r="AV30" s="397" t="n">
        <f aca="false">AV29+AU30</f>
        <v>3064</v>
      </c>
      <c r="AW30" s="398" t="n">
        <f aca="false">SUM(AU26:AU30)</f>
        <v>-334</v>
      </c>
      <c r="AX30" s="384" t="n">
        <f aca="false">+OCCMarkets!BE30</f>
        <v>6</v>
      </c>
      <c r="AY30" s="384" t="n">
        <f aca="false">AX30/2</f>
        <v>3</v>
      </c>
      <c r="AZ30" s="384" t="n">
        <f aca="false">+OCCMarkets!BI30</f>
        <v>0</v>
      </c>
      <c r="BA30" s="397" t="n">
        <f aca="false">AZ30-AY30</f>
        <v>-3</v>
      </c>
      <c r="BB30" s="397" t="n">
        <f aca="false">BB29+BA30</f>
        <v>3741</v>
      </c>
      <c r="BC30" s="398" t="n">
        <f aca="false">SUM(BA26:BA30)</f>
        <v>-480</v>
      </c>
      <c r="BD30" s="393"/>
      <c r="BE30" s="397" t="n">
        <f aca="false">+B30+H30+N30+T30+Z30+AF30+AL30+AR30+AX30</f>
        <v>92569</v>
      </c>
      <c r="BF30" s="397" t="n">
        <f aca="false">+C30+I30+O30+U30+AA30+AG30+AM30+AS30+AY30</f>
        <v>46284.5</v>
      </c>
      <c r="BG30" s="397" t="n">
        <f aca="false">+D30+J30+P30+V30+AB30+AH30+AN30+AT30+AZ30</f>
        <v>59105</v>
      </c>
      <c r="BH30" s="397" t="n">
        <f aca="false">+E30+K30+Q30+W30+AC30+AI30+AO30+AU30+BA30</f>
        <v>12820.5</v>
      </c>
      <c r="BI30" s="397" t="n">
        <f aca="false">+F30+L30+R30+X30+AD30+AJ30+AP30+AV30+BB30</f>
        <v>1231938.5</v>
      </c>
      <c r="BJ30" s="393" t="n">
        <f aca="false">+G30+M30+S30+Y30+AE30+AK30+AQ30+AW30+BC30</f>
        <v>-22483.5</v>
      </c>
      <c r="BK30" s="399"/>
    </row>
    <row r="31" customFormat="false" ht="12.75" hidden="false" customHeight="false" outlineLevel="0" collapsed="false">
      <c r="A31" s="394" t="n">
        <f aca="false">+BaseloadMarkets!A31</f>
        <v>36703</v>
      </c>
      <c r="B31" s="395" t="n">
        <f aca="false">+OCCMarkets!O31</f>
        <v>1749</v>
      </c>
      <c r="C31" s="396" t="n">
        <f aca="false">B31/2</f>
        <v>874.5</v>
      </c>
      <c r="D31" s="396" t="n">
        <f aca="false">+OCCMarkets!S31</f>
        <v>0</v>
      </c>
      <c r="E31" s="397" t="n">
        <f aca="false">D31-C31</f>
        <v>-874.5</v>
      </c>
      <c r="F31" s="397" t="n">
        <f aca="false">F30+E31</f>
        <v>5101.5</v>
      </c>
      <c r="G31" s="398"/>
      <c r="H31" s="395" t="n">
        <f aca="false">+OCCMarkets!C31</f>
        <v>18622</v>
      </c>
      <c r="I31" s="396" t="n">
        <f aca="false">H31/2</f>
        <v>9311</v>
      </c>
      <c r="J31" s="396" t="n">
        <f aca="false">+OCCMarkets!L31-OCCMarkets!H31</f>
        <v>3997</v>
      </c>
      <c r="K31" s="397" t="n">
        <f aca="false">J31-I31</f>
        <v>-5314</v>
      </c>
      <c r="L31" s="397" t="n">
        <f aca="false">L30+K31</f>
        <v>115172</v>
      </c>
      <c r="M31" s="398"/>
      <c r="N31" s="395" t="n">
        <f aca="false">+OCCMarkets!V31</f>
        <v>0</v>
      </c>
      <c r="O31" s="396" t="n">
        <f aca="false">N31/2</f>
        <v>0</v>
      </c>
      <c r="P31" s="396" t="n">
        <f aca="false">+OCCMarkets!Z31</f>
        <v>0</v>
      </c>
      <c r="Q31" s="397" t="n">
        <f aca="false">P31-O31</f>
        <v>0</v>
      </c>
      <c r="R31" s="397" t="n">
        <f aca="false">R30+Q31</f>
        <v>12326.5</v>
      </c>
      <c r="S31" s="398"/>
      <c r="T31" s="384" t="n">
        <f aca="false">+EES!C30</f>
        <v>70000</v>
      </c>
      <c r="U31" s="384" t="n">
        <f aca="false">T31/2</f>
        <v>35000</v>
      </c>
      <c r="V31" s="384" t="n">
        <f aca="false">+EES!AI30-EES!M30</f>
        <v>92453</v>
      </c>
      <c r="W31" s="397" t="n">
        <f aca="false">V31-U31</f>
        <v>57453</v>
      </c>
      <c r="X31" s="397" t="n">
        <f aca="false">X30+W31</f>
        <v>962955</v>
      </c>
      <c r="Y31" s="398"/>
      <c r="Z31" s="384" t="n">
        <f aca="false">+OCCMarkets!AC31</f>
        <v>155</v>
      </c>
      <c r="AA31" s="384" t="n">
        <f aca="false">Z31/2</f>
        <v>77.5</v>
      </c>
      <c r="AB31" s="384" t="n">
        <f aca="false">+OCCMarkets!AG31</f>
        <v>0</v>
      </c>
      <c r="AC31" s="397" t="n">
        <f aca="false">AB31-AA31</f>
        <v>-77.5</v>
      </c>
      <c r="AD31" s="397" t="n">
        <f aca="false">AD30+AC31</f>
        <v>2663</v>
      </c>
      <c r="AE31" s="398"/>
      <c r="AF31" s="384" t="n">
        <f aca="false">+OCCMarkets!AJ31</f>
        <v>9489</v>
      </c>
      <c r="AG31" s="384" t="n">
        <f aca="false">AF31/2</f>
        <v>4744.5</v>
      </c>
      <c r="AH31" s="384" t="n">
        <f aca="false">+OCCMarkets!AN31</f>
        <v>987</v>
      </c>
      <c r="AI31" s="397" t="n">
        <f aca="false">AH31-AG31</f>
        <v>-3757.5</v>
      </c>
      <c r="AJ31" s="397" t="n">
        <f aca="false">AJ30+AI31</f>
        <v>174345</v>
      </c>
      <c r="AK31" s="398"/>
      <c r="AL31" s="384" t="n">
        <f aca="false">+OCCMarkets!AQ31</f>
        <v>0</v>
      </c>
      <c r="AM31" s="384" t="n">
        <f aca="false">AL31/2</f>
        <v>0</v>
      </c>
      <c r="AN31" s="384" t="n">
        <f aca="false">+OCCMarkets!AU31</f>
        <v>0</v>
      </c>
      <c r="AO31" s="397" t="n">
        <f aca="false">AN31-AM31</f>
        <v>0</v>
      </c>
      <c r="AP31" s="397" t="n">
        <f aca="false">AP30+AO31</f>
        <v>0</v>
      </c>
      <c r="AQ31" s="398"/>
      <c r="AR31" s="384" t="n">
        <f aca="false">+OCCMarkets!AX31</f>
        <v>200</v>
      </c>
      <c r="AS31" s="384" t="n">
        <f aca="false">AR31/2</f>
        <v>100</v>
      </c>
      <c r="AT31" s="384" t="n">
        <f aca="false">+OCCMarkets!BB31</f>
        <v>0</v>
      </c>
      <c r="AU31" s="397" t="n">
        <f aca="false">AT31-AS31</f>
        <v>-100</v>
      </c>
      <c r="AV31" s="397" t="n">
        <f aca="false">AV30+AU31</f>
        <v>2964</v>
      </c>
      <c r="AW31" s="398"/>
      <c r="AX31" s="384" t="n">
        <f aca="false">+OCCMarkets!BE31</f>
        <v>241</v>
      </c>
      <c r="AY31" s="384" t="n">
        <f aca="false">AX31/2</f>
        <v>120.5</v>
      </c>
      <c r="AZ31" s="384" t="n">
        <f aca="false">+OCCMarkets!BI31</f>
        <v>0</v>
      </c>
      <c r="BA31" s="397" t="n">
        <f aca="false">AZ31-AY31</f>
        <v>-120.5</v>
      </c>
      <c r="BB31" s="397" t="n">
        <f aca="false">BB30+BA31</f>
        <v>3620.5</v>
      </c>
      <c r="BC31" s="398"/>
      <c r="BD31" s="393"/>
      <c r="BE31" s="397" t="n">
        <f aca="false">+B31+H31+N31+T31+Z31+AF31+AL31+AR31+AX31</f>
        <v>100456</v>
      </c>
      <c r="BF31" s="397" t="n">
        <f aca="false">+C31+I31+O31+U31+AA31+AG31+AM31+AS31+AY31</f>
        <v>50228</v>
      </c>
      <c r="BG31" s="397" t="n">
        <f aca="false">+D31+J31+P31+V31+AB31+AH31+AN31+AT31+AZ31</f>
        <v>97437</v>
      </c>
      <c r="BH31" s="397" t="n">
        <f aca="false">+E31+K31+Q31+W31+AC31+AI31+AO31+AU31+BA31</f>
        <v>47209</v>
      </c>
      <c r="BI31" s="397" t="n">
        <f aca="false">+F31+L31+R31+X31+AD31+AJ31+AP31+AV31+BB31</f>
        <v>1279147.5</v>
      </c>
      <c r="BJ31" s="397"/>
    </row>
    <row r="32" customFormat="false" ht="12.75" hidden="false" customHeight="false" outlineLevel="0" collapsed="false">
      <c r="A32" s="394" t="n">
        <f aca="false">+BaseloadMarkets!A32</f>
        <v>36704</v>
      </c>
      <c r="B32" s="395" t="n">
        <f aca="false">+OCCMarkets!O32</f>
        <v>1343</v>
      </c>
      <c r="C32" s="396" t="n">
        <f aca="false">B32/2</f>
        <v>671.5</v>
      </c>
      <c r="D32" s="396" t="n">
        <f aca="false">+OCCMarkets!S32</f>
        <v>557</v>
      </c>
      <c r="E32" s="397" t="n">
        <f aca="false">D32-C32</f>
        <v>-114.5</v>
      </c>
      <c r="F32" s="397" t="n">
        <f aca="false">F31+E32</f>
        <v>4987</v>
      </c>
      <c r="G32" s="398"/>
      <c r="H32" s="395" t="n">
        <f aca="false">+OCCMarkets!C32</f>
        <v>16339</v>
      </c>
      <c r="I32" s="396" t="n">
        <f aca="false">H32/2</f>
        <v>8169.5</v>
      </c>
      <c r="J32" s="396" t="n">
        <f aca="false">+OCCMarkets!L32-OCCMarkets!H32</f>
        <v>10137</v>
      </c>
      <c r="K32" s="397" t="n">
        <f aca="false">J32-I32</f>
        <v>1967.5</v>
      </c>
      <c r="L32" s="397" t="n">
        <f aca="false">L31+K32</f>
        <v>117139.5</v>
      </c>
      <c r="M32" s="398"/>
      <c r="N32" s="395" t="n">
        <f aca="false">+OCCMarkets!V32</f>
        <v>0</v>
      </c>
      <c r="O32" s="396" t="n">
        <f aca="false">N32/2</f>
        <v>0</v>
      </c>
      <c r="P32" s="396" t="n">
        <f aca="false">+OCCMarkets!Z32</f>
        <v>318</v>
      </c>
      <c r="Q32" s="397" t="n">
        <f aca="false">P32-O32</f>
        <v>318</v>
      </c>
      <c r="R32" s="397" t="n">
        <f aca="false">R31+Q32</f>
        <v>12644.5</v>
      </c>
      <c r="S32" s="398"/>
      <c r="T32" s="384" t="n">
        <f aca="false">+EES!C31</f>
        <v>70000</v>
      </c>
      <c r="U32" s="384" t="n">
        <f aca="false">T32/2</f>
        <v>35000</v>
      </c>
      <c r="V32" s="384" t="n">
        <f aca="false">+EES!AI31-EES!M31</f>
        <v>49968</v>
      </c>
      <c r="W32" s="397" t="n">
        <f aca="false">V32-U32</f>
        <v>14968</v>
      </c>
      <c r="X32" s="397" t="n">
        <f aca="false">X31+W32</f>
        <v>977923</v>
      </c>
      <c r="Y32" s="398"/>
      <c r="Z32" s="384" t="n">
        <f aca="false">+OCCMarkets!AC32</f>
        <v>149</v>
      </c>
      <c r="AA32" s="384" t="n">
        <f aca="false">Z32/2</f>
        <v>74.5</v>
      </c>
      <c r="AB32" s="384" t="n">
        <f aca="false">+OCCMarkets!AG32</f>
        <v>0</v>
      </c>
      <c r="AC32" s="397" t="n">
        <f aca="false">AB32-AA32</f>
        <v>-74.5</v>
      </c>
      <c r="AD32" s="397" t="n">
        <f aca="false">AD31+AC32</f>
        <v>2588.5</v>
      </c>
      <c r="AE32" s="398"/>
      <c r="AF32" s="384" t="n">
        <f aca="false">+OCCMarkets!AJ32</f>
        <v>9954</v>
      </c>
      <c r="AG32" s="384" t="n">
        <f aca="false">AF32/2</f>
        <v>4977</v>
      </c>
      <c r="AH32" s="384" t="n">
        <f aca="false">+OCCMarkets!AN32</f>
        <v>3376</v>
      </c>
      <c r="AI32" s="397" t="n">
        <f aca="false">AH32-AG32</f>
        <v>-1601</v>
      </c>
      <c r="AJ32" s="397" t="n">
        <f aca="false">AJ31+AI32</f>
        <v>172744</v>
      </c>
      <c r="AK32" s="398"/>
      <c r="AL32" s="384" t="n">
        <f aca="false">+OCCMarkets!AQ32</f>
        <v>0</v>
      </c>
      <c r="AM32" s="384" t="n">
        <f aca="false">AL32/2</f>
        <v>0</v>
      </c>
      <c r="AN32" s="384" t="n">
        <f aca="false">+OCCMarkets!AU32</f>
        <v>0</v>
      </c>
      <c r="AO32" s="397" t="n">
        <f aca="false">AN32-AM32</f>
        <v>0</v>
      </c>
      <c r="AP32" s="397" t="n">
        <f aca="false">AP31+AO32</f>
        <v>0</v>
      </c>
      <c r="AQ32" s="398"/>
      <c r="AR32" s="384" t="n">
        <f aca="false">+OCCMarkets!AX32</f>
        <v>198</v>
      </c>
      <c r="AS32" s="384" t="n">
        <f aca="false">AR32/2</f>
        <v>99</v>
      </c>
      <c r="AT32" s="384" t="n">
        <f aca="false">+OCCMarkets!BB32</f>
        <v>0</v>
      </c>
      <c r="AU32" s="397" t="n">
        <f aca="false">AT32-AS32</f>
        <v>-99</v>
      </c>
      <c r="AV32" s="397" t="n">
        <f aca="false">AV31+AU32</f>
        <v>2865</v>
      </c>
      <c r="AW32" s="398"/>
      <c r="AX32" s="384" t="n">
        <f aca="false">+OCCMarkets!BE32</f>
        <v>307</v>
      </c>
      <c r="AY32" s="384" t="n">
        <f aca="false">AX32/2</f>
        <v>153.5</v>
      </c>
      <c r="AZ32" s="384" t="n">
        <f aca="false">+OCCMarkets!BI32</f>
        <v>0</v>
      </c>
      <c r="BA32" s="397" t="n">
        <f aca="false">AZ32-AY32</f>
        <v>-153.5</v>
      </c>
      <c r="BB32" s="397" t="n">
        <f aca="false">BB31+BA32</f>
        <v>3467</v>
      </c>
      <c r="BC32" s="398"/>
      <c r="BD32" s="393"/>
      <c r="BE32" s="397" t="n">
        <f aca="false">+B32+H32+N32+T32+Z32+AF32+AL32+AR32+AX32</f>
        <v>98290</v>
      </c>
      <c r="BF32" s="397" t="n">
        <f aca="false">+C32+I32+O32+U32+AA32+AG32+AM32+AS32+AY32</f>
        <v>49145</v>
      </c>
      <c r="BG32" s="397" t="n">
        <f aca="false">+D32+J32+P32+V32+AB32+AH32+AN32+AT32+AZ32</f>
        <v>64356</v>
      </c>
      <c r="BH32" s="397" t="n">
        <f aca="false">+E32+K32+Q32+W32+AC32+AI32+AO32+AU32+BA32</f>
        <v>15211</v>
      </c>
      <c r="BI32" s="397" t="n">
        <f aca="false">+F32+L32+R32+X32+AD32+AJ32+AP32+AV32+BB32</f>
        <v>1294358.5</v>
      </c>
      <c r="BJ32" s="397"/>
    </row>
    <row r="33" customFormat="false" ht="12.75" hidden="false" customHeight="false" outlineLevel="0" collapsed="false">
      <c r="A33" s="394" t="n">
        <f aca="false">+BaseloadMarkets!A33</f>
        <v>36705</v>
      </c>
      <c r="B33" s="395" t="n">
        <f aca="false">+OCCMarkets!O33</f>
        <v>1633</v>
      </c>
      <c r="C33" s="396" t="n">
        <f aca="false">B33/2</f>
        <v>816.5</v>
      </c>
      <c r="D33" s="396" t="n">
        <f aca="false">+OCCMarkets!S33</f>
        <v>12105</v>
      </c>
      <c r="E33" s="397" t="n">
        <f aca="false">D33-C33</f>
        <v>11288.5</v>
      </c>
      <c r="F33" s="397" t="n">
        <f aca="false">F32+E33</f>
        <v>16275.5</v>
      </c>
      <c r="G33" s="398"/>
      <c r="H33" s="395" t="n">
        <f aca="false">+OCCMarkets!C33</f>
        <v>14563</v>
      </c>
      <c r="I33" s="396" t="n">
        <f aca="false">H33/2</f>
        <v>7281.5</v>
      </c>
      <c r="J33" s="396" t="n">
        <f aca="false">+OCCMarkets!L33-OCCMarkets!H33</f>
        <v>70721</v>
      </c>
      <c r="K33" s="397" t="n">
        <f aca="false">J33-I33</f>
        <v>63439.5</v>
      </c>
      <c r="L33" s="397" t="n">
        <f aca="false">L32+K33</f>
        <v>180579</v>
      </c>
      <c r="M33" s="398"/>
      <c r="N33" s="395" t="n">
        <f aca="false">+OCCMarkets!V33</f>
        <v>83</v>
      </c>
      <c r="O33" s="396" t="n">
        <f aca="false">N33/2</f>
        <v>41.5</v>
      </c>
      <c r="P33" s="396" t="n">
        <f aca="false">+OCCMarkets!Z33</f>
        <v>2708</v>
      </c>
      <c r="Q33" s="397" t="n">
        <f aca="false">P33-O33</f>
        <v>2666.5</v>
      </c>
      <c r="R33" s="397" t="n">
        <f aca="false">R32+Q33</f>
        <v>15311</v>
      </c>
      <c r="S33" s="398"/>
      <c r="T33" s="384" t="n">
        <f aca="false">+EES!C32</f>
        <v>70000</v>
      </c>
      <c r="U33" s="384" t="n">
        <f aca="false">T33/2</f>
        <v>35000</v>
      </c>
      <c r="V33" s="384" t="n">
        <f aca="false">+EES!AI32-EES!M32</f>
        <v>45747</v>
      </c>
      <c r="W33" s="397" t="n">
        <f aca="false">V33-U33</f>
        <v>10747</v>
      </c>
      <c r="X33" s="397" t="n">
        <f aca="false">X32+W33</f>
        <v>988670</v>
      </c>
      <c r="Y33" s="398"/>
      <c r="Z33" s="384" t="n">
        <f aca="false">+OCCMarkets!AC33</f>
        <v>173</v>
      </c>
      <c r="AA33" s="384" t="n">
        <f aca="false">Z33/2</f>
        <v>86.5</v>
      </c>
      <c r="AB33" s="384" t="n">
        <f aca="false">+OCCMarkets!AG33</f>
        <v>0</v>
      </c>
      <c r="AC33" s="397" t="n">
        <f aca="false">AB33-AA33</f>
        <v>-86.5</v>
      </c>
      <c r="AD33" s="397" t="n">
        <f aca="false">AD32+AC33</f>
        <v>2502</v>
      </c>
      <c r="AE33" s="398"/>
      <c r="AF33" s="384" t="n">
        <f aca="false">+OCCMarkets!AJ33</f>
        <v>9576</v>
      </c>
      <c r="AG33" s="384" t="n">
        <f aca="false">AF33/2</f>
        <v>4788</v>
      </c>
      <c r="AH33" s="384" t="n">
        <f aca="false">+OCCMarkets!AN33</f>
        <v>26216</v>
      </c>
      <c r="AI33" s="397" t="n">
        <f aca="false">AH33-AG33</f>
        <v>21428</v>
      </c>
      <c r="AJ33" s="397" t="n">
        <f aca="false">AJ32+AI33</f>
        <v>194172</v>
      </c>
      <c r="AK33" s="398"/>
      <c r="AL33" s="384" t="n">
        <f aca="false">+OCCMarkets!AQ33</f>
        <v>0</v>
      </c>
      <c r="AM33" s="384" t="n">
        <f aca="false">AL33/2</f>
        <v>0</v>
      </c>
      <c r="AN33" s="384" t="n">
        <f aca="false">+OCCMarkets!AU33</f>
        <v>0</v>
      </c>
      <c r="AO33" s="397" t="n">
        <f aca="false">AN33-AM33</f>
        <v>0</v>
      </c>
      <c r="AP33" s="397" t="n">
        <f aca="false">AP32+AO33</f>
        <v>0</v>
      </c>
      <c r="AQ33" s="398"/>
      <c r="AR33" s="384" t="n">
        <f aca="false">+OCCMarkets!AX33</f>
        <v>206</v>
      </c>
      <c r="AS33" s="384" t="n">
        <f aca="false">AR33/2</f>
        <v>103</v>
      </c>
      <c r="AT33" s="384" t="n">
        <f aca="false">+OCCMarkets!BB33</f>
        <v>0</v>
      </c>
      <c r="AU33" s="397" t="n">
        <f aca="false">AT33-AS33</f>
        <v>-103</v>
      </c>
      <c r="AV33" s="397" t="n">
        <f aca="false">AV32+AU33</f>
        <v>2762</v>
      </c>
      <c r="AW33" s="398"/>
      <c r="AX33" s="384" t="n">
        <f aca="false">+OCCMarkets!BE33</f>
        <v>277</v>
      </c>
      <c r="AY33" s="384" t="n">
        <f aca="false">AX33/2</f>
        <v>138.5</v>
      </c>
      <c r="AZ33" s="384" t="n">
        <f aca="false">+OCCMarkets!BI33</f>
        <v>0</v>
      </c>
      <c r="BA33" s="397" t="n">
        <f aca="false">AZ33-AY33</f>
        <v>-138.5</v>
      </c>
      <c r="BB33" s="397" t="n">
        <f aca="false">BB32+BA33</f>
        <v>3328.5</v>
      </c>
      <c r="BC33" s="398"/>
      <c r="BD33" s="393"/>
      <c r="BE33" s="397" t="n">
        <f aca="false">+B33+H33+N33+T33+Z33+AF33+AL33+AR33+AX33</f>
        <v>96511</v>
      </c>
      <c r="BF33" s="397" t="n">
        <f aca="false">+C33+I33+O33+U33+AA33+AG33+AM33+AS33+AY33</f>
        <v>48255.5</v>
      </c>
      <c r="BG33" s="397" t="n">
        <f aca="false">+D33+J33+P33+V33+AB33+AH33+AN33+AT33+AZ33</f>
        <v>157497</v>
      </c>
      <c r="BH33" s="397" t="n">
        <f aca="false">+E33+K33+Q33+W33+AC33+AI33+AO33+AU33+BA33</f>
        <v>109241.5</v>
      </c>
      <c r="BI33" s="397" t="n">
        <f aca="false">+F33+L33+R33+X33+AD33+AJ33+AP33+AV33+BB33</f>
        <v>1403600</v>
      </c>
      <c r="BJ33" s="397"/>
    </row>
    <row r="34" customFormat="false" ht="12.75" hidden="false" customHeight="false" outlineLevel="0" collapsed="false">
      <c r="A34" s="394" t="n">
        <f aca="false">+BaseloadMarkets!A34</f>
        <v>36706</v>
      </c>
      <c r="B34" s="395" t="n">
        <f aca="false">+OCCMarkets!O34</f>
        <v>1657</v>
      </c>
      <c r="C34" s="396" t="n">
        <f aca="false">B34/2</f>
        <v>828.5</v>
      </c>
      <c r="D34" s="396" t="n">
        <f aca="false">+OCCMarkets!S34</f>
        <v>0</v>
      </c>
      <c r="E34" s="397" t="n">
        <f aca="false">D34-C34</f>
        <v>-828.5</v>
      </c>
      <c r="F34" s="397" t="n">
        <f aca="false">F33+E34</f>
        <v>15447</v>
      </c>
      <c r="G34" s="398"/>
      <c r="H34" s="395" t="n">
        <f aca="false">+OCCMarkets!C34</f>
        <v>14394</v>
      </c>
      <c r="I34" s="396" t="n">
        <f aca="false">H34/2</f>
        <v>7197</v>
      </c>
      <c r="J34" s="396" t="n">
        <f aca="false">+OCCMarkets!L34-OCCMarkets!H34</f>
        <v>8292</v>
      </c>
      <c r="K34" s="397" t="n">
        <f aca="false">J34-I34</f>
        <v>1095</v>
      </c>
      <c r="L34" s="397" t="n">
        <f aca="false">L33+K34</f>
        <v>181674</v>
      </c>
      <c r="M34" s="398"/>
      <c r="N34" s="395" t="n">
        <f aca="false">+OCCMarkets!V34</f>
        <v>1101</v>
      </c>
      <c r="O34" s="396" t="n">
        <f aca="false">N34/2</f>
        <v>550.5</v>
      </c>
      <c r="P34" s="396" t="n">
        <f aca="false">+OCCMarkets!Z34</f>
        <v>0</v>
      </c>
      <c r="Q34" s="397" t="n">
        <f aca="false">P34-O34</f>
        <v>-550.5</v>
      </c>
      <c r="R34" s="397" t="n">
        <f aca="false">R33+Q34</f>
        <v>14760.5</v>
      </c>
      <c r="S34" s="398"/>
      <c r="T34" s="384" t="n">
        <f aca="false">+EES!C33</f>
        <v>70000</v>
      </c>
      <c r="U34" s="384" t="n">
        <f aca="false">T34/2</f>
        <v>35000</v>
      </c>
      <c r="V34" s="384" t="n">
        <f aca="false">+EES!AI33-EES!M33</f>
        <v>16676</v>
      </c>
      <c r="W34" s="397" t="n">
        <f aca="false">V34-U34</f>
        <v>-18324</v>
      </c>
      <c r="X34" s="397" t="n">
        <f aca="false">X33+W34</f>
        <v>970346</v>
      </c>
      <c r="Y34" s="398"/>
      <c r="Z34" s="384" t="n">
        <f aca="false">+OCCMarkets!AC34</f>
        <v>147</v>
      </c>
      <c r="AA34" s="384" t="n">
        <f aca="false">Z34/2</f>
        <v>73.5</v>
      </c>
      <c r="AB34" s="384" t="n">
        <f aca="false">+OCCMarkets!AG34</f>
        <v>0</v>
      </c>
      <c r="AC34" s="397" t="n">
        <f aca="false">AB34-AA34</f>
        <v>-73.5</v>
      </c>
      <c r="AD34" s="397" t="n">
        <f aca="false">AD33+AC34</f>
        <v>2428.5</v>
      </c>
      <c r="AE34" s="398"/>
      <c r="AF34" s="384" t="n">
        <f aca="false">+OCCMarkets!AJ34</f>
        <v>9468</v>
      </c>
      <c r="AG34" s="384" t="n">
        <f aca="false">AF34/2</f>
        <v>4734</v>
      </c>
      <c r="AH34" s="384" t="n">
        <f aca="false">+OCCMarkets!AN34</f>
        <v>5281</v>
      </c>
      <c r="AI34" s="397" t="n">
        <f aca="false">AH34-AG34</f>
        <v>547</v>
      </c>
      <c r="AJ34" s="397" t="n">
        <f aca="false">AJ33+AI34</f>
        <v>194719</v>
      </c>
      <c r="AK34" s="398"/>
      <c r="AL34" s="384" t="n">
        <f aca="false">+OCCMarkets!AQ34</f>
        <v>0</v>
      </c>
      <c r="AM34" s="384" t="n">
        <f aca="false">AL34/2</f>
        <v>0</v>
      </c>
      <c r="AN34" s="384" t="n">
        <f aca="false">+OCCMarkets!AU34</f>
        <v>0</v>
      </c>
      <c r="AO34" s="397" t="n">
        <f aca="false">AN34-AM34</f>
        <v>0</v>
      </c>
      <c r="AP34" s="397" t="n">
        <f aca="false">AP33+AO34</f>
        <v>0</v>
      </c>
      <c r="AQ34" s="398"/>
      <c r="AR34" s="384" t="n">
        <f aca="false">+OCCMarkets!AX34</f>
        <v>197</v>
      </c>
      <c r="AS34" s="384" t="n">
        <f aca="false">AR34/2</f>
        <v>98.5</v>
      </c>
      <c r="AT34" s="384" t="n">
        <f aca="false">+OCCMarkets!BB34</f>
        <v>0</v>
      </c>
      <c r="AU34" s="397" t="n">
        <f aca="false">AT34-AS34</f>
        <v>-98.5</v>
      </c>
      <c r="AV34" s="397" t="n">
        <f aca="false">AV33+AU34</f>
        <v>2663.5</v>
      </c>
      <c r="AW34" s="398"/>
      <c r="AX34" s="384" t="n">
        <f aca="false">+OCCMarkets!BE34</f>
        <v>305</v>
      </c>
      <c r="AY34" s="384" t="n">
        <f aca="false">AX34/2</f>
        <v>152.5</v>
      </c>
      <c r="AZ34" s="384" t="n">
        <f aca="false">+OCCMarkets!BI34</f>
        <v>0</v>
      </c>
      <c r="BA34" s="397" t="n">
        <f aca="false">AZ34-AY34</f>
        <v>-152.5</v>
      </c>
      <c r="BB34" s="397" t="n">
        <f aca="false">BB33+BA34</f>
        <v>3176</v>
      </c>
      <c r="BC34" s="398"/>
      <c r="BD34" s="393"/>
      <c r="BE34" s="397" t="n">
        <f aca="false">+B34+H34+N34+T34+Z34+AF34+AL34+AR34+AX34</f>
        <v>97269</v>
      </c>
      <c r="BF34" s="397" t="n">
        <f aca="false">+C34+I34+O34+U34+AA34+AG34+AM34+AS34+AY34</f>
        <v>48634.5</v>
      </c>
      <c r="BG34" s="397" t="n">
        <f aca="false">+D34+J34+P34+V34+AB34+AH34+AN34+AT34+AZ34</f>
        <v>30249</v>
      </c>
      <c r="BH34" s="397" t="n">
        <f aca="false">+E34+K34+Q34+W34+AC34+AI34+AO34+AU34+BA34</f>
        <v>-18385.5</v>
      </c>
      <c r="BI34" s="397" t="n">
        <f aca="false">+F34+L34+R34+X34+AD34+AJ34+AP34+AV34+BB34</f>
        <v>1385214.5</v>
      </c>
      <c r="BJ34" s="397"/>
    </row>
    <row r="35" customFormat="false" ht="12.75" hidden="false" customHeight="false" outlineLevel="0" collapsed="false">
      <c r="A35" s="394" t="n">
        <f aca="false">+BaseloadMarkets!A35</f>
        <v>36707</v>
      </c>
      <c r="B35" s="395" t="n">
        <f aca="false">+OCCMarkets!O35</f>
        <v>1729</v>
      </c>
      <c r="C35" s="396" t="n">
        <f aca="false">B35/2</f>
        <v>864.5</v>
      </c>
      <c r="D35" s="396" t="n">
        <f aca="false">+OCCMarkets!S35</f>
        <v>13943</v>
      </c>
      <c r="E35" s="397" t="n">
        <f aca="false">D35-C35</f>
        <v>13078.5</v>
      </c>
      <c r="F35" s="397" t="n">
        <f aca="false">F34+E35</f>
        <v>28525.5</v>
      </c>
      <c r="G35" s="398"/>
      <c r="H35" s="395" t="n">
        <f aca="false">+OCCMarkets!C35</f>
        <v>10517</v>
      </c>
      <c r="I35" s="396" t="n">
        <f aca="false">H35/2</f>
        <v>5258.5</v>
      </c>
      <c r="J35" s="396" t="n">
        <f aca="false">+OCCMarkets!L35-OCCMarkets!H35</f>
        <v>29801</v>
      </c>
      <c r="K35" s="397" t="n">
        <f aca="false">J35-I35</f>
        <v>24542.5</v>
      </c>
      <c r="L35" s="397" t="n">
        <f aca="false">L34+K35</f>
        <v>206216.5</v>
      </c>
      <c r="M35" s="398"/>
      <c r="N35" s="395" t="n">
        <f aca="false">+OCCMarkets!V35</f>
        <v>1465</v>
      </c>
      <c r="O35" s="396" t="n">
        <f aca="false">N35/2</f>
        <v>732.5</v>
      </c>
      <c r="P35" s="396" t="n">
        <f aca="false">+OCCMarkets!Z35</f>
        <v>3485</v>
      </c>
      <c r="Q35" s="397" t="n">
        <f aca="false">P35-O35</f>
        <v>2752.5</v>
      </c>
      <c r="R35" s="397" t="n">
        <f aca="false">R34+Q35</f>
        <v>17513</v>
      </c>
      <c r="S35" s="398"/>
      <c r="T35" s="384" t="n">
        <f aca="false">+EES!C34</f>
        <v>70000</v>
      </c>
      <c r="U35" s="384" t="n">
        <f aca="false">T35/2</f>
        <v>35000</v>
      </c>
      <c r="V35" s="384" t="n">
        <f aca="false">+EES!AI34-EES!M34</f>
        <v>56039</v>
      </c>
      <c r="W35" s="397" t="n">
        <f aca="false">V35-U35</f>
        <v>21039</v>
      </c>
      <c r="X35" s="397" t="n">
        <f aca="false">X34+W35</f>
        <v>991385</v>
      </c>
      <c r="Y35" s="398"/>
      <c r="Z35" s="384" t="n">
        <f aca="false">+OCCMarkets!AC35</f>
        <v>186</v>
      </c>
      <c r="AA35" s="384" t="n">
        <f aca="false">Z35/2</f>
        <v>93</v>
      </c>
      <c r="AB35" s="384" t="n">
        <f aca="false">+OCCMarkets!AG35</f>
        <v>0</v>
      </c>
      <c r="AC35" s="397" t="n">
        <f aca="false">AB35-AA35</f>
        <v>-93</v>
      </c>
      <c r="AD35" s="397" t="n">
        <f aca="false">AD34+AC35</f>
        <v>2335.5</v>
      </c>
      <c r="AE35" s="398"/>
      <c r="AF35" s="384" t="n">
        <f aca="false">+OCCMarkets!AJ35</f>
        <v>9915</v>
      </c>
      <c r="AG35" s="384" t="n">
        <f aca="false">AF35/2</f>
        <v>4957.5</v>
      </c>
      <c r="AH35" s="384" t="n">
        <f aca="false">+OCCMarkets!AN35</f>
        <v>25439</v>
      </c>
      <c r="AI35" s="397" t="n">
        <f aca="false">AH35-AG35</f>
        <v>20481.5</v>
      </c>
      <c r="AJ35" s="397" t="n">
        <f aca="false">AJ34+AI35</f>
        <v>215200.5</v>
      </c>
      <c r="AK35" s="398"/>
      <c r="AL35" s="384" t="n">
        <f aca="false">+OCCMarkets!AQ35</f>
        <v>0</v>
      </c>
      <c r="AM35" s="384" t="n">
        <f aca="false">AL35/2</f>
        <v>0</v>
      </c>
      <c r="AN35" s="384" t="n">
        <f aca="false">+OCCMarkets!AU35</f>
        <v>0</v>
      </c>
      <c r="AO35" s="397" t="n">
        <f aca="false">AN35-AM35</f>
        <v>0</v>
      </c>
      <c r="AP35" s="397" t="n">
        <f aca="false">AP34+AO35</f>
        <v>0</v>
      </c>
      <c r="AQ35" s="398" t="n">
        <f aca="false">SUM(AO31:AO35)</f>
        <v>0</v>
      </c>
      <c r="AR35" s="384" t="n">
        <f aca="false">+OCCMarkets!AX35</f>
        <v>195</v>
      </c>
      <c r="AS35" s="384" t="n">
        <f aca="false">AR35/2</f>
        <v>97.5</v>
      </c>
      <c r="AT35" s="384" t="n">
        <f aca="false">+OCCMarkets!BB35</f>
        <v>551</v>
      </c>
      <c r="AU35" s="397" t="n">
        <f aca="false">AT35-AS35</f>
        <v>453.5</v>
      </c>
      <c r="AV35" s="397" t="n">
        <f aca="false">AV34+AU35</f>
        <v>3117</v>
      </c>
      <c r="AW35" s="398"/>
      <c r="AX35" s="384" t="n">
        <f aca="false">+OCCMarkets!BE35</f>
        <v>286</v>
      </c>
      <c r="AY35" s="384" t="n">
        <f aca="false">AX35/2</f>
        <v>143</v>
      </c>
      <c r="AZ35" s="384" t="n">
        <f aca="false">+OCCMarkets!BI35</f>
        <v>551</v>
      </c>
      <c r="BA35" s="397" t="n">
        <f aca="false">AZ35-AY35</f>
        <v>408</v>
      </c>
      <c r="BB35" s="397" t="n">
        <f aca="false">BB34+BA35</f>
        <v>3584</v>
      </c>
      <c r="BC35" s="398"/>
      <c r="BD35" s="393"/>
      <c r="BE35" s="397" t="n">
        <f aca="false">+B35+H35+N35+T35+Z35+AF35+AL35+AR35+AX35</f>
        <v>94293</v>
      </c>
      <c r="BF35" s="397" t="n">
        <f aca="false">+C35+I35+O35+U35+AA35+AG35+AM35+AS35+AY35</f>
        <v>47146.5</v>
      </c>
      <c r="BG35" s="397" t="n">
        <f aca="false">+D35+J35+P35+V35+AB35+AH35+AN35+AT35+AZ35</f>
        <v>129809</v>
      </c>
      <c r="BH35" s="397" t="n">
        <f aca="false">+E35+K35+Q35+W35+AC35+AI35+AO35+AU35+BA35</f>
        <v>82662.5</v>
      </c>
      <c r="BI35" s="397" t="n">
        <f aca="false">+F35+L35+R35+X35+AD35+AJ35+AP35+AV35+BB35</f>
        <v>1467877</v>
      </c>
      <c r="BJ35" s="398" t="n">
        <f aca="false">SUM(BH31:BH35)</f>
        <v>235938.5</v>
      </c>
    </row>
    <row r="36" customFormat="false" ht="13.5" hidden="false" customHeight="false" outlineLevel="0" collapsed="false">
      <c r="A36" s="394"/>
      <c r="B36" s="395"/>
      <c r="C36" s="396"/>
      <c r="D36" s="396"/>
      <c r="E36" s="397"/>
      <c r="F36" s="397"/>
      <c r="G36" s="398"/>
      <c r="H36" s="395"/>
      <c r="I36" s="396"/>
      <c r="J36" s="396"/>
      <c r="K36" s="397"/>
      <c r="L36" s="397"/>
      <c r="M36" s="398"/>
      <c r="N36" s="395"/>
      <c r="O36" s="396"/>
      <c r="P36" s="396"/>
      <c r="Q36" s="397"/>
      <c r="R36" s="397"/>
      <c r="S36" s="398"/>
      <c r="W36" s="397"/>
      <c r="X36" s="397"/>
      <c r="Y36" s="398"/>
      <c r="AC36" s="397"/>
      <c r="AD36" s="397"/>
      <c r="AE36" s="398"/>
      <c r="AI36" s="397"/>
      <c r="AJ36" s="397"/>
      <c r="AK36" s="398"/>
      <c r="AO36" s="397"/>
      <c r="AP36" s="397"/>
      <c r="AQ36" s="398"/>
      <c r="AU36" s="397"/>
      <c r="AV36" s="397"/>
      <c r="AW36" s="398"/>
      <c r="BA36" s="397"/>
      <c r="BB36" s="397"/>
      <c r="BC36" s="398"/>
      <c r="BD36" s="393"/>
      <c r="BE36" s="397"/>
      <c r="BF36" s="397"/>
      <c r="BG36" s="397"/>
      <c r="BH36" s="397"/>
      <c r="BI36" s="397"/>
      <c r="BJ36" s="398"/>
    </row>
    <row r="37" customFormat="false" ht="13.5" hidden="false" customHeight="false" outlineLevel="0" collapsed="false">
      <c r="A37" s="387"/>
      <c r="B37" s="400" t="n">
        <f aca="false">SUM(B6:B36)</f>
        <v>50311</v>
      </c>
      <c r="C37" s="400" t="n">
        <f aca="false">SUM(C6:C36)</f>
        <v>25155.5</v>
      </c>
      <c r="D37" s="400" t="n">
        <f aca="false">SUM(D6:D36)</f>
        <v>53681</v>
      </c>
      <c r="E37" s="401" t="n">
        <f aca="false">SUM(E6:E36)</f>
        <v>28525.5</v>
      </c>
      <c r="F37" s="401" t="n">
        <f aca="false">F36</f>
        <v>0</v>
      </c>
      <c r="H37" s="400" t="n">
        <f aca="false">SUM(H6:H36)</f>
        <v>331137</v>
      </c>
      <c r="I37" s="400" t="n">
        <f aca="false">SUM(I6:I36)</f>
        <v>165568.5</v>
      </c>
      <c r="J37" s="400" t="n">
        <f aca="false">SUM(J6:J36)</f>
        <v>371785</v>
      </c>
      <c r="K37" s="401" t="n">
        <f aca="false">SUM(K6:K36)</f>
        <v>206216.5</v>
      </c>
      <c r="L37" s="401" t="n">
        <f aca="false">L36</f>
        <v>0</v>
      </c>
      <c r="N37" s="400" t="n">
        <f aca="false">SUM(N6:N36)</f>
        <v>27678</v>
      </c>
      <c r="O37" s="400" t="n">
        <f aca="false">SUM(O6:O36)</f>
        <v>13839</v>
      </c>
      <c r="P37" s="400" t="n">
        <f aca="false">SUM(P6:P36)</f>
        <v>31352</v>
      </c>
      <c r="Q37" s="401" t="n">
        <f aca="false">SUM(Q6:Q36)</f>
        <v>17513</v>
      </c>
      <c r="R37" s="401" t="n">
        <f aca="false">R36</f>
        <v>0</v>
      </c>
      <c r="T37" s="400" t="n">
        <f aca="false">SUM(T6:T36)</f>
        <v>2100000</v>
      </c>
      <c r="U37" s="400" t="n">
        <f aca="false">SUM(U6:U36)</f>
        <v>1050000</v>
      </c>
      <c r="V37" s="400" t="n">
        <f aca="false">SUM(V6:V36)</f>
        <v>2041385</v>
      </c>
      <c r="W37" s="401" t="n">
        <f aca="false">SUM(W6:W36)</f>
        <v>991385</v>
      </c>
      <c r="X37" s="401" t="n">
        <f aca="false">X36</f>
        <v>0</v>
      </c>
      <c r="Z37" s="400" t="n">
        <f aca="false">SUM(Z6:Z36)</f>
        <v>4607</v>
      </c>
      <c r="AA37" s="400" t="n">
        <f aca="false">SUM(AA6:AA36)</f>
        <v>2303.5</v>
      </c>
      <c r="AB37" s="400" t="n">
        <f aca="false">SUM(AB6:AB36)</f>
        <v>4639</v>
      </c>
      <c r="AC37" s="401" t="n">
        <f aca="false">SUM(AC6:AC36)</f>
        <v>2335.5</v>
      </c>
      <c r="AD37" s="401" t="n">
        <f aca="false">AD36</f>
        <v>0</v>
      </c>
      <c r="AF37" s="400" t="n">
        <f aca="false">SUM(AF6:AF36)</f>
        <v>273467</v>
      </c>
      <c r="AG37" s="400" t="n">
        <f aca="false">SUM(AG6:AG36)</f>
        <v>136733.5</v>
      </c>
      <c r="AH37" s="400" t="n">
        <f aca="false">SUM(AH6:AH36)</f>
        <v>351934</v>
      </c>
      <c r="AI37" s="401" t="n">
        <f aca="false">SUM(AI6:AI36)</f>
        <v>215200.5</v>
      </c>
      <c r="AJ37" s="401" t="n">
        <f aca="false">AJ36</f>
        <v>0</v>
      </c>
      <c r="AL37" s="400" t="n">
        <f aca="false">SUM(AL6:AL36)</f>
        <v>0</v>
      </c>
      <c r="AM37" s="400" t="n">
        <f aca="false">SUM(AM6:AM36)</f>
        <v>0</v>
      </c>
      <c r="AN37" s="400" t="n">
        <f aca="false">SUM(AN6:AN36)</f>
        <v>0</v>
      </c>
      <c r="AO37" s="401" t="n">
        <f aca="false">SUM(AO6:AO36)</f>
        <v>0</v>
      </c>
      <c r="AP37" s="401" t="n">
        <f aca="false">AP36</f>
        <v>0</v>
      </c>
      <c r="AR37" s="400" t="n">
        <f aca="false">SUM(AR6:AR36)</f>
        <v>4398</v>
      </c>
      <c r="AS37" s="400" t="n">
        <f aca="false">SUM(AS6:AS36)</f>
        <v>2199</v>
      </c>
      <c r="AT37" s="400" t="n">
        <f aca="false">SUM(AT6:AT36)</f>
        <v>5316</v>
      </c>
      <c r="AU37" s="401" t="n">
        <f aca="false">SUM(AU6:AU36)</f>
        <v>3117</v>
      </c>
      <c r="AV37" s="401" t="n">
        <f aca="false">AV36</f>
        <v>0</v>
      </c>
      <c r="AX37" s="400" t="n">
        <f aca="false">SUM(AX6:AX36)</f>
        <v>7136</v>
      </c>
      <c r="AY37" s="400" t="n">
        <f aca="false">SUM(AY6:AY36)</f>
        <v>3568</v>
      </c>
      <c r="AZ37" s="400" t="n">
        <f aca="false">SUM(AZ6:AZ36)</f>
        <v>7152</v>
      </c>
      <c r="BA37" s="401" t="n">
        <f aca="false">SUM(BA6:BA36)</f>
        <v>3584</v>
      </c>
      <c r="BB37" s="401" t="n">
        <f aca="false">BB36</f>
        <v>0</v>
      </c>
      <c r="BE37" s="401" t="n">
        <f aca="false">SUM(BE6:BE36)</f>
        <v>2798734</v>
      </c>
      <c r="BF37" s="401" t="n">
        <f aca="false">SUM(BF6:BF36)</f>
        <v>1399367</v>
      </c>
      <c r="BG37" s="401" t="n">
        <f aca="false">SUM(BG6:BG36)</f>
        <v>2867244</v>
      </c>
      <c r="BH37" s="401" t="n">
        <f aca="false">SUM(BH6:BH36)</f>
        <v>1467877</v>
      </c>
      <c r="BI37" s="401" t="n">
        <f aca="false">SUM(BI6:BI36)</f>
        <v>29553148</v>
      </c>
      <c r="BJ37" s="387"/>
      <c r="BK37" s="387"/>
      <c r="BL37" s="387"/>
      <c r="BM37" s="387"/>
      <c r="BN37" s="387"/>
      <c r="BO37" s="387"/>
      <c r="BP37" s="387"/>
      <c r="BQ37" s="387"/>
      <c r="BR37" s="387"/>
      <c r="BS37" s="387"/>
      <c r="BT37" s="387"/>
      <c r="BU37" s="387"/>
      <c r="BV37" s="387"/>
      <c r="BW37" s="387"/>
      <c r="BX37" s="387"/>
      <c r="BY37" s="387"/>
      <c r="BZ37" s="387"/>
      <c r="CA37" s="387"/>
      <c r="CB37" s="387"/>
      <c r="CC37" s="387"/>
      <c r="CD37" s="387"/>
      <c r="CE37" s="387"/>
      <c r="CF37" s="387"/>
      <c r="CG37" s="387"/>
      <c r="CH37" s="387"/>
      <c r="CI37" s="387"/>
      <c r="CJ37" s="387"/>
      <c r="CK37" s="387"/>
      <c r="CL37" s="387"/>
      <c r="CM37" s="387"/>
      <c r="CN37" s="387"/>
      <c r="CO37" s="387"/>
      <c r="CP37" s="387"/>
      <c r="CQ37" s="387"/>
      <c r="CR37" s="387"/>
      <c r="CS37" s="387"/>
      <c r="CT37" s="387"/>
      <c r="CU37" s="387"/>
      <c r="CV37" s="387"/>
      <c r="CW37" s="387"/>
      <c r="CX37" s="387"/>
      <c r="CY37" s="387"/>
      <c r="CZ37" s="387"/>
      <c r="DA37" s="387"/>
      <c r="DB37" s="387"/>
      <c r="DC37" s="387"/>
      <c r="DD37" s="387"/>
      <c r="DE37" s="387"/>
      <c r="DF37" s="387"/>
      <c r="DG37" s="387"/>
      <c r="DH37" s="387"/>
      <c r="DI37" s="387"/>
      <c r="DJ37" s="387"/>
      <c r="DK37" s="387"/>
      <c r="DL37" s="387"/>
      <c r="DM37" s="387"/>
      <c r="DN37" s="387"/>
      <c r="DO37" s="387"/>
      <c r="DP37" s="387"/>
      <c r="DQ37" s="387"/>
      <c r="DR37" s="387"/>
      <c r="DS37" s="387"/>
      <c r="DT37" s="387"/>
      <c r="DU37" s="387"/>
      <c r="DV37" s="387"/>
      <c r="DW37" s="387"/>
      <c r="DX37" s="387"/>
      <c r="DY37" s="387"/>
      <c r="DZ37" s="387"/>
      <c r="EA37" s="387"/>
      <c r="EB37" s="387"/>
      <c r="EC37" s="387"/>
      <c r="ED37" s="387"/>
      <c r="EE37" s="387"/>
      <c r="EF37" s="387"/>
      <c r="EG37" s="387"/>
      <c r="EH37" s="387"/>
      <c r="EI37" s="387"/>
      <c r="EJ37" s="387"/>
      <c r="EK37" s="387"/>
      <c r="EL37" s="387"/>
      <c r="EM37" s="387"/>
      <c r="EN37" s="387"/>
      <c r="EO37" s="387"/>
      <c r="EP37" s="387"/>
      <c r="EQ37" s="387"/>
      <c r="ER37" s="387"/>
      <c r="ES37" s="387"/>
      <c r="ET37" s="387"/>
      <c r="EU37" s="387"/>
      <c r="EV37" s="387"/>
      <c r="EW37" s="387"/>
      <c r="EX37" s="387"/>
      <c r="EY37" s="387"/>
      <c r="EZ37" s="387"/>
      <c r="FA37" s="387"/>
      <c r="FB37" s="387"/>
      <c r="FC37" s="387"/>
      <c r="FD37" s="387"/>
      <c r="FE37" s="387"/>
      <c r="FF37" s="387"/>
      <c r="FG37" s="387"/>
      <c r="FH37" s="387"/>
      <c r="FI37" s="387"/>
      <c r="FJ37" s="387"/>
      <c r="FK37" s="387"/>
      <c r="FL37" s="387"/>
      <c r="FM37" s="387"/>
      <c r="FN37" s="387"/>
      <c r="FO37" s="387"/>
      <c r="FP37" s="387"/>
      <c r="FQ37" s="387"/>
      <c r="FR37" s="387"/>
      <c r="FS37" s="387"/>
      <c r="FT37" s="387"/>
      <c r="FU37" s="387"/>
      <c r="FV37" s="387"/>
      <c r="FW37" s="387"/>
      <c r="FX37" s="387"/>
      <c r="FY37" s="387"/>
      <c r="FZ37" s="387"/>
      <c r="GA37" s="387"/>
      <c r="GB37" s="387"/>
      <c r="GC37" s="387"/>
      <c r="GD37" s="387"/>
      <c r="GE37" s="387"/>
      <c r="GF37" s="387"/>
      <c r="GG37" s="387"/>
      <c r="GH37" s="387"/>
      <c r="GI37" s="387"/>
      <c r="GJ37" s="387"/>
      <c r="GK37" s="387"/>
      <c r="GL37" s="387"/>
      <c r="GM37" s="387"/>
      <c r="GN37" s="387"/>
      <c r="GO37" s="387"/>
      <c r="GP37" s="387"/>
      <c r="GQ37" s="387"/>
      <c r="GR37" s="387"/>
      <c r="GS37" s="387"/>
      <c r="GT37" s="387"/>
      <c r="GU37" s="387"/>
      <c r="GV37" s="387"/>
      <c r="GW37" s="387"/>
      <c r="GX37" s="387"/>
      <c r="GY37" s="387"/>
      <c r="GZ37" s="387"/>
      <c r="HA37" s="387"/>
      <c r="HB37" s="387"/>
      <c r="HC37" s="387"/>
      <c r="HD37" s="387"/>
      <c r="HE37" s="387"/>
      <c r="HF37" s="387"/>
      <c r="HG37" s="387"/>
      <c r="HH37" s="387"/>
      <c r="HI37" s="387"/>
      <c r="HJ37" s="387"/>
      <c r="HK37" s="387"/>
      <c r="HL37" s="387"/>
      <c r="HM37" s="387"/>
      <c r="HN37" s="387"/>
      <c r="HO37" s="387"/>
      <c r="HP37" s="387"/>
      <c r="HQ37" s="387"/>
      <c r="HR37" s="387"/>
      <c r="HS37" s="387"/>
      <c r="HT37" s="387"/>
      <c r="HU37" s="387"/>
      <c r="HV37" s="387"/>
      <c r="HW37" s="387"/>
      <c r="HX37" s="387"/>
      <c r="HY37" s="387"/>
      <c r="HZ37" s="387"/>
      <c r="IA37" s="387"/>
      <c r="IB37" s="387"/>
      <c r="IC37" s="387"/>
      <c r="ID37" s="387"/>
      <c r="IE37" s="387"/>
      <c r="IF37" s="387"/>
      <c r="IG37" s="387"/>
      <c r="IH37" s="387"/>
      <c r="II37" s="387"/>
      <c r="IJ37" s="387"/>
      <c r="IK37" s="387"/>
      <c r="IL37" s="387"/>
      <c r="IM37" s="387"/>
      <c r="IN37" s="387"/>
      <c r="IO37" s="387"/>
      <c r="IP37" s="387"/>
      <c r="IQ37" s="387"/>
      <c r="IR37" s="387"/>
      <c r="IS37" s="387"/>
      <c r="IT37" s="387"/>
      <c r="IU37" s="387"/>
      <c r="IV37" s="387"/>
      <c r="IW37" s="387"/>
    </row>
    <row r="38" customFormat="false" ht="12.75" hidden="false" customHeight="false" outlineLevel="0" collapsed="false">
      <c r="B38" s="396"/>
      <c r="C38" s="396"/>
      <c r="D38" s="396"/>
      <c r="H38" s="396"/>
      <c r="I38" s="396"/>
      <c r="J38" s="396"/>
      <c r="N38" s="396"/>
      <c r="O38" s="396"/>
      <c r="P38" s="396"/>
    </row>
  </sheetData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5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6.49"/>
    <col collapsed="false" customWidth="true" hidden="false" outlineLevel="0" max="2" min="2" style="2" width="19.99"/>
    <col collapsed="false" customWidth="true" hidden="false" outlineLevel="0" max="3" min="3" style="29" width="16.49"/>
    <col collapsed="false" customWidth="true" hidden="false" outlineLevel="0" max="4" min="4" style="29" width="14.49"/>
    <col collapsed="false" customWidth="true" hidden="false" outlineLevel="0" max="5" min="5" style="29" width="16.49"/>
    <col collapsed="false" customWidth="true" hidden="false" outlineLevel="0" max="6" min="6" style="29" width="17.82"/>
    <col collapsed="false" customWidth="true" hidden="false" outlineLevel="0" max="7" min="7" style="29" width="14.49"/>
    <col collapsed="false" customWidth="false" hidden="false" outlineLevel="0" max="8" min="8" style="402" width="9.32"/>
    <col collapsed="false" customWidth="true" hidden="false" outlineLevel="0" max="9" min="9" style="2" width="18.82"/>
    <col collapsed="false" customWidth="true" hidden="false" outlineLevel="0" max="10" min="10" style="29" width="16.49"/>
    <col collapsed="false" customWidth="true" hidden="false" outlineLevel="0" max="11" min="11" style="29" width="14.49"/>
    <col collapsed="false" customWidth="true" hidden="false" outlineLevel="0" max="12" min="12" style="29" width="16.49"/>
    <col collapsed="false" customWidth="true" hidden="false" outlineLevel="0" max="13" min="13" style="29" width="17.82"/>
    <col collapsed="false" customWidth="true" hidden="false" outlineLevel="0" max="14" min="14" style="29" width="14.49"/>
    <col collapsed="false" customWidth="false" hidden="false" outlineLevel="0" max="15" min="15" style="402" width="9.32"/>
    <col collapsed="false" customWidth="true" hidden="false" outlineLevel="0" max="16" min="16" style="2" width="18.82"/>
    <col collapsed="false" customWidth="true" hidden="false" outlineLevel="0" max="17" min="17" style="29" width="16.49"/>
    <col collapsed="false" customWidth="true" hidden="false" outlineLevel="0" max="18" min="18" style="29" width="14.49"/>
    <col collapsed="false" customWidth="true" hidden="false" outlineLevel="0" max="20" min="19" style="29" width="14.65"/>
    <col collapsed="false" customWidth="false" hidden="false" outlineLevel="0" max="21" min="21" style="402" width="9.32"/>
    <col collapsed="false" customWidth="true" hidden="false" outlineLevel="0" max="22" min="22" style="29" width="21.99"/>
    <col collapsed="false" customWidth="true" hidden="false" outlineLevel="0" max="23" min="23" style="29" width="16.49"/>
    <col collapsed="false" customWidth="true" hidden="false" outlineLevel="0" max="24" min="24" style="29" width="14.49"/>
    <col collapsed="false" customWidth="true" hidden="false" outlineLevel="0" max="26" min="25" style="29" width="14.65"/>
    <col collapsed="false" customWidth="false" hidden="false" outlineLevel="0" max="27" min="27" style="402" width="9.32"/>
    <col collapsed="false" customWidth="true" hidden="false" outlineLevel="0" max="28" min="28" style="29" width="16.49"/>
    <col collapsed="false" customWidth="true" hidden="false" outlineLevel="0" max="29" min="29" style="29" width="11.65"/>
    <col collapsed="false" customWidth="true" hidden="false" outlineLevel="0" max="30" min="30" style="29" width="14.49"/>
    <col collapsed="false" customWidth="true" hidden="false" outlineLevel="0" max="32" min="31" style="29" width="14.65"/>
    <col collapsed="false" customWidth="false" hidden="false" outlineLevel="0" max="33" min="33" style="402" width="9.32"/>
    <col collapsed="false" customWidth="true" hidden="false" outlineLevel="0" max="34" min="34" style="29" width="16.49"/>
    <col collapsed="false" customWidth="true" hidden="false" outlineLevel="0" max="35" min="35" style="29" width="11.65"/>
    <col collapsed="false" customWidth="true" hidden="false" outlineLevel="0" max="36" min="36" style="29" width="14.49"/>
    <col collapsed="false" customWidth="true" hidden="false" outlineLevel="0" max="38" min="37" style="29" width="14.65"/>
    <col collapsed="false" customWidth="false" hidden="false" outlineLevel="0" max="257" min="39" style="29" width="9.32"/>
  </cols>
  <sheetData>
    <row r="1" customFormat="false" ht="15.75" hidden="false" customHeight="false" outlineLevel="0" collapsed="false">
      <c r="A1" s="106" t="s">
        <v>309</v>
      </c>
      <c r="B1" s="8" t="n">
        <v>0</v>
      </c>
      <c r="C1" s="403"/>
      <c r="I1" s="8" t="n">
        <v>0</v>
      </c>
      <c r="J1" s="403"/>
      <c r="P1" s="8" t="n">
        <v>0</v>
      </c>
      <c r="Q1" s="403"/>
      <c r="V1" s="403"/>
      <c r="W1" s="403"/>
      <c r="AB1" s="403"/>
      <c r="AC1" s="388"/>
      <c r="AH1" s="403"/>
      <c r="AI1" s="388"/>
    </row>
    <row r="2" customFormat="false" ht="12.75" hidden="false" customHeight="false" outlineLevel="0" collapsed="false">
      <c r="A2" s="153" t="n">
        <f aca="false">+BaseloadMarkets!B1</f>
        <v>36678</v>
      </c>
      <c r="B2" s="11" t="s">
        <v>20</v>
      </c>
      <c r="C2" s="388"/>
      <c r="I2" s="11" t="s">
        <v>20</v>
      </c>
      <c r="J2" s="388"/>
      <c r="P2" s="11" t="s">
        <v>20</v>
      </c>
      <c r="Q2" s="388"/>
      <c r="V2" s="404" t="str">
        <f aca="false">+BaseloadMarkets!I4</f>
        <v>CA Hub</v>
      </c>
      <c r="W2" s="388"/>
      <c r="AB2" s="404" t="str">
        <f aca="false">+BaseloadMarkets!O4</f>
        <v>Cook</v>
      </c>
    </row>
    <row r="3" customFormat="false" ht="12.75" hidden="false" customHeight="false" outlineLevel="0" collapsed="false">
      <c r="A3" s="403" t="s">
        <v>310</v>
      </c>
      <c r="B3" s="11" t="n">
        <v>170289</v>
      </c>
      <c r="C3" s="405"/>
      <c r="I3" s="11" t="s">
        <v>42</v>
      </c>
      <c r="J3" s="405"/>
      <c r="P3" s="11" t="s">
        <v>42</v>
      </c>
      <c r="Q3" s="405"/>
      <c r="V3" s="405"/>
      <c r="W3" s="405"/>
      <c r="AB3" s="405"/>
      <c r="AH3" s="387"/>
    </row>
    <row r="4" customFormat="false" ht="12.75" hidden="false" customHeight="false" outlineLevel="0" collapsed="false">
      <c r="B4" s="11" t="s">
        <v>42</v>
      </c>
      <c r="C4" s="388"/>
      <c r="D4" s="388" t="s">
        <v>83</v>
      </c>
      <c r="E4" s="388" t="s">
        <v>210</v>
      </c>
      <c r="F4" s="388" t="s">
        <v>210</v>
      </c>
      <c r="G4" s="388" t="s">
        <v>84</v>
      </c>
      <c r="I4" s="11" t="n">
        <v>204411</v>
      </c>
      <c r="J4" s="388"/>
      <c r="K4" s="388" t="s">
        <v>83</v>
      </c>
      <c r="L4" s="388" t="s">
        <v>210</v>
      </c>
      <c r="M4" s="388" t="s">
        <v>210</v>
      </c>
      <c r="N4" s="388" t="s">
        <v>84</v>
      </c>
      <c r="P4" s="11" t="n">
        <v>205318</v>
      </c>
      <c r="Q4" s="388"/>
      <c r="R4" s="388" t="s">
        <v>83</v>
      </c>
      <c r="S4" s="388"/>
      <c r="T4" s="388" t="s">
        <v>210</v>
      </c>
      <c r="V4" s="404" t="n">
        <f aca="false">+BaseloadMarkets!I2</f>
        <v>279921</v>
      </c>
      <c r="W4" s="388"/>
      <c r="X4" s="388" t="s">
        <v>83</v>
      </c>
      <c r="Y4" s="388"/>
      <c r="Z4" s="388" t="s">
        <v>210</v>
      </c>
      <c r="AB4" s="404" t="n">
        <v>293824</v>
      </c>
      <c r="AC4" s="388" t="s">
        <v>83</v>
      </c>
      <c r="AD4" s="388" t="s">
        <v>83</v>
      </c>
      <c r="AE4" s="388"/>
      <c r="AF4" s="388" t="s">
        <v>210</v>
      </c>
      <c r="AH4" s="388" t="s">
        <v>83</v>
      </c>
      <c r="AI4" s="388" t="s">
        <v>83</v>
      </c>
      <c r="AJ4" s="388" t="s">
        <v>83</v>
      </c>
      <c r="AK4" s="388"/>
      <c r="AL4" s="388" t="s">
        <v>210</v>
      </c>
    </row>
    <row r="5" customFormat="false" ht="12.75" hidden="false" customHeight="false" outlineLevel="0" collapsed="false">
      <c r="B5" s="18" t="s">
        <v>311</v>
      </c>
      <c r="C5" s="388" t="s">
        <v>312</v>
      </c>
      <c r="D5" s="388" t="s">
        <v>204</v>
      </c>
      <c r="E5" s="388" t="s">
        <v>313</v>
      </c>
      <c r="F5" s="388" t="s">
        <v>156</v>
      </c>
      <c r="G5" s="388" t="s">
        <v>306</v>
      </c>
      <c r="I5" s="18" t="s">
        <v>311</v>
      </c>
      <c r="J5" s="388" t="s">
        <v>312</v>
      </c>
      <c r="K5" s="388" t="s">
        <v>204</v>
      </c>
      <c r="L5" s="388" t="s">
        <v>313</v>
      </c>
      <c r="M5" s="388" t="s">
        <v>156</v>
      </c>
      <c r="N5" s="388" t="s">
        <v>306</v>
      </c>
      <c r="P5" s="18" t="s">
        <v>311</v>
      </c>
      <c r="Q5" s="388" t="s">
        <v>312</v>
      </c>
      <c r="R5" s="388" t="s">
        <v>204</v>
      </c>
      <c r="S5" s="388" t="s">
        <v>313</v>
      </c>
      <c r="T5" s="388" t="s">
        <v>156</v>
      </c>
      <c r="V5" s="388" t="s">
        <v>314</v>
      </c>
      <c r="W5" s="388" t="s">
        <v>312</v>
      </c>
      <c r="X5" s="388" t="s">
        <v>204</v>
      </c>
      <c r="Y5" s="388" t="s">
        <v>313</v>
      </c>
      <c r="Z5" s="388" t="s">
        <v>156</v>
      </c>
      <c r="AB5" s="388" t="s">
        <v>315</v>
      </c>
      <c r="AC5" s="388" t="s">
        <v>97</v>
      </c>
      <c r="AD5" s="388" t="s">
        <v>204</v>
      </c>
      <c r="AE5" s="388" t="s">
        <v>313</v>
      </c>
      <c r="AF5" s="388" t="s">
        <v>156</v>
      </c>
      <c r="AH5" s="388" t="s">
        <v>96</v>
      </c>
      <c r="AI5" s="388" t="s">
        <v>97</v>
      </c>
      <c r="AJ5" s="388" t="s">
        <v>204</v>
      </c>
      <c r="AK5" s="388" t="s">
        <v>313</v>
      </c>
      <c r="AL5" s="388" t="s">
        <v>156</v>
      </c>
    </row>
    <row r="6" customFormat="false" ht="12.75" hidden="false" customHeight="false" outlineLevel="0" collapsed="false">
      <c r="A6" s="406" t="n">
        <f aca="false">BaseloadMarkets!A6</f>
        <v>36678</v>
      </c>
      <c r="B6" s="21" t="n">
        <v>10000</v>
      </c>
      <c r="C6" s="399" t="n">
        <f aca="false">+Supplies!I6</f>
        <v>10000</v>
      </c>
      <c r="D6" s="399" t="n">
        <f aca="false">+C6-B6</f>
        <v>0</v>
      </c>
      <c r="E6" s="399" t="n">
        <f aca="false">+B6</f>
        <v>10000</v>
      </c>
      <c r="F6" s="399" t="n">
        <f aca="false">+C6</f>
        <v>10000</v>
      </c>
      <c r="G6" s="399" t="n">
        <f aca="false">+D6</f>
        <v>0</v>
      </c>
      <c r="I6" s="21" t="n">
        <v>3333</v>
      </c>
      <c r="J6" s="399" t="n">
        <f aca="false">+Supplies!J6</f>
        <v>3333</v>
      </c>
      <c r="K6" s="399" t="n">
        <f aca="false">+J6-I6</f>
        <v>0</v>
      </c>
      <c r="L6" s="399" t="n">
        <f aca="false">+I6</f>
        <v>3333</v>
      </c>
      <c r="M6" s="399" t="n">
        <f aca="false">+J6</f>
        <v>3333</v>
      </c>
      <c r="N6" s="399" t="n">
        <f aca="false">+K6</f>
        <v>0</v>
      </c>
      <c r="P6" s="21" t="n">
        <v>1333</v>
      </c>
      <c r="Q6" s="399" t="n">
        <f aca="false">+Supplies!K6</f>
        <v>1333</v>
      </c>
      <c r="R6" s="399" t="n">
        <f aca="false">+Q6-P6</f>
        <v>0</v>
      </c>
      <c r="S6" s="399" t="n">
        <f aca="false">+P6</f>
        <v>1333</v>
      </c>
      <c r="T6" s="399" t="n">
        <f aca="false">+Q6</f>
        <v>1333</v>
      </c>
      <c r="V6" s="399" t="n">
        <f aca="false">4666+16000</f>
        <v>20666</v>
      </c>
      <c r="W6" s="399" t="n">
        <f aca="false">+BaseloadMarkets!J6+BaseloadMarkets!M6</f>
        <v>21766</v>
      </c>
      <c r="X6" s="399" t="n">
        <f aca="false">+W6-V6</f>
        <v>1100</v>
      </c>
      <c r="Y6" s="399" t="n">
        <f aca="false">+V6</f>
        <v>20666</v>
      </c>
      <c r="Z6" s="399" t="n">
        <f aca="false">+W6</f>
        <v>21766</v>
      </c>
      <c r="AB6" s="399" t="n">
        <v>0</v>
      </c>
      <c r="AC6" s="399" t="n">
        <f aca="false">+Supplies!AN6</f>
        <v>0</v>
      </c>
      <c r="AD6" s="399" t="n">
        <f aca="false">+AC6-AB6</f>
        <v>0</v>
      </c>
      <c r="AE6" s="399" t="n">
        <f aca="false">+AB6</f>
        <v>0</v>
      </c>
      <c r="AF6" s="399" t="n">
        <f aca="false">+AC6</f>
        <v>0</v>
      </c>
      <c r="AH6" s="399"/>
      <c r="AI6" s="399"/>
      <c r="AJ6" s="399" t="n">
        <f aca="false">+AI6-AH6</f>
        <v>0</v>
      </c>
      <c r="AK6" s="399" t="n">
        <f aca="false">+AH6</f>
        <v>0</v>
      </c>
      <c r="AL6" s="399" t="n">
        <f aca="false">+AI6</f>
        <v>0</v>
      </c>
    </row>
    <row r="7" customFormat="false" ht="12.75" hidden="false" customHeight="false" outlineLevel="0" collapsed="false">
      <c r="A7" s="406" t="n">
        <f aca="false">BaseloadMarkets!A7</f>
        <v>36679</v>
      </c>
      <c r="B7" s="21" t="n">
        <v>10000</v>
      </c>
      <c r="C7" s="399" t="n">
        <f aca="false">+Supplies!I7</f>
        <v>10000</v>
      </c>
      <c r="D7" s="399" t="n">
        <f aca="false">+C7-B7</f>
        <v>0</v>
      </c>
      <c r="E7" s="399" t="n">
        <f aca="false">+E6+B7</f>
        <v>20000</v>
      </c>
      <c r="F7" s="399" t="n">
        <f aca="false">+F6+C7</f>
        <v>20000</v>
      </c>
      <c r="G7" s="399" t="n">
        <f aca="false">+G6+D7</f>
        <v>0</v>
      </c>
      <c r="I7" s="21" t="n">
        <v>3333</v>
      </c>
      <c r="J7" s="399" t="n">
        <f aca="false">+Supplies!J7</f>
        <v>3333</v>
      </c>
      <c r="K7" s="399" t="n">
        <f aca="false">+J7-I7</f>
        <v>0</v>
      </c>
      <c r="L7" s="399" t="n">
        <f aca="false">+L6+I7</f>
        <v>6666</v>
      </c>
      <c r="M7" s="399" t="n">
        <f aca="false">+M6+J7</f>
        <v>6666</v>
      </c>
      <c r="N7" s="399" t="n">
        <f aca="false">+N6+K7</f>
        <v>0</v>
      </c>
      <c r="P7" s="21" t="n">
        <v>1333</v>
      </c>
      <c r="Q7" s="399" t="n">
        <f aca="false">+Supplies!K7</f>
        <v>1333</v>
      </c>
      <c r="R7" s="399" t="n">
        <f aca="false">+Q7-P7</f>
        <v>0</v>
      </c>
      <c r="S7" s="399" t="n">
        <f aca="false">+S6+P7</f>
        <v>2666</v>
      </c>
      <c r="T7" s="399" t="n">
        <f aca="false">+T6+Q7</f>
        <v>2666</v>
      </c>
      <c r="V7" s="399" t="n">
        <f aca="false">4666+16000</f>
        <v>20666</v>
      </c>
      <c r="W7" s="399" t="n">
        <f aca="false">+BaseloadMarkets!J7+BaseloadMarkets!M7</f>
        <v>20665</v>
      </c>
      <c r="X7" s="399" t="n">
        <f aca="false">+W7-V7</f>
        <v>-1</v>
      </c>
      <c r="Y7" s="399" t="n">
        <f aca="false">+Y6+V7</f>
        <v>41332</v>
      </c>
      <c r="Z7" s="399" t="n">
        <f aca="false">+Z6+W7</f>
        <v>42431</v>
      </c>
      <c r="AB7" s="399" t="n">
        <v>0</v>
      </c>
      <c r="AC7" s="399" t="n">
        <f aca="false">+Supplies!AN7</f>
        <v>0</v>
      </c>
      <c r="AD7" s="399" t="n">
        <f aca="false">+AC7-AB7</f>
        <v>0</v>
      </c>
      <c r="AE7" s="399" t="n">
        <f aca="false">+AE6+AB7</f>
        <v>0</v>
      </c>
      <c r="AF7" s="399" t="n">
        <f aca="false">+AF6+AC7</f>
        <v>0</v>
      </c>
      <c r="AH7" s="399"/>
      <c r="AI7" s="399"/>
      <c r="AJ7" s="399" t="n">
        <f aca="false">+AI7-AH7</f>
        <v>0</v>
      </c>
      <c r="AK7" s="399" t="n">
        <f aca="false">+AK6+AH7</f>
        <v>0</v>
      </c>
      <c r="AL7" s="399" t="n">
        <f aca="false">+AL6+AI7</f>
        <v>0</v>
      </c>
    </row>
    <row r="8" customFormat="false" ht="12.75" hidden="false" customHeight="false" outlineLevel="0" collapsed="false">
      <c r="A8" s="406" t="n">
        <f aca="false">BaseloadMarkets!A8</f>
        <v>36680</v>
      </c>
      <c r="B8" s="21" t="n">
        <v>10000</v>
      </c>
      <c r="C8" s="399" t="n">
        <f aca="false">+Supplies!I8</f>
        <v>10000</v>
      </c>
      <c r="D8" s="399" t="n">
        <f aca="false">+C8-B8</f>
        <v>0</v>
      </c>
      <c r="E8" s="399" t="n">
        <f aca="false">+E7+B8</f>
        <v>30000</v>
      </c>
      <c r="F8" s="399" t="n">
        <f aca="false">+F7+C8</f>
        <v>30000</v>
      </c>
      <c r="G8" s="399" t="n">
        <f aca="false">+G7+D8</f>
        <v>0</v>
      </c>
      <c r="I8" s="21" t="n">
        <v>3333</v>
      </c>
      <c r="J8" s="399" t="n">
        <f aca="false">+Supplies!J8</f>
        <v>3333</v>
      </c>
      <c r="K8" s="399" t="n">
        <f aca="false">+J8-I8</f>
        <v>0</v>
      </c>
      <c r="L8" s="399" t="n">
        <f aca="false">+L7+I8</f>
        <v>9999</v>
      </c>
      <c r="M8" s="399" t="n">
        <f aca="false">+M7+J8</f>
        <v>9999</v>
      </c>
      <c r="N8" s="399" t="n">
        <f aca="false">+N7+K8</f>
        <v>0</v>
      </c>
      <c r="P8" s="21" t="n">
        <v>1333</v>
      </c>
      <c r="Q8" s="399" t="n">
        <f aca="false">+Supplies!K8</f>
        <v>1333</v>
      </c>
      <c r="R8" s="399" t="n">
        <f aca="false">+Q8-P8</f>
        <v>0</v>
      </c>
      <c r="S8" s="399" t="n">
        <f aca="false">+S7+P8</f>
        <v>3999</v>
      </c>
      <c r="T8" s="399" t="n">
        <f aca="false">+T7+Q8</f>
        <v>3999</v>
      </c>
      <c r="V8" s="399" t="n">
        <f aca="false">4666+16000</f>
        <v>20666</v>
      </c>
      <c r="W8" s="399" t="n">
        <f aca="false">+BaseloadMarkets!J8+BaseloadMarkets!M8</f>
        <v>20664</v>
      </c>
      <c r="X8" s="399" t="n">
        <f aca="false">+W8-V8</f>
        <v>-2</v>
      </c>
      <c r="Y8" s="399" t="n">
        <f aca="false">+Y7+V8</f>
        <v>61998</v>
      </c>
      <c r="Z8" s="399" t="n">
        <f aca="false">+Z7+W8</f>
        <v>63095</v>
      </c>
      <c r="AB8" s="399" t="n">
        <v>0</v>
      </c>
      <c r="AC8" s="399" t="n">
        <f aca="false">+Supplies!AN8</f>
        <v>0</v>
      </c>
      <c r="AD8" s="399" t="n">
        <f aca="false">+AC8-AB8</f>
        <v>0</v>
      </c>
      <c r="AE8" s="399" t="n">
        <f aca="false">+AE7+AB8</f>
        <v>0</v>
      </c>
      <c r="AF8" s="399" t="n">
        <f aca="false">+AF7+AC8</f>
        <v>0</v>
      </c>
      <c r="AH8" s="399"/>
      <c r="AI8" s="399"/>
      <c r="AJ8" s="399" t="n">
        <f aca="false">+AI8-AH8</f>
        <v>0</v>
      </c>
      <c r="AK8" s="399" t="n">
        <f aca="false">+AK7+AH8</f>
        <v>0</v>
      </c>
      <c r="AL8" s="399" t="n">
        <f aca="false">+AL7+AI8</f>
        <v>0</v>
      </c>
    </row>
    <row r="9" customFormat="false" ht="12.75" hidden="false" customHeight="false" outlineLevel="0" collapsed="false">
      <c r="A9" s="406" t="n">
        <f aca="false">BaseloadMarkets!A9</f>
        <v>36681</v>
      </c>
      <c r="B9" s="21" t="n">
        <v>10000</v>
      </c>
      <c r="C9" s="399" t="n">
        <f aca="false">+Supplies!I9</f>
        <v>10000</v>
      </c>
      <c r="D9" s="399" t="n">
        <f aca="false">+C9-B9</f>
        <v>0</v>
      </c>
      <c r="E9" s="399" t="n">
        <f aca="false">+E8+B9</f>
        <v>40000</v>
      </c>
      <c r="F9" s="399" t="n">
        <f aca="false">+F8+C9</f>
        <v>40000</v>
      </c>
      <c r="G9" s="399" t="n">
        <f aca="false">+G8+D9</f>
        <v>0</v>
      </c>
      <c r="I9" s="21" t="n">
        <v>3333</v>
      </c>
      <c r="J9" s="399" t="n">
        <f aca="false">+Supplies!J9</f>
        <v>3333</v>
      </c>
      <c r="K9" s="399" t="n">
        <f aca="false">+J9-I9</f>
        <v>0</v>
      </c>
      <c r="L9" s="399" t="n">
        <f aca="false">+L8+I9</f>
        <v>13332</v>
      </c>
      <c r="M9" s="399" t="n">
        <f aca="false">+M8+J9</f>
        <v>13332</v>
      </c>
      <c r="N9" s="399" t="n">
        <f aca="false">+N8+K9</f>
        <v>0</v>
      </c>
      <c r="P9" s="21" t="n">
        <v>1333</v>
      </c>
      <c r="Q9" s="399" t="n">
        <f aca="false">+Supplies!K9</f>
        <v>1333</v>
      </c>
      <c r="R9" s="399" t="n">
        <f aca="false">+Q9-P9</f>
        <v>0</v>
      </c>
      <c r="S9" s="399" t="n">
        <f aca="false">+S8+P9</f>
        <v>5332</v>
      </c>
      <c r="T9" s="399" t="n">
        <f aca="false">+T8+Q9</f>
        <v>5332</v>
      </c>
      <c r="V9" s="399" t="n">
        <f aca="false">4666+16000</f>
        <v>20666</v>
      </c>
      <c r="W9" s="399" t="n">
        <f aca="false">+BaseloadMarkets!J9+BaseloadMarkets!M9</f>
        <v>20655</v>
      </c>
      <c r="X9" s="399" t="n">
        <f aca="false">+W9-V9</f>
        <v>-11</v>
      </c>
      <c r="Y9" s="399" t="n">
        <f aca="false">+Y8+V9</f>
        <v>82664</v>
      </c>
      <c r="Z9" s="399" t="n">
        <f aca="false">+Z8+W9</f>
        <v>83750</v>
      </c>
      <c r="AB9" s="399" t="n">
        <v>0</v>
      </c>
      <c r="AC9" s="399" t="n">
        <f aca="false">+Supplies!AN9</f>
        <v>0</v>
      </c>
      <c r="AD9" s="399" t="n">
        <f aca="false">+AC9-AB9</f>
        <v>0</v>
      </c>
      <c r="AE9" s="399" t="n">
        <f aca="false">+AE8+AB9</f>
        <v>0</v>
      </c>
      <c r="AF9" s="399" t="n">
        <f aca="false">+AF8+AC9</f>
        <v>0</v>
      </c>
      <c r="AH9" s="399"/>
      <c r="AI9" s="399"/>
      <c r="AJ9" s="399" t="n">
        <f aca="false">+AI9-AH9</f>
        <v>0</v>
      </c>
      <c r="AK9" s="399" t="n">
        <f aca="false">+AK8+AH9</f>
        <v>0</v>
      </c>
      <c r="AL9" s="399" t="n">
        <f aca="false">+AL8+AI9</f>
        <v>0</v>
      </c>
    </row>
    <row r="10" customFormat="false" ht="12.75" hidden="false" customHeight="false" outlineLevel="0" collapsed="false">
      <c r="A10" s="406" t="n">
        <f aca="false">BaseloadMarkets!A10</f>
        <v>36682</v>
      </c>
      <c r="B10" s="21" t="n">
        <v>10000</v>
      </c>
      <c r="C10" s="399" t="n">
        <f aca="false">+Supplies!I10</f>
        <v>10000</v>
      </c>
      <c r="D10" s="399" t="n">
        <f aca="false">+C10-B10</f>
        <v>0</v>
      </c>
      <c r="E10" s="399" t="n">
        <f aca="false">+E9+B10</f>
        <v>50000</v>
      </c>
      <c r="F10" s="399" t="n">
        <f aca="false">+F9+C10</f>
        <v>50000</v>
      </c>
      <c r="G10" s="399" t="n">
        <f aca="false">+G9+D10</f>
        <v>0</v>
      </c>
      <c r="I10" s="21" t="n">
        <v>3333</v>
      </c>
      <c r="J10" s="399" t="n">
        <f aca="false">+Supplies!J10</f>
        <v>3333</v>
      </c>
      <c r="K10" s="399" t="n">
        <f aca="false">+J10-I10</f>
        <v>0</v>
      </c>
      <c r="L10" s="399" t="n">
        <f aca="false">+L9+I10</f>
        <v>16665</v>
      </c>
      <c r="M10" s="399" t="n">
        <f aca="false">+M9+J10</f>
        <v>16665</v>
      </c>
      <c r="N10" s="399" t="n">
        <f aca="false">+N9+K10</f>
        <v>0</v>
      </c>
      <c r="P10" s="21" t="n">
        <v>1333</v>
      </c>
      <c r="Q10" s="399" t="n">
        <f aca="false">+Supplies!K10</f>
        <v>1333</v>
      </c>
      <c r="R10" s="399" t="n">
        <f aca="false">+Q10-P10</f>
        <v>0</v>
      </c>
      <c r="S10" s="399" t="n">
        <f aca="false">+S9+P10</f>
        <v>6665</v>
      </c>
      <c r="T10" s="399" t="n">
        <f aca="false">+T9+Q10</f>
        <v>6665</v>
      </c>
      <c r="V10" s="399" t="n">
        <f aca="false">4666+16000</f>
        <v>20666</v>
      </c>
      <c r="W10" s="399" t="n">
        <f aca="false">+BaseloadMarkets!J10+BaseloadMarkets!M10</f>
        <v>20666</v>
      </c>
      <c r="X10" s="399" t="n">
        <f aca="false">+W10-V10</f>
        <v>0</v>
      </c>
      <c r="Y10" s="399" t="n">
        <f aca="false">+Y9+V10</f>
        <v>103330</v>
      </c>
      <c r="Z10" s="399" t="n">
        <f aca="false">+Z9+W10</f>
        <v>104416</v>
      </c>
      <c r="AB10" s="399" t="n">
        <v>0</v>
      </c>
      <c r="AC10" s="399" t="n">
        <f aca="false">+Supplies!AN10</f>
        <v>0</v>
      </c>
      <c r="AD10" s="399" t="n">
        <f aca="false">+AC10-AB10</f>
        <v>0</v>
      </c>
      <c r="AE10" s="399" t="n">
        <f aca="false">+AE9+AB10</f>
        <v>0</v>
      </c>
      <c r="AF10" s="399" t="n">
        <f aca="false">+AF9+AC10</f>
        <v>0</v>
      </c>
      <c r="AH10" s="399"/>
      <c r="AI10" s="399"/>
      <c r="AJ10" s="399" t="n">
        <f aca="false">+AI10-AH10</f>
        <v>0</v>
      </c>
      <c r="AK10" s="399" t="n">
        <f aca="false">+AK9+AH10</f>
        <v>0</v>
      </c>
      <c r="AL10" s="399" t="n">
        <f aca="false">+AL9+AI10</f>
        <v>0</v>
      </c>
    </row>
    <row r="11" customFormat="false" ht="12.75" hidden="false" customHeight="false" outlineLevel="0" collapsed="false">
      <c r="A11" s="406" t="n">
        <f aca="false">BaseloadMarkets!A11</f>
        <v>36683</v>
      </c>
      <c r="B11" s="21" t="n">
        <v>10000</v>
      </c>
      <c r="C11" s="399" t="n">
        <f aca="false">+Supplies!I11</f>
        <v>10000</v>
      </c>
      <c r="D11" s="399" t="n">
        <f aca="false">+C11-B11</f>
        <v>0</v>
      </c>
      <c r="E11" s="399" t="n">
        <f aca="false">+E10+B11</f>
        <v>60000</v>
      </c>
      <c r="F11" s="399" t="n">
        <f aca="false">+F10+C11</f>
        <v>60000</v>
      </c>
      <c r="G11" s="399" t="n">
        <f aca="false">+G10+D11</f>
        <v>0</v>
      </c>
      <c r="I11" s="21" t="n">
        <v>3333</v>
      </c>
      <c r="J11" s="399" t="n">
        <f aca="false">+Supplies!J11</f>
        <v>3333</v>
      </c>
      <c r="K11" s="399" t="n">
        <f aca="false">+J11-I11</f>
        <v>0</v>
      </c>
      <c r="L11" s="399" t="n">
        <f aca="false">+L10+I11</f>
        <v>19998</v>
      </c>
      <c r="M11" s="399" t="n">
        <f aca="false">+M10+J11</f>
        <v>19998</v>
      </c>
      <c r="N11" s="399" t="n">
        <f aca="false">+N10+K11</f>
        <v>0</v>
      </c>
      <c r="P11" s="21" t="n">
        <v>1333</v>
      </c>
      <c r="Q11" s="399" t="n">
        <f aca="false">+Supplies!K11</f>
        <v>1333</v>
      </c>
      <c r="R11" s="399" t="n">
        <f aca="false">+Q11-P11</f>
        <v>0</v>
      </c>
      <c r="S11" s="399" t="n">
        <f aca="false">+S10+P11</f>
        <v>7998</v>
      </c>
      <c r="T11" s="399" t="n">
        <f aca="false">+T10+Q11</f>
        <v>7998</v>
      </c>
      <c r="V11" s="399" t="n">
        <f aca="false">4666+16000</f>
        <v>20666</v>
      </c>
      <c r="W11" s="399" t="n">
        <f aca="false">+BaseloadMarkets!J11+BaseloadMarkets!M11</f>
        <v>20418</v>
      </c>
      <c r="X11" s="399" t="n">
        <f aca="false">+W11-V11</f>
        <v>-248</v>
      </c>
      <c r="Y11" s="399" t="n">
        <f aca="false">+Y10+V11</f>
        <v>123996</v>
      </c>
      <c r="Z11" s="399" t="n">
        <f aca="false">+Z10+W11</f>
        <v>124834</v>
      </c>
      <c r="AB11" s="399" t="n">
        <v>0</v>
      </c>
      <c r="AC11" s="399" t="n">
        <f aca="false">+Supplies!AN11</f>
        <v>0</v>
      </c>
      <c r="AD11" s="399" t="n">
        <f aca="false">+AC11-AB11</f>
        <v>0</v>
      </c>
      <c r="AE11" s="399" t="n">
        <f aca="false">+AE10+AB11</f>
        <v>0</v>
      </c>
      <c r="AF11" s="399" t="n">
        <f aca="false">+AF10+AC11</f>
        <v>0</v>
      </c>
      <c r="AH11" s="399"/>
      <c r="AI11" s="399"/>
      <c r="AJ11" s="399" t="n">
        <f aca="false">+AI11-AH11</f>
        <v>0</v>
      </c>
      <c r="AK11" s="399" t="n">
        <f aca="false">+AK10+AH11</f>
        <v>0</v>
      </c>
      <c r="AL11" s="399" t="n">
        <f aca="false">+AL10+AI11</f>
        <v>0</v>
      </c>
    </row>
    <row r="12" customFormat="false" ht="12.75" hidden="false" customHeight="false" outlineLevel="0" collapsed="false">
      <c r="A12" s="406" t="n">
        <f aca="false">BaseloadMarkets!A12</f>
        <v>36684</v>
      </c>
      <c r="B12" s="21" t="n">
        <v>10000</v>
      </c>
      <c r="C12" s="399" t="n">
        <f aca="false">+Supplies!I12</f>
        <v>10000</v>
      </c>
      <c r="D12" s="399" t="n">
        <f aca="false">+C12-B12</f>
        <v>0</v>
      </c>
      <c r="E12" s="399" t="n">
        <f aca="false">+E11+B12</f>
        <v>70000</v>
      </c>
      <c r="F12" s="399" t="n">
        <f aca="false">+F11+C12</f>
        <v>70000</v>
      </c>
      <c r="G12" s="399" t="n">
        <f aca="false">+G11+D12</f>
        <v>0</v>
      </c>
      <c r="I12" s="21" t="n">
        <v>3333</v>
      </c>
      <c r="J12" s="399" t="n">
        <f aca="false">+Supplies!J12</f>
        <v>3333</v>
      </c>
      <c r="K12" s="399" t="n">
        <f aca="false">+J12-I12</f>
        <v>0</v>
      </c>
      <c r="L12" s="399" t="n">
        <f aca="false">+L11+I12</f>
        <v>23331</v>
      </c>
      <c r="M12" s="399" t="n">
        <f aca="false">+M11+J12</f>
        <v>23331</v>
      </c>
      <c r="N12" s="399" t="n">
        <f aca="false">+N11+K12</f>
        <v>0</v>
      </c>
      <c r="P12" s="21" t="n">
        <v>1333</v>
      </c>
      <c r="Q12" s="399" t="n">
        <f aca="false">+Supplies!K12</f>
        <v>1333</v>
      </c>
      <c r="R12" s="399" t="n">
        <f aca="false">+Q12-P12</f>
        <v>0</v>
      </c>
      <c r="S12" s="399" t="n">
        <f aca="false">+S11+P12</f>
        <v>9331</v>
      </c>
      <c r="T12" s="399" t="n">
        <f aca="false">+T11+Q12</f>
        <v>9331</v>
      </c>
      <c r="V12" s="399" t="n">
        <f aca="false">4666+16000</f>
        <v>20666</v>
      </c>
      <c r="W12" s="399" t="n">
        <f aca="false">+BaseloadMarkets!J12+BaseloadMarkets!M12</f>
        <v>16879</v>
      </c>
      <c r="X12" s="399" t="n">
        <f aca="false">+W12-V12</f>
        <v>-3787</v>
      </c>
      <c r="Y12" s="399" t="n">
        <f aca="false">+Y11+V12</f>
        <v>144662</v>
      </c>
      <c r="Z12" s="399" t="n">
        <f aca="false">+Z11+W12</f>
        <v>141713</v>
      </c>
      <c r="AB12" s="399" t="n">
        <v>0</v>
      </c>
      <c r="AC12" s="399" t="n">
        <f aca="false">+Supplies!AN12</f>
        <v>0</v>
      </c>
      <c r="AD12" s="399" t="n">
        <f aca="false">+AC12-AB12</f>
        <v>0</v>
      </c>
      <c r="AE12" s="399" t="n">
        <f aca="false">+AE11+AB12</f>
        <v>0</v>
      </c>
      <c r="AF12" s="399" t="n">
        <f aca="false">+AF11+AC12</f>
        <v>0</v>
      </c>
      <c r="AH12" s="399"/>
      <c r="AI12" s="399"/>
      <c r="AJ12" s="399" t="n">
        <f aca="false">+AI12-AH12</f>
        <v>0</v>
      </c>
      <c r="AK12" s="399" t="n">
        <f aca="false">+AK11+AH12</f>
        <v>0</v>
      </c>
      <c r="AL12" s="399" t="n">
        <f aca="false">+AL11+AI12</f>
        <v>0</v>
      </c>
    </row>
    <row r="13" customFormat="false" ht="12.75" hidden="false" customHeight="false" outlineLevel="0" collapsed="false">
      <c r="A13" s="406" t="n">
        <f aca="false">BaseloadMarkets!A13</f>
        <v>36685</v>
      </c>
      <c r="B13" s="21" t="n">
        <v>10000</v>
      </c>
      <c r="C13" s="399" t="n">
        <f aca="false">+Supplies!I13</f>
        <v>10000</v>
      </c>
      <c r="D13" s="399" t="n">
        <f aca="false">+C13-B13</f>
        <v>0</v>
      </c>
      <c r="E13" s="399" t="n">
        <f aca="false">+E12+B13</f>
        <v>80000</v>
      </c>
      <c r="F13" s="399" t="n">
        <f aca="false">+F12+C13</f>
        <v>80000</v>
      </c>
      <c r="G13" s="399" t="n">
        <f aca="false">+G12+D13</f>
        <v>0</v>
      </c>
      <c r="I13" s="21" t="n">
        <v>3333</v>
      </c>
      <c r="J13" s="399" t="n">
        <f aca="false">+Supplies!J13</f>
        <v>3333</v>
      </c>
      <c r="K13" s="399" t="n">
        <f aca="false">+J13-I13</f>
        <v>0</v>
      </c>
      <c r="L13" s="399" t="n">
        <f aca="false">+L12+I13</f>
        <v>26664</v>
      </c>
      <c r="M13" s="399" t="n">
        <f aca="false">+M12+J13</f>
        <v>26664</v>
      </c>
      <c r="N13" s="399" t="n">
        <f aca="false">+N12+K13</f>
        <v>0</v>
      </c>
      <c r="P13" s="21" t="n">
        <v>1333</v>
      </c>
      <c r="Q13" s="399" t="n">
        <f aca="false">+Supplies!K13</f>
        <v>1333</v>
      </c>
      <c r="R13" s="399" t="n">
        <f aca="false">+Q13-P13</f>
        <v>0</v>
      </c>
      <c r="S13" s="399" t="n">
        <f aca="false">+S12+P13</f>
        <v>10664</v>
      </c>
      <c r="T13" s="399" t="n">
        <f aca="false">+T12+Q13</f>
        <v>10664</v>
      </c>
      <c r="V13" s="399" t="n">
        <f aca="false">4666+16000</f>
        <v>20666</v>
      </c>
      <c r="W13" s="399" t="n">
        <f aca="false">+BaseloadMarkets!J13+BaseloadMarkets!M13</f>
        <v>20305</v>
      </c>
      <c r="X13" s="399" t="n">
        <f aca="false">+W13-V13</f>
        <v>-361</v>
      </c>
      <c r="Y13" s="399" t="n">
        <f aca="false">+Y12+V13</f>
        <v>165328</v>
      </c>
      <c r="Z13" s="399" t="n">
        <f aca="false">+Z12+W13</f>
        <v>162018</v>
      </c>
      <c r="AB13" s="399" t="n">
        <v>0</v>
      </c>
      <c r="AC13" s="399" t="n">
        <f aca="false">+Supplies!AN13</f>
        <v>0</v>
      </c>
      <c r="AD13" s="399" t="n">
        <f aca="false">+AC13-AB13</f>
        <v>0</v>
      </c>
      <c r="AE13" s="399" t="n">
        <f aca="false">+AE12+AB13</f>
        <v>0</v>
      </c>
      <c r="AF13" s="399" t="n">
        <f aca="false">+AF12+AC13</f>
        <v>0</v>
      </c>
      <c r="AH13" s="399"/>
      <c r="AI13" s="399"/>
      <c r="AJ13" s="399" t="n">
        <f aca="false">+AI13-AH13</f>
        <v>0</v>
      </c>
      <c r="AK13" s="399" t="n">
        <f aca="false">+AK12+AH13</f>
        <v>0</v>
      </c>
      <c r="AL13" s="399" t="n">
        <f aca="false">+AL12+AI13</f>
        <v>0</v>
      </c>
    </row>
    <row r="14" customFormat="false" ht="12.75" hidden="false" customHeight="false" outlineLevel="0" collapsed="false">
      <c r="A14" s="406" t="n">
        <f aca="false">BaseloadMarkets!A14</f>
        <v>36686</v>
      </c>
      <c r="B14" s="21" t="n">
        <v>10000</v>
      </c>
      <c r="C14" s="399" t="n">
        <f aca="false">+Supplies!I14</f>
        <v>10000</v>
      </c>
      <c r="D14" s="399" t="n">
        <f aca="false">+C14-B14</f>
        <v>0</v>
      </c>
      <c r="E14" s="399" t="n">
        <f aca="false">+E13+B14</f>
        <v>90000</v>
      </c>
      <c r="F14" s="399" t="n">
        <f aca="false">+F13+C14</f>
        <v>90000</v>
      </c>
      <c r="G14" s="399" t="n">
        <f aca="false">+G13+D14</f>
        <v>0</v>
      </c>
      <c r="I14" s="21" t="n">
        <v>3333</v>
      </c>
      <c r="J14" s="399" t="n">
        <f aca="false">+Supplies!J14</f>
        <v>3333</v>
      </c>
      <c r="K14" s="399" t="n">
        <f aca="false">+J14-I14</f>
        <v>0</v>
      </c>
      <c r="L14" s="399" t="n">
        <f aca="false">+L13+I14</f>
        <v>29997</v>
      </c>
      <c r="M14" s="399" t="n">
        <f aca="false">+M13+J14</f>
        <v>29997</v>
      </c>
      <c r="N14" s="399" t="n">
        <f aca="false">+N13+K14</f>
        <v>0</v>
      </c>
      <c r="P14" s="21" t="n">
        <v>1333</v>
      </c>
      <c r="Q14" s="399" t="n">
        <f aca="false">+Supplies!K14</f>
        <v>1333</v>
      </c>
      <c r="R14" s="399" t="n">
        <f aca="false">+Q14-P14</f>
        <v>0</v>
      </c>
      <c r="S14" s="399" t="n">
        <f aca="false">+S13+P14</f>
        <v>11997</v>
      </c>
      <c r="T14" s="399" t="n">
        <f aca="false">+T13+Q14</f>
        <v>11997</v>
      </c>
      <c r="V14" s="399" t="n">
        <f aca="false">4666+16000</f>
        <v>20666</v>
      </c>
      <c r="W14" s="399" t="n">
        <f aca="false">+BaseloadMarkets!J14+BaseloadMarkets!M14</f>
        <v>20661</v>
      </c>
      <c r="X14" s="399" t="n">
        <f aca="false">+W14-V14</f>
        <v>-5</v>
      </c>
      <c r="Y14" s="399" t="n">
        <f aca="false">+Y13+V14</f>
        <v>185994</v>
      </c>
      <c r="Z14" s="399" t="n">
        <f aca="false">+Z13+W14</f>
        <v>182679</v>
      </c>
      <c r="AB14" s="399" t="n">
        <v>0</v>
      </c>
      <c r="AC14" s="399" t="n">
        <f aca="false">+Supplies!AN14</f>
        <v>0</v>
      </c>
      <c r="AD14" s="399" t="n">
        <f aca="false">+AC14-AB14</f>
        <v>0</v>
      </c>
      <c r="AE14" s="399" t="n">
        <f aca="false">+AE13+AB14</f>
        <v>0</v>
      </c>
      <c r="AF14" s="399" t="n">
        <f aca="false">+AF13+AC14</f>
        <v>0</v>
      </c>
      <c r="AH14" s="399"/>
      <c r="AI14" s="399"/>
      <c r="AJ14" s="399" t="n">
        <f aca="false">+AI14-AH14</f>
        <v>0</v>
      </c>
      <c r="AK14" s="399" t="n">
        <f aca="false">+AK13+AH14</f>
        <v>0</v>
      </c>
      <c r="AL14" s="399" t="n">
        <f aca="false">+AL13+AI14</f>
        <v>0</v>
      </c>
    </row>
    <row r="15" customFormat="false" ht="12.75" hidden="false" customHeight="false" outlineLevel="0" collapsed="false">
      <c r="A15" s="406" t="n">
        <f aca="false">BaseloadMarkets!A15</f>
        <v>36687</v>
      </c>
      <c r="B15" s="21" t="n">
        <v>10000</v>
      </c>
      <c r="C15" s="399" t="n">
        <f aca="false">+Supplies!I15</f>
        <v>10000</v>
      </c>
      <c r="D15" s="399" t="n">
        <f aca="false">+C15-B15</f>
        <v>0</v>
      </c>
      <c r="E15" s="399" t="n">
        <f aca="false">+E14+B15</f>
        <v>100000</v>
      </c>
      <c r="F15" s="399" t="n">
        <f aca="false">+F14+C15</f>
        <v>100000</v>
      </c>
      <c r="G15" s="399" t="n">
        <f aca="false">+G14+D15</f>
        <v>0</v>
      </c>
      <c r="I15" s="21" t="n">
        <v>3333</v>
      </c>
      <c r="J15" s="399" t="n">
        <f aca="false">+Supplies!J15</f>
        <v>3333</v>
      </c>
      <c r="K15" s="399" t="n">
        <f aca="false">+J15-I15</f>
        <v>0</v>
      </c>
      <c r="L15" s="399" t="n">
        <f aca="false">+L14+I15</f>
        <v>33330</v>
      </c>
      <c r="M15" s="399" t="n">
        <f aca="false">+M14+J15</f>
        <v>33330</v>
      </c>
      <c r="N15" s="399" t="n">
        <f aca="false">+N14+K15</f>
        <v>0</v>
      </c>
      <c r="P15" s="21" t="n">
        <v>1333</v>
      </c>
      <c r="Q15" s="399" t="n">
        <f aca="false">+Supplies!K15</f>
        <v>1333</v>
      </c>
      <c r="R15" s="399" t="n">
        <f aca="false">+Q15-P15</f>
        <v>0</v>
      </c>
      <c r="S15" s="399" t="n">
        <f aca="false">+S14+P15</f>
        <v>13330</v>
      </c>
      <c r="T15" s="399" t="n">
        <f aca="false">+T14+Q15</f>
        <v>13330</v>
      </c>
      <c r="V15" s="399" t="n">
        <f aca="false">4666+16000</f>
        <v>20666</v>
      </c>
      <c r="W15" s="399" t="n">
        <f aca="false">+BaseloadMarkets!J15+BaseloadMarkets!M15</f>
        <v>20665</v>
      </c>
      <c r="X15" s="399" t="n">
        <f aca="false">+W15-V15</f>
        <v>-1</v>
      </c>
      <c r="Y15" s="399" t="n">
        <f aca="false">+Y14+V15</f>
        <v>206660</v>
      </c>
      <c r="Z15" s="399" t="n">
        <f aca="false">+Z14+W15</f>
        <v>203344</v>
      </c>
      <c r="AB15" s="399" t="n">
        <v>0</v>
      </c>
      <c r="AC15" s="399" t="n">
        <f aca="false">+Supplies!AN15</f>
        <v>0</v>
      </c>
      <c r="AD15" s="399" t="n">
        <f aca="false">+AC15-AB15</f>
        <v>0</v>
      </c>
      <c r="AE15" s="399" t="n">
        <f aca="false">+AE14+AB15</f>
        <v>0</v>
      </c>
      <c r="AF15" s="399" t="n">
        <f aca="false">+AF14+AC15</f>
        <v>0</v>
      </c>
      <c r="AH15" s="399"/>
      <c r="AI15" s="399"/>
      <c r="AJ15" s="399" t="n">
        <f aca="false">+AI15-AH15</f>
        <v>0</v>
      </c>
      <c r="AK15" s="399" t="n">
        <f aca="false">+AK14+AH15</f>
        <v>0</v>
      </c>
      <c r="AL15" s="399" t="n">
        <f aca="false">+AL14+AI15</f>
        <v>0</v>
      </c>
    </row>
    <row r="16" customFormat="false" ht="12.75" hidden="false" customHeight="false" outlineLevel="0" collapsed="false">
      <c r="A16" s="406" t="n">
        <f aca="false">BaseloadMarkets!A16</f>
        <v>36688</v>
      </c>
      <c r="B16" s="21" t="n">
        <v>10000</v>
      </c>
      <c r="C16" s="399" t="n">
        <f aca="false">+Supplies!I16</f>
        <v>10000</v>
      </c>
      <c r="D16" s="399" t="n">
        <f aca="false">+C16-B16</f>
        <v>0</v>
      </c>
      <c r="E16" s="399" t="n">
        <f aca="false">+E15+B16</f>
        <v>110000</v>
      </c>
      <c r="F16" s="399" t="n">
        <f aca="false">+F15+C16</f>
        <v>110000</v>
      </c>
      <c r="G16" s="399" t="n">
        <f aca="false">+G15+D16</f>
        <v>0</v>
      </c>
      <c r="I16" s="21" t="n">
        <v>3333</v>
      </c>
      <c r="J16" s="399" t="n">
        <f aca="false">+Supplies!J16</f>
        <v>3333</v>
      </c>
      <c r="K16" s="399" t="n">
        <f aca="false">+J16-I16</f>
        <v>0</v>
      </c>
      <c r="L16" s="399" t="n">
        <f aca="false">+L15+I16</f>
        <v>36663</v>
      </c>
      <c r="M16" s="399" t="n">
        <f aca="false">+M15+J16</f>
        <v>36663</v>
      </c>
      <c r="N16" s="399" t="n">
        <f aca="false">+N15+K16</f>
        <v>0</v>
      </c>
      <c r="P16" s="21" t="n">
        <v>1333</v>
      </c>
      <c r="Q16" s="399" t="n">
        <f aca="false">+Supplies!K16</f>
        <v>1333</v>
      </c>
      <c r="R16" s="399" t="n">
        <f aca="false">+Q16-P16</f>
        <v>0</v>
      </c>
      <c r="S16" s="399" t="n">
        <f aca="false">+S15+P16</f>
        <v>14663</v>
      </c>
      <c r="T16" s="399" t="n">
        <f aca="false">+T15+Q16</f>
        <v>14663</v>
      </c>
      <c r="V16" s="399" t="n">
        <f aca="false">4666+16000</f>
        <v>20666</v>
      </c>
      <c r="W16" s="399" t="n">
        <f aca="false">+BaseloadMarkets!J16+BaseloadMarkets!M16</f>
        <v>20244</v>
      </c>
      <c r="X16" s="399" t="n">
        <f aca="false">+W16-V16</f>
        <v>-422</v>
      </c>
      <c r="Y16" s="399" t="n">
        <f aca="false">+Y15+V16</f>
        <v>227326</v>
      </c>
      <c r="Z16" s="399" t="n">
        <f aca="false">+Z15+W16</f>
        <v>223588</v>
      </c>
      <c r="AB16" s="399" t="n">
        <v>0</v>
      </c>
      <c r="AC16" s="399" t="n">
        <f aca="false">+Supplies!AN16</f>
        <v>0</v>
      </c>
      <c r="AD16" s="399" t="n">
        <f aca="false">+AC16-AB16</f>
        <v>0</v>
      </c>
      <c r="AE16" s="399" t="n">
        <f aca="false">+AE15+AB16</f>
        <v>0</v>
      </c>
      <c r="AF16" s="399" t="n">
        <f aca="false">+AF15+AC16</f>
        <v>0</v>
      </c>
      <c r="AH16" s="399"/>
      <c r="AI16" s="399"/>
      <c r="AJ16" s="399" t="n">
        <f aca="false">+AI16-AH16</f>
        <v>0</v>
      </c>
      <c r="AK16" s="399" t="n">
        <f aca="false">+AK15+AH16</f>
        <v>0</v>
      </c>
      <c r="AL16" s="399" t="n">
        <f aca="false">+AL15+AI16</f>
        <v>0</v>
      </c>
    </row>
    <row r="17" customFormat="false" ht="12.75" hidden="false" customHeight="false" outlineLevel="0" collapsed="false">
      <c r="A17" s="406" t="n">
        <f aca="false">BaseloadMarkets!A17</f>
        <v>36689</v>
      </c>
      <c r="B17" s="21" t="n">
        <v>10000</v>
      </c>
      <c r="C17" s="399" t="n">
        <f aca="false">+Supplies!I17</f>
        <v>10000</v>
      </c>
      <c r="D17" s="399" t="n">
        <f aca="false">+C17-B17</f>
        <v>0</v>
      </c>
      <c r="E17" s="399" t="n">
        <f aca="false">+E16+B17</f>
        <v>120000</v>
      </c>
      <c r="F17" s="399" t="n">
        <f aca="false">+F16+C17</f>
        <v>120000</v>
      </c>
      <c r="G17" s="399" t="n">
        <f aca="false">+G16+D17</f>
        <v>0</v>
      </c>
      <c r="I17" s="21" t="n">
        <v>3333</v>
      </c>
      <c r="J17" s="399" t="n">
        <f aca="false">+Supplies!J17</f>
        <v>3333</v>
      </c>
      <c r="K17" s="399" t="n">
        <f aca="false">+J17-I17</f>
        <v>0</v>
      </c>
      <c r="L17" s="399" t="n">
        <f aca="false">+L16+I17</f>
        <v>39996</v>
      </c>
      <c r="M17" s="399" t="n">
        <f aca="false">+M16+J17</f>
        <v>39996</v>
      </c>
      <c r="N17" s="399" t="n">
        <f aca="false">+N16+K17</f>
        <v>0</v>
      </c>
      <c r="P17" s="21" t="n">
        <v>1333</v>
      </c>
      <c r="Q17" s="399" t="n">
        <f aca="false">+Supplies!K17</f>
        <v>1333</v>
      </c>
      <c r="R17" s="399" t="n">
        <f aca="false">+Q17-P17</f>
        <v>0</v>
      </c>
      <c r="S17" s="399" t="n">
        <f aca="false">+S16+P17</f>
        <v>15996</v>
      </c>
      <c r="T17" s="399" t="n">
        <f aca="false">+T16+Q17</f>
        <v>15996</v>
      </c>
      <c r="V17" s="399" t="n">
        <f aca="false">4666+16000</f>
        <v>20666</v>
      </c>
      <c r="W17" s="399" t="n">
        <f aca="false">+BaseloadMarkets!J17+BaseloadMarkets!M17</f>
        <v>20312</v>
      </c>
      <c r="X17" s="399" t="n">
        <f aca="false">+W17-V17</f>
        <v>-354</v>
      </c>
      <c r="Y17" s="399" t="n">
        <f aca="false">+Y16+V17</f>
        <v>247992</v>
      </c>
      <c r="Z17" s="399" t="n">
        <f aca="false">+Z16+W17</f>
        <v>243900</v>
      </c>
      <c r="AB17" s="399" t="n">
        <v>10333</v>
      </c>
      <c r="AC17" s="399" t="n">
        <f aca="false">+Supplies!AN17</f>
        <v>10333</v>
      </c>
      <c r="AD17" s="399" t="n">
        <f aca="false">+AC17-AB17</f>
        <v>0</v>
      </c>
      <c r="AE17" s="399" t="n">
        <f aca="false">+AE16+AB17</f>
        <v>10333</v>
      </c>
      <c r="AF17" s="399" t="n">
        <f aca="false">+AF16+AC17</f>
        <v>10333</v>
      </c>
      <c r="AH17" s="399"/>
      <c r="AI17" s="399"/>
      <c r="AJ17" s="399" t="n">
        <f aca="false">+AI17-AH17</f>
        <v>0</v>
      </c>
      <c r="AK17" s="399" t="n">
        <f aca="false">+AK16+AH17</f>
        <v>0</v>
      </c>
      <c r="AL17" s="399" t="n">
        <f aca="false">+AL16+AI17</f>
        <v>0</v>
      </c>
    </row>
    <row r="18" customFormat="false" ht="12.75" hidden="false" customHeight="false" outlineLevel="0" collapsed="false">
      <c r="A18" s="406" t="n">
        <f aca="false">BaseloadMarkets!A18</f>
        <v>36690</v>
      </c>
      <c r="B18" s="21" t="n">
        <v>10000</v>
      </c>
      <c r="C18" s="399" t="n">
        <f aca="false">+Supplies!I18</f>
        <v>10000</v>
      </c>
      <c r="D18" s="399" t="n">
        <f aca="false">+C18-B18</f>
        <v>0</v>
      </c>
      <c r="E18" s="399" t="n">
        <f aca="false">+E17+B18</f>
        <v>130000</v>
      </c>
      <c r="F18" s="399" t="n">
        <f aca="false">+F17+C18</f>
        <v>130000</v>
      </c>
      <c r="G18" s="399" t="n">
        <f aca="false">+G17+D18</f>
        <v>0</v>
      </c>
      <c r="I18" s="21" t="n">
        <v>3333</v>
      </c>
      <c r="J18" s="399" t="n">
        <f aca="false">+Supplies!J18</f>
        <v>3333</v>
      </c>
      <c r="K18" s="399" t="n">
        <f aca="false">+J18-I18</f>
        <v>0</v>
      </c>
      <c r="L18" s="399" t="n">
        <f aca="false">+L17+I18</f>
        <v>43329</v>
      </c>
      <c r="M18" s="399" t="n">
        <f aca="false">+M17+J18</f>
        <v>43329</v>
      </c>
      <c r="N18" s="399" t="n">
        <f aca="false">+N17+K18</f>
        <v>0</v>
      </c>
      <c r="P18" s="21" t="n">
        <v>1333</v>
      </c>
      <c r="Q18" s="399" t="n">
        <f aca="false">+Supplies!K18</f>
        <v>1333</v>
      </c>
      <c r="R18" s="399" t="n">
        <f aca="false">+Q18-P18</f>
        <v>0</v>
      </c>
      <c r="S18" s="399" t="n">
        <f aca="false">+S17+P18</f>
        <v>17329</v>
      </c>
      <c r="T18" s="399" t="n">
        <f aca="false">+T17+Q18</f>
        <v>17329</v>
      </c>
      <c r="V18" s="399" t="n">
        <f aca="false">4666+16000</f>
        <v>20666</v>
      </c>
      <c r="W18" s="399" t="n">
        <f aca="false">+BaseloadMarkets!J18+BaseloadMarkets!M18</f>
        <v>16458</v>
      </c>
      <c r="X18" s="399" t="n">
        <f aca="false">+W18-V18</f>
        <v>-4208</v>
      </c>
      <c r="Y18" s="399" t="n">
        <f aca="false">+Y17+V18</f>
        <v>268658</v>
      </c>
      <c r="Z18" s="399" t="n">
        <f aca="false">+Z17+W18</f>
        <v>260358</v>
      </c>
      <c r="AB18" s="399" t="n">
        <v>10333</v>
      </c>
      <c r="AC18" s="399" t="n">
        <f aca="false">+Supplies!AN18</f>
        <v>10333</v>
      </c>
      <c r="AD18" s="399" t="n">
        <f aca="false">+AC18-AB18</f>
        <v>0</v>
      </c>
      <c r="AE18" s="399" t="n">
        <f aca="false">+AE17+AB18</f>
        <v>20666</v>
      </c>
      <c r="AF18" s="399" t="n">
        <f aca="false">+AF17+AC18</f>
        <v>20666</v>
      </c>
      <c r="AH18" s="399"/>
      <c r="AI18" s="399"/>
      <c r="AJ18" s="399" t="n">
        <f aca="false">+AI18-AH18</f>
        <v>0</v>
      </c>
      <c r="AK18" s="399" t="n">
        <f aca="false">+AK17+AH18</f>
        <v>0</v>
      </c>
      <c r="AL18" s="399" t="n">
        <f aca="false">+AL17+AI18</f>
        <v>0</v>
      </c>
    </row>
    <row r="19" customFormat="false" ht="12.75" hidden="false" customHeight="false" outlineLevel="0" collapsed="false">
      <c r="A19" s="406" t="n">
        <f aca="false">BaseloadMarkets!A19</f>
        <v>36691</v>
      </c>
      <c r="B19" s="21" t="n">
        <v>10000</v>
      </c>
      <c r="C19" s="399" t="n">
        <f aca="false">+Supplies!I19</f>
        <v>10000</v>
      </c>
      <c r="D19" s="399" t="n">
        <f aca="false">+C19-B19</f>
        <v>0</v>
      </c>
      <c r="E19" s="399" t="n">
        <f aca="false">+E18+B19</f>
        <v>140000</v>
      </c>
      <c r="F19" s="399" t="n">
        <f aca="false">+F18+C19</f>
        <v>140000</v>
      </c>
      <c r="G19" s="399" t="n">
        <f aca="false">+G18+D19</f>
        <v>0</v>
      </c>
      <c r="I19" s="21" t="n">
        <v>3333</v>
      </c>
      <c r="J19" s="399" t="n">
        <f aca="false">+Supplies!J19</f>
        <v>3333</v>
      </c>
      <c r="K19" s="399" t="n">
        <f aca="false">+J19-I19</f>
        <v>0</v>
      </c>
      <c r="L19" s="399" t="n">
        <f aca="false">+L18+I19</f>
        <v>46662</v>
      </c>
      <c r="M19" s="399" t="n">
        <f aca="false">+M18+J19</f>
        <v>46662</v>
      </c>
      <c r="N19" s="399" t="n">
        <f aca="false">+N18+K19</f>
        <v>0</v>
      </c>
      <c r="P19" s="21" t="n">
        <v>1333</v>
      </c>
      <c r="Q19" s="399" t="n">
        <f aca="false">+Supplies!K19</f>
        <v>1333</v>
      </c>
      <c r="R19" s="399" t="n">
        <f aca="false">+Q19-P19</f>
        <v>0</v>
      </c>
      <c r="S19" s="399" t="n">
        <f aca="false">+S18+P19</f>
        <v>18662</v>
      </c>
      <c r="T19" s="399" t="n">
        <f aca="false">+T18+Q19</f>
        <v>18662</v>
      </c>
      <c r="V19" s="399" t="n">
        <f aca="false">4666+16000</f>
        <v>20666</v>
      </c>
      <c r="W19" s="399" t="n">
        <f aca="false">+BaseloadMarkets!J19+BaseloadMarkets!M19</f>
        <v>19948</v>
      </c>
      <c r="X19" s="399" t="n">
        <f aca="false">+W19-V19</f>
        <v>-718</v>
      </c>
      <c r="Y19" s="399" t="n">
        <f aca="false">+Y18+V19</f>
        <v>289324</v>
      </c>
      <c r="Z19" s="399" t="n">
        <f aca="false">+Z18+W19</f>
        <v>280306</v>
      </c>
      <c r="AB19" s="399" t="n">
        <v>10333</v>
      </c>
      <c r="AC19" s="399" t="n">
        <f aca="false">+Supplies!AN19</f>
        <v>10333</v>
      </c>
      <c r="AD19" s="399" t="n">
        <f aca="false">+AC19-AB19</f>
        <v>0</v>
      </c>
      <c r="AE19" s="399" t="n">
        <f aca="false">+AE18+AB19</f>
        <v>30999</v>
      </c>
      <c r="AF19" s="399" t="n">
        <f aca="false">+AF18+AC19</f>
        <v>30999</v>
      </c>
      <c r="AH19" s="399"/>
      <c r="AI19" s="399"/>
      <c r="AJ19" s="399" t="n">
        <f aca="false">+AI19-AH19</f>
        <v>0</v>
      </c>
      <c r="AK19" s="399" t="n">
        <f aca="false">+AK18+AH19</f>
        <v>0</v>
      </c>
      <c r="AL19" s="399" t="n">
        <f aca="false">+AL18+AI19</f>
        <v>0</v>
      </c>
    </row>
    <row r="20" customFormat="false" ht="12.75" hidden="false" customHeight="false" outlineLevel="0" collapsed="false">
      <c r="A20" s="406" t="n">
        <f aca="false">BaseloadMarkets!A20</f>
        <v>36692</v>
      </c>
      <c r="B20" s="21" t="n">
        <v>10000</v>
      </c>
      <c r="C20" s="399" t="n">
        <f aca="false">+Supplies!I20</f>
        <v>10000</v>
      </c>
      <c r="D20" s="399" t="n">
        <f aca="false">+C20-B20</f>
        <v>0</v>
      </c>
      <c r="E20" s="399" t="n">
        <f aca="false">+E19+B20</f>
        <v>150000</v>
      </c>
      <c r="F20" s="399" t="n">
        <f aca="false">+F19+C20</f>
        <v>150000</v>
      </c>
      <c r="G20" s="399" t="n">
        <f aca="false">+G19+D20</f>
        <v>0</v>
      </c>
      <c r="I20" s="21" t="n">
        <v>3333</v>
      </c>
      <c r="J20" s="399" t="n">
        <f aca="false">+Supplies!J20</f>
        <v>3333</v>
      </c>
      <c r="K20" s="399" t="n">
        <f aca="false">+J20-I20</f>
        <v>0</v>
      </c>
      <c r="L20" s="399" t="n">
        <f aca="false">+L19+I20</f>
        <v>49995</v>
      </c>
      <c r="M20" s="399" t="n">
        <f aca="false">+M19+J20</f>
        <v>49995</v>
      </c>
      <c r="N20" s="399" t="n">
        <f aca="false">+N19+K20</f>
        <v>0</v>
      </c>
      <c r="P20" s="21" t="n">
        <v>1333</v>
      </c>
      <c r="Q20" s="399" t="n">
        <f aca="false">+Supplies!K20</f>
        <v>1333</v>
      </c>
      <c r="R20" s="399" t="n">
        <f aca="false">+Q20-P20</f>
        <v>0</v>
      </c>
      <c r="S20" s="399" t="n">
        <f aca="false">+S19+P20</f>
        <v>19995</v>
      </c>
      <c r="T20" s="399" t="n">
        <f aca="false">+T19+Q20</f>
        <v>19995</v>
      </c>
      <c r="V20" s="399" t="n">
        <f aca="false">4666+16000</f>
        <v>20666</v>
      </c>
      <c r="W20" s="399" t="n">
        <f aca="false">+BaseloadMarkets!J20+BaseloadMarkets!M20</f>
        <v>20160</v>
      </c>
      <c r="X20" s="399" t="n">
        <f aca="false">+W20-V20</f>
        <v>-506</v>
      </c>
      <c r="Y20" s="399" t="n">
        <f aca="false">+Y19+V20</f>
        <v>309990</v>
      </c>
      <c r="Z20" s="399" t="n">
        <f aca="false">+Z19+W20</f>
        <v>300466</v>
      </c>
      <c r="AB20" s="399" t="n">
        <v>10333</v>
      </c>
      <c r="AC20" s="399" t="n">
        <f aca="false">+Supplies!AN20</f>
        <v>10333</v>
      </c>
      <c r="AD20" s="399" t="n">
        <f aca="false">+AC20-AB20</f>
        <v>0</v>
      </c>
      <c r="AE20" s="399" t="n">
        <f aca="false">+AE19+AB20</f>
        <v>41332</v>
      </c>
      <c r="AF20" s="399" t="n">
        <f aca="false">+AF19+AC20</f>
        <v>41332</v>
      </c>
      <c r="AH20" s="399"/>
      <c r="AI20" s="399"/>
      <c r="AJ20" s="399" t="n">
        <f aca="false">+AI20-AH20</f>
        <v>0</v>
      </c>
      <c r="AK20" s="399" t="n">
        <f aca="false">+AK19+AH20</f>
        <v>0</v>
      </c>
      <c r="AL20" s="399" t="n">
        <f aca="false">+AL19+AI20</f>
        <v>0</v>
      </c>
    </row>
    <row r="21" customFormat="false" ht="12.75" hidden="false" customHeight="false" outlineLevel="0" collapsed="false">
      <c r="A21" s="406" t="n">
        <f aca="false">BaseloadMarkets!A21</f>
        <v>36693</v>
      </c>
      <c r="B21" s="21" t="n">
        <v>10000</v>
      </c>
      <c r="C21" s="399" t="n">
        <f aca="false">+Supplies!I21</f>
        <v>10000</v>
      </c>
      <c r="D21" s="399" t="n">
        <f aca="false">+C21-B21</f>
        <v>0</v>
      </c>
      <c r="E21" s="399" t="n">
        <f aca="false">+E20+B21</f>
        <v>160000</v>
      </c>
      <c r="F21" s="399" t="n">
        <f aca="false">+F20+C21</f>
        <v>160000</v>
      </c>
      <c r="G21" s="399" t="n">
        <f aca="false">+G20+D21</f>
        <v>0</v>
      </c>
      <c r="I21" s="21" t="n">
        <v>3333</v>
      </c>
      <c r="J21" s="399" t="n">
        <f aca="false">+Supplies!J21</f>
        <v>3333</v>
      </c>
      <c r="K21" s="399" t="n">
        <f aca="false">+J21-I21</f>
        <v>0</v>
      </c>
      <c r="L21" s="399" t="n">
        <f aca="false">+L20+I21</f>
        <v>53328</v>
      </c>
      <c r="M21" s="399" t="n">
        <f aca="false">+M20+J21</f>
        <v>53328</v>
      </c>
      <c r="N21" s="399" t="n">
        <f aca="false">+N20+K21</f>
        <v>0</v>
      </c>
      <c r="P21" s="21" t="n">
        <v>1333</v>
      </c>
      <c r="Q21" s="399" t="n">
        <f aca="false">+Supplies!K21</f>
        <v>1333</v>
      </c>
      <c r="R21" s="399" t="n">
        <f aca="false">+Q21-P21</f>
        <v>0</v>
      </c>
      <c r="S21" s="399" t="n">
        <f aca="false">+S20+P21</f>
        <v>21328</v>
      </c>
      <c r="T21" s="399" t="n">
        <f aca="false">+T20+Q21</f>
        <v>21328</v>
      </c>
      <c r="V21" s="399" t="n">
        <f aca="false">4666+16000</f>
        <v>20666</v>
      </c>
      <c r="W21" s="399" t="n">
        <f aca="false">+BaseloadMarkets!J21+BaseloadMarkets!M21</f>
        <v>19512</v>
      </c>
      <c r="X21" s="399" t="n">
        <f aca="false">+W21-V21</f>
        <v>-1154</v>
      </c>
      <c r="Y21" s="399" t="n">
        <f aca="false">+Y20+V21</f>
        <v>330656</v>
      </c>
      <c r="Z21" s="399" t="n">
        <f aca="false">+Z20+W21</f>
        <v>319978</v>
      </c>
      <c r="AB21" s="399" t="n">
        <v>10333</v>
      </c>
      <c r="AC21" s="399" t="n">
        <f aca="false">+Supplies!AN21</f>
        <v>10333</v>
      </c>
      <c r="AD21" s="399" t="n">
        <f aca="false">+AC21-AB21</f>
        <v>0</v>
      </c>
      <c r="AE21" s="399" t="n">
        <f aca="false">+AE20+AB21</f>
        <v>51665</v>
      </c>
      <c r="AF21" s="399" t="n">
        <f aca="false">+AF20+AC21</f>
        <v>51665</v>
      </c>
      <c r="AH21" s="399"/>
      <c r="AI21" s="399"/>
      <c r="AJ21" s="399" t="n">
        <f aca="false">+AI21-AH21</f>
        <v>0</v>
      </c>
      <c r="AK21" s="399" t="n">
        <f aca="false">+AK20+AH21</f>
        <v>0</v>
      </c>
      <c r="AL21" s="399" t="n">
        <f aca="false">+AL20+AI21</f>
        <v>0</v>
      </c>
    </row>
    <row r="22" customFormat="false" ht="12.75" hidden="false" customHeight="false" outlineLevel="0" collapsed="false">
      <c r="A22" s="406" t="n">
        <f aca="false">BaseloadMarkets!A22</f>
        <v>36694</v>
      </c>
      <c r="B22" s="21" t="n">
        <v>10000</v>
      </c>
      <c r="C22" s="399" t="n">
        <f aca="false">+Supplies!I22</f>
        <v>10000</v>
      </c>
      <c r="D22" s="399" t="n">
        <f aca="false">+C22-B22</f>
        <v>0</v>
      </c>
      <c r="E22" s="399" t="n">
        <f aca="false">+E21+B22</f>
        <v>170000</v>
      </c>
      <c r="F22" s="399" t="n">
        <f aca="false">+F21+C22</f>
        <v>170000</v>
      </c>
      <c r="G22" s="399" t="n">
        <f aca="false">+G21+D22</f>
        <v>0</v>
      </c>
      <c r="I22" s="21" t="n">
        <v>3333</v>
      </c>
      <c r="J22" s="399" t="n">
        <f aca="false">+Supplies!J22</f>
        <v>3333</v>
      </c>
      <c r="K22" s="399" t="n">
        <f aca="false">+J22-I22</f>
        <v>0</v>
      </c>
      <c r="L22" s="399" t="n">
        <f aca="false">+L21+I22</f>
        <v>56661</v>
      </c>
      <c r="M22" s="399" t="n">
        <f aca="false">+M21+J22</f>
        <v>56661</v>
      </c>
      <c r="N22" s="399" t="n">
        <f aca="false">+N21+K22</f>
        <v>0</v>
      </c>
      <c r="P22" s="21" t="n">
        <v>1333</v>
      </c>
      <c r="Q22" s="399" t="n">
        <f aca="false">+Supplies!K22</f>
        <v>1333</v>
      </c>
      <c r="R22" s="399" t="n">
        <f aca="false">+Q22-P22</f>
        <v>0</v>
      </c>
      <c r="S22" s="399" t="n">
        <f aca="false">+S21+P22</f>
        <v>22661</v>
      </c>
      <c r="T22" s="399" t="n">
        <f aca="false">+T21+Q22</f>
        <v>22661</v>
      </c>
      <c r="V22" s="399" t="n">
        <f aca="false">4666+16000</f>
        <v>20666</v>
      </c>
      <c r="W22" s="399" t="n">
        <f aca="false">+BaseloadMarkets!J22+BaseloadMarkets!M22</f>
        <v>20436</v>
      </c>
      <c r="X22" s="399" t="n">
        <f aca="false">+W22-V22</f>
        <v>-230</v>
      </c>
      <c r="Y22" s="399" t="n">
        <f aca="false">+Y21+V22</f>
        <v>351322</v>
      </c>
      <c r="Z22" s="399" t="n">
        <f aca="false">+Z21+W22</f>
        <v>340414</v>
      </c>
      <c r="AB22" s="399" t="n">
        <v>0</v>
      </c>
      <c r="AC22" s="399" t="n">
        <f aca="false">+Supplies!AN22</f>
        <v>0</v>
      </c>
      <c r="AD22" s="399" t="n">
        <f aca="false">+AC22-AB22</f>
        <v>0</v>
      </c>
      <c r="AE22" s="399" t="n">
        <f aca="false">+AE21+AB22</f>
        <v>51665</v>
      </c>
      <c r="AF22" s="399" t="n">
        <f aca="false">+AF21+AC22</f>
        <v>51665</v>
      </c>
      <c r="AH22" s="399"/>
      <c r="AI22" s="399"/>
      <c r="AJ22" s="399" t="n">
        <f aca="false">+AI22-AH22</f>
        <v>0</v>
      </c>
      <c r="AK22" s="399" t="n">
        <f aca="false">+AK21+AH22</f>
        <v>0</v>
      </c>
      <c r="AL22" s="399" t="n">
        <f aca="false">+AL21+AI22</f>
        <v>0</v>
      </c>
    </row>
    <row r="23" customFormat="false" ht="12.75" hidden="false" customHeight="false" outlineLevel="0" collapsed="false">
      <c r="A23" s="406" t="n">
        <f aca="false">BaseloadMarkets!A23</f>
        <v>36695</v>
      </c>
      <c r="B23" s="21" t="n">
        <v>10000</v>
      </c>
      <c r="C23" s="399" t="n">
        <f aca="false">+Supplies!I23</f>
        <v>10000</v>
      </c>
      <c r="D23" s="399" t="n">
        <f aca="false">+C23-B23</f>
        <v>0</v>
      </c>
      <c r="E23" s="399" t="n">
        <f aca="false">+E22+B23</f>
        <v>180000</v>
      </c>
      <c r="F23" s="399" t="n">
        <f aca="false">+F22+C23</f>
        <v>180000</v>
      </c>
      <c r="G23" s="399" t="n">
        <f aca="false">+G22+D23</f>
        <v>0</v>
      </c>
      <c r="I23" s="21" t="n">
        <v>3333</v>
      </c>
      <c r="J23" s="399" t="n">
        <f aca="false">+Supplies!J23</f>
        <v>3333</v>
      </c>
      <c r="K23" s="399" t="n">
        <f aca="false">+J23-I23</f>
        <v>0</v>
      </c>
      <c r="L23" s="399" t="n">
        <f aca="false">+L22+I23</f>
        <v>59994</v>
      </c>
      <c r="M23" s="399" t="n">
        <f aca="false">+M22+J23</f>
        <v>59994</v>
      </c>
      <c r="N23" s="399" t="n">
        <f aca="false">+N22+K23</f>
        <v>0</v>
      </c>
      <c r="P23" s="21" t="n">
        <v>1333</v>
      </c>
      <c r="Q23" s="399" t="n">
        <f aca="false">+Supplies!K23</f>
        <v>1333</v>
      </c>
      <c r="R23" s="399" t="n">
        <f aca="false">+Q23-P23</f>
        <v>0</v>
      </c>
      <c r="S23" s="399" t="n">
        <f aca="false">+S22+P23</f>
        <v>23994</v>
      </c>
      <c r="T23" s="399" t="n">
        <f aca="false">+T22+Q23</f>
        <v>23994</v>
      </c>
      <c r="V23" s="399" t="n">
        <f aca="false">4666+16000</f>
        <v>20666</v>
      </c>
      <c r="W23" s="399" t="n">
        <f aca="false">+BaseloadMarkets!J23+BaseloadMarkets!M23</f>
        <v>19878</v>
      </c>
      <c r="X23" s="399" t="n">
        <f aca="false">+W23-V23</f>
        <v>-788</v>
      </c>
      <c r="Y23" s="399" t="n">
        <f aca="false">+Y22+V23</f>
        <v>371988</v>
      </c>
      <c r="Z23" s="399" t="n">
        <f aca="false">+Z22+W23</f>
        <v>360292</v>
      </c>
      <c r="AB23" s="399" t="n">
        <v>0</v>
      </c>
      <c r="AC23" s="399" t="n">
        <f aca="false">+Supplies!AN23</f>
        <v>0</v>
      </c>
      <c r="AD23" s="399" t="n">
        <f aca="false">+AC23-AB23</f>
        <v>0</v>
      </c>
      <c r="AE23" s="399" t="n">
        <f aca="false">+AE22+AB23</f>
        <v>51665</v>
      </c>
      <c r="AF23" s="399" t="n">
        <f aca="false">+AF22+AC23</f>
        <v>51665</v>
      </c>
      <c r="AH23" s="399"/>
      <c r="AI23" s="399"/>
      <c r="AJ23" s="399" t="n">
        <f aca="false">+AI23-AH23</f>
        <v>0</v>
      </c>
      <c r="AK23" s="399" t="n">
        <f aca="false">+AK22+AH23</f>
        <v>0</v>
      </c>
      <c r="AL23" s="399" t="n">
        <f aca="false">+AL22+AI23</f>
        <v>0</v>
      </c>
    </row>
    <row r="24" customFormat="false" ht="12.75" hidden="false" customHeight="false" outlineLevel="0" collapsed="false">
      <c r="A24" s="406" t="n">
        <f aca="false">BaseloadMarkets!A24</f>
        <v>36696</v>
      </c>
      <c r="B24" s="21" t="n">
        <v>10000</v>
      </c>
      <c r="C24" s="399" t="n">
        <f aca="false">+Supplies!I24</f>
        <v>10000</v>
      </c>
      <c r="D24" s="399" t="n">
        <f aca="false">+C24-B24</f>
        <v>0</v>
      </c>
      <c r="E24" s="399" t="n">
        <f aca="false">+E23+B24</f>
        <v>190000</v>
      </c>
      <c r="F24" s="399" t="n">
        <f aca="false">+F23+C24</f>
        <v>190000</v>
      </c>
      <c r="G24" s="399" t="n">
        <f aca="false">+G23+D24</f>
        <v>0</v>
      </c>
      <c r="I24" s="21" t="n">
        <v>3333</v>
      </c>
      <c r="J24" s="399" t="n">
        <f aca="false">+Supplies!J24</f>
        <v>3333</v>
      </c>
      <c r="K24" s="399" t="n">
        <f aca="false">+J24-I24</f>
        <v>0</v>
      </c>
      <c r="L24" s="399" t="n">
        <f aca="false">+L23+I24</f>
        <v>63327</v>
      </c>
      <c r="M24" s="399" t="n">
        <f aca="false">+M23+J24</f>
        <v>63327</v>
      </c>
      <c r="N24" s="399" t="n">
        <f aca="false">+N23+K24</f>
        <v>0</v>
      </c>
      <c r="P24" s="21" t="n">
        <v>1333</v>
      </c>
      <c r="Q24" s="399" t="n">
        <f aca="false">+Supplies!K24</f>
        <v>1333</v>
      </c>
      <c r="R24" s="399" t="n">
        <f aca="false">+Q24-P24</f>
        <v>0</v>
      </c>
      <c r="S24" s="399" t="n">
        <f aca="false">+S23+P24</f>
        <v>25327</v>
      </c>
      <c r="T24" s="399" t="n">
        <f aca="false">+T23+Q24</f>
        <v>25327</v>
      </c>
      <c r="V24" s="399" t="n">
        <f aca="false">4666+16000</f>
        <v>20666</v>
      </c>
      <c r="W24" s="399" t="n">
        <f aca="false">+BaseloadMarkets!J24+BaseloadMarkets!M24</f>
        <v>19620</v>
      </c>
      <c r="X24" s="399" t="n">
        <f aca="false">+W24-V24</f>
        <v>-1046</v>
      </c>
      <c r="Y24" s="399" t="n">
        <f aca="false">+Y23+V24</f>
        <v>392654</v>
      </c>
      <c r="Z24" s="399" t="n">
        <f aca="false">+Z23+W24</f>
        <v>379912</v>
      </c>
      <c r="AB24" s="399" t="n">
        <v>10333</v>
      </c>
      <c r="AC24" s="399" t="n">
        <f aca="false">+Supplies!AN24</f>
        <v>10333</v>
      </c>
      <c r="AD24" s="399" t="n">
        <f aca="false">+AC24-AB24</f>
        <v>0</v>
      </c>
      <c r="AE24" s="399" t="n">
        <f aca="false">+AE23+AB24</f>
        <v>61998</v>
      </c>
      <c r="AF24" s="399" t="n">
        <f aca="false">+AF23+AC24</f>
        <v>61998</v>
      </c>
      <c r="AH24" s="399"/>
      <c r="AI24" s="399"/>
      <c r="AJ24" s="399" t="n">
        <f aca="false">+AI24-AH24</f>
        <v>0</v>
      </c>
      <c r="AK24" s="399" t="n">
        <f aca="false">+AK23+AH24</f>
        <v>0</v>
      </c>
      <c r="AL24" s="399" t="n">
        <f aca="false">+AL23+AI24</f>
        <v>0</v>
      </c>
    </row>
    <row r="25" customFormat="false" ht="12.75" hidden="false" customHeight="false" outlineLevel="0" collapsed="false">
      <c r="A25" s="406" t="n">
        <f aca="false">BaseloadMarkets!A25</f>
        <v>36697</v>
      </c>
      <c r="B25" s="21" t="n">
        <v>10000</v>
      </c>
      <c r="C25" s="399" t="n">
        <f aca="false">+Supplies!I25</f>
        <v>10000</v>
      </c>
      <c r="D25" s="399" t="n">
        <f aca="false">+C25-B25</f>
        <v>0</v>
      </c>
      <c r="E25" s="399" t="n">
        <f aca="false">+E24+B25</f>
        <v>200000</v>
      </c>
      <c r="F25" s="399" t="n">
        <f aca="false">+F24+C25</f>
        <v>200000</v>
      </c>
      <c r="G25" s="399" t="n">
        <f aca="false">+G24+D25</f>
        <v>0</v>
      </c>
      <c r="I25" s="21" t="n">
        <v>3333</v>
      </c>
      <c r="J25" s="399" t="n">
        <f aca="false">+Supplies!J25</f>
        <v>3333</v>
      </c>
      <c r="K25" s="399" t="n">
        <f aca="false">+J25-I25</f>
        <v>0</v>
      </c>
      <c r="L25" s="399" t="n">
        <f aca="false">+L24+I25</f>
        <v>66660</v>
      </c>
      <c r="M25" s="399" t="n">
        <f aca="false">+M24+J25</f>
        <v>66660</v>
      </c>
      <c r="N25" s="399" t="n">
        <f aca="false">+N24+K25</f>
        <v>0</v>
      </c>
      <c r="P25" s="21" t="n">
        <v>1333</v>
      </c>
      <c r="Q25" s="399" t="n">
        <f aca="false">+Supplies!K25</f>
        <v>1333</v>
      </c>
      <c r="R25" s="399" t="n">
        <f aca="false">+Q25-P25</f>
        <v>0</v>
      </c>
      <c r="S25" s="399" t="n">
        <f aca="false">+S24+P25</f>
        <v>26660</v>
      </c>
      <c r="T25" s="399" t="n">
        <f aca="false">+T24+Q25</f>
        <v>26660</v>
      </c>
      <c r="V25" s="399" t="n">
        <f aca="false">4666+16000</f>
        <v>20666</v>
      </c>
      <c r="W25" s="399" t="n">
        <f aca="false">+BaseloadMarkets!J25+BaseloadMarkets!M25</f>
        <v>20664</v>
      </c>
      <c r="X25" s="399" t="n">
        <f aca="false">+W25-V25</f>
        <v>-2</v>
      </c>
      <c r="Y25" s="399" t="n">
        <f aca="false">+Y24+V25</f>
        <v>413320</v>
      </c>
      <c r="Z25" s="399" t="n">
        <f aca="false">+Z24+W25</f>
        <v>400576</v>
      </c>
      <c r="AB25" s="399" t="n">
        <v>10333</v>
      </c>
      <c r="AC25" s="399" t="n">
        <f aca="false">+Supplies!AN25</f>
        <v>10333</v>
      </c>
      <c r="AD25" s="399" t="n">
        <f aca="false">+AC25-AB25</f>
        <v>0</v>
      </c>
      <c r="AE25" s="399" t="n">
        <f aca="false">+AE24+AB25</f>
        <v>72331</v>
      </c>
      <c r="AF25" s="399" t="n">
        <f aca="false">+AF24+AC25</f>
        <v>72331</v>
      </c>
      <c r="AH25" s="399"/>
      <c r="AI25" s="399"/>
      <c r="AJ25" s="399" t="n">
        <f aca="false">+AI25-AH25</f>
        <v>0</v>
      </c>
      <c r="AK25" s="399" t="n">
        <f aca="false">+AK24+AH25</f>
        <v>0</v>
      </c>
      <c r="AL25" s="399" t="n">
        <f aca="false">+AL24+AI25</f>
        <v>0</v>
      </c>
    </row>
    <row r="26" customFormat="false" ht="12.75" hidden="false" customHeight="false" outlineLevel="0" collapsed="false">
      <c r="A26" s="406" t="n">
        <f aca="false">BaseloadMarkets!A26</f>
        <v>36698</v>
      </c>
      <c r="B26" s="21" t="n">
        <v>10000</v>
      </c>
      <c r="C26" s="399" t="n">
        <f aca="false">+Supplies!I26</f>
        <v>10000</v>
      </c>
      <c r="D26" s="399" t="n">
        <f aca="false">+C26-B26</f>
        <v>0</v>
      </c>
      <c r="E26" s="399" t="n">
        <f aca="false">+E25+B26</f>
        <v>210000</v>
      </c>
      <c r="F26" s="399" t="n">
        <f aca="false">+F25+C26</f>
        <v>210000</v>
      </c>
      <c r="G26" s="399" t="n">
        <f aca="false">+G25+D26</f>
        <v>0</v>
      </c>
      <c r="I26" s="21" t="n">
        <v>3333</v>
      </c>
      <c r="J26" s="399" t="n">
        <f aca="false">+Supplies!J26</f>
        <v>3333</v>
      </c>
      <c r="K26" s="399" t="n">
        <f aca="false">+J26-I26</f>
        <v>0</v>
      </c>
      <c r="L26" s="399" t="n">
        <f aca="false">+L25+I26</f>
        <v>69993</v>
      </c>
      <c r="M26" s="399" t="n">
        <f aca="false">+M25+J26</f>
        <v>69993</v>
      </c>
      <c r="N26" s="399" t="n">
        <f aca="false">+N25+K26</f>
        <v>0</v>
      </c>
      <c r="P26" s="21" t="n">
        <v>1333</v>
      </c>
      <c r="Q26" s="399" t="n">
        <f aca="false">+Supplies!K26</f>
        <v>1333</v>
      </c>
      <c r="R26" s="399" t="n">
        <f aca="false">+Q26-P26</f>
        <v>0</v>
      </c>
      <c r="S26" s="399" t="n">
        <f aca="false">+S25+P26</f>
        <v>27993</v>
      </c>
      <c r="T26" s="399" t="n">
        <f aca="false">+T25+Q26</f>
        <v>27993</v>
      </c>
      <c r="V26" s="399" t="n">
        <f aca="false">4666+16000</f>
        <v>20666</v>
      </c>
      <c r="W26" s="399" t="n">
        <f aca="false">+BaseloadMarkets!J26+BaseloadMarkets!M26</f>
        <v>15542</v>
      </c>
      <c r="X26" s="399" t="n">
        <f aca="false">+W26-V26</f>
        <v>-5124</v>
      </c>
      <c r="Y26" s="399" t="n">
        <f aca="false">+Y25+V26</f>
        <v>433986</v>
      </c>
      <c r="Z26" s="399" t="n">
        <f aca="false">+Z25+W26</f>
        <v>416118</v>
      </c>
      <c r="AB26" s="399" t="n">
        <v>10333</v>
      </c>
      <c r="AC26" s="399" t="n">
        <f aca="false">+Supplies!AN26</f>
        <v>10333</v>
      </c>
      <c r="AD26" s="399" t="n">
        <f aca="false">+AC26-AB26</f>
        <v>0</v>
      </c>
      <c r="AE26" s="399" t="n">
        <f aca="false">+AE25+AB26</f>
        <v>82664</v>
      </c>
      <c r="AF26" s="399" t="n">
        <f aca="false">+AF25+AC26</f>
        <v>82664</v>
      </c>
      <c r="AH26" s="399"/>
      <c r="AI26" s="399"/>
      <c r="AJ26" s="399" t="n">
        <f aca="false">+AI26-AH26</f>
        <v>0</v>
      </c>
      <c r="AK26" s="399" t="n">
        <f aca="false">+AK25+AH26</f>
        <v>0</v>
      </c>
      <c r="AL26" s="399" t="n">
        <f aca="false">+AL25+AI26</f>
        <v>0</v>
      </c>
    </row>
    <row r="27" customFormat="false" ht="12.75" hidden="false" customHeight="false" outlineLevel="0" collapsed="false">
      <c r="A27" s="406" t="n">
        <f aca="false">BaseloadMarkets!A27</f>
        <v>36699</v>
      </c>
      <c r="B27" s="21" t="n">
        <v>10000</v>
      </c>
      <c r="C27" s="399" t="n">
        <f aca="false">+Supplies!I27</f>
        <v>10000</v>
      </c>
      <c r="D27" s="399" t="n">
        <f aca="false">+C27-B27</f>
        <v>0</v>
      </c>
      <c r="E27" s="399" t="n">
        <f aca="false">+E26+B27</f>
        <v>220000</v>
      </c>
      <c r="F27" s="399" t="n">
        <f aca="false">+F26+C27</f>
        <v>220000</v>
      </c>
      <c r="G27" s="399" t="n">
        <f aca="false">+G26+D27</f>
        <v>0</v>
      </c>
      <c r="I27" s="21" t="n">
        <v>3333</v>
      </c>
      <c r="J27" s="399" t="n">
        <f aca="false">+Supplies!J27</f>
        <v>3333</v>
      </c>
      <c r="K27" s="399" t="n">
        <f aca="false">+J27-I27</f>
        <v>0</v>
      </c>
      <c r="L27" s="399" t="n">
        <f aca="false">+L26+I27</f>
        <v>73326</v>
      </c>
      <c r="M27" s="399" t="n">
        <f aca="false">+M26+J27</f>
        <v>73326</v>
      </c>
      <c r="N27" s="399" t="n">
        <f aca="false">+N26+K27</f>
        <v>0</v>
      </c>
      <c r="P27" s="21" t="n">
        <v>1333</v>
      </c>
      <c r="Q27" s="399" t="n">
        <f aca="false">+Supplies!K27</f>
        <v>1333</v>
      </c>
      <c r="R27" s="399" t="n">
        <f aca="false">+Q27-P27</f>
        <v>0</v>
      </c>
      <c r="S27" s="399" t="n">
        <f aca="false">+S26+P27</f>
        <v>29326</v>
      </c>
      <c r="T27" s="399" t="n">
        <f aca="false">+T26+Q27</f>
        <v>29326</v>
      </c>
      <c r="V27" s="399" t="n">
        <f aca="false">4666+16000</f>
        <v>20666</v>
      </c>
      <c r="W27" s="399" t="n">
        <f aca="false">+BaseloadMarkets!J27+BaseloadMarkets!M27</f>
        <v>20349</v>
      </c>
      <c r="X27" s="399" t="n">
        <f aca="false">+W27-V27</f>
        <v>-317</v>
      </c>
      <c r="Y27" s="399" t="n">
        <f aca="false">+Y26+V27</f>
        <v>454652</v>
      </c>
      <c r="Z27" s="399" t="n">
        <f aca="false">+Z26+W27</f>
        <v>436467</v>
      </c>
      <c r="AB27" s="399" t="n">
        <v>10333</v>
      </c>
      <c r="AC27" s="399" t="n">
        <f aca="false">+Supplies!AN27</f>
        <v>10333</v>
      </c>
      <c r="AD27" s="399" t="n">
        <f aca="false">+AC27-AB27</f>
        <v>0</v>
      </c>
      <c r="AE27" s="399" t="n">
        <f aca="false">+AE26+AB27</f>
        <v>92997</v>
      </c>
      <c r="AF27" s="399" t="n">
        <f aca="false">+AF26+AC27</f>
        <v>92997</v>
      </c>
      <c r="AH27" s="399"/>
      <c r="AI27" s="399"/>
      <c r="AJ27" s="399" t="n">
        <f aca="false">+AI27-AH27</f>
        <v>0</v>
      </c>
      <c r="AK27" s="399" t="n">
        <f aca="false">+AK26+AH27</f>
        <v>0</v>
      </c>
      <c r="AL27" s="399" t="n">
        <f aca="false">+AL26+AI27</f>
        <v>0</v>
      </c>
    </row>
    <row r="28" customFormat="false" ht="12.75" hidden="false" customHeight="false" outlineLevel="0" collapsed="false">
      <c r="A28" s="406" t="n">
        <f aca="false">BaseloadMarkets!A28</f>
        <v>36700</v>
      </c>
      <c r="B28" s="21" t="n">
        <v>10000</v>
      </c>
      <c r="C28" s="399" t="n">
        <f aca="false">+Supplies!I28</f>
        <v>10000</v>
      </c>
      <c r="D28" s="399" t="n">
        <f aca="false">+C28-B28</f>
        <v>0</v>
      </c>
      <c r="E28" s="399" t="n">
        <f aca="false">+E27+B28</f>
        <v>230000</v>
      </c>
      <c r="F28" s="399" t="n">
        <f aca="false">+F27+C28</f>
        <v>230000</v>
      </c>
      <c r="G28" s="399" t="n">
        <f aca="false">+G27+D28</f>
        <v>0</v>
      </c>
      <c r="I28" s="21" t="n">
        <v>3333</v>
      </c>
      <c r="J28" s="399" t="n">
        <f aca="false">+Supplies!J28</f>
        <v>3333</v>
      </c>
      <c r="K28" s="399" t="n">
        <f aca="false">+J28-I28</f>
        <v>0</v>
      </c>
      <c r="L28" s="399" t="n">
        <f aca="false">+L27+I28</f>
        <v>76659</v>
      </c>
      <c r="M28" s="399" t="n">
        <f aca="false">+M27+J28</f>
        <v>76659</v>
      </c>
      <c r="N28" s="399" t="n">
        <f aca="false">+N27+K28</f>
        <v>0</v>
      </c>
      <c r="P28" s="21" t="n">
        <v>1333</v>
      </c>
      <c r="Q28" s="399" t="n">
        <f aca="false">+Supplies!K28</f>
        <v>1333</v>
      </c>
      <c r="R28" s="399" t="n">
        <f aca="false">+Q28-P28</f>
        <v>0</v>
      </c>
      <c r="S28" s="399" t="n">
        <f aca="false">+S27+P28</f>
        <v>30659</v>
      </c>
      <c r="T28" s="399" t="n">
        <f aca="false">+T27+Q28</f>
        <v>30659</v>
      </c>
      <c r="V28" s="399" t="n">
        <f aca="false">4666+16000</f>
        <v>20666</v>
      </c>
      <c r="W28" s="399" t="n">
        <f aca="false">+BaseloadMarkets!J28+BaseloadMarkets!M28</f>
        <v>20666</v>
      </c>
      <c r="X28" s="399" t="n">
        <f aca="false">+W28-V28</f>
        <v>0</v>
      </c>
      <c r="Y28" s="399" t="n">
        <f aca="false">+Y27+V28</f>
        <v>475318</v>
      </c>
      <c r="Z28" s="399" t="n">
        <f aca="false">+Z27+W28</f>
        <v>457133</v>
      </c>
      <c r="AB28" s="399" t="n">
        <v>10333</v>
      </c>
      <c r="AC28" s="399" t="n">
        <f aca="false">+Supplies!AN28</f>
        <v>10333</v>
      </c>
      <c r="AD28" s="399" t="n">
        <f aca="false">+AC28-AB28</f>
        <v>0</v>
      </c>
      <c r="AE28" s="399" t="n">
        <f aca="false">+AE27+AB28</f>
        <v>103330</v>
      </c>
      <c r="AF28" s="399" t="n">
        <f aca="false">+AF27+AC28</f>
        <v>103330</v>
      </c>
      <c r="AH28" s="399"/>
      <c r="AI28" s="399"/>
      <c r="AJ28" s="399" t="n">
        <f aca="false">+AI28-AH28</f>
        <v>0</v>
      </c>
      <c r="AK28" s="399" t="n">
        <f aca="false">+AK27+AH28</f>
        <v>0</v>
      </c>
      <c r="AL28" s="399" t="n">
        <f aca="false">+AL27+AI28</f>
        <v>0</v>
      </c>
    </row>
    <row r="29" customFormat="false" ht="12.75" hidden="false" customHeight="false" outlineLevel="0" collapsed="false">
      <c r="A29" s="406" t="n">
        <f aca="false">BaseloadMarkets!A29</f>
        <v>36701</v>
      </c>
      <c r="B29" s="21" t="n">
        <v>10000</v>
      </c>
      <c r="C29" s="399" t="n">
        <f aca="false">+Supplies!I29</f>
        <v>10000</v>
      </c>
      <c r="D29" s="399" t="n">
        <f aca="false">+C29-B29</f>
        <v>0</v>
      </c>
      <c r="E29" s="399" t="n">
        <f aca="false">+E28+B29</f>
        <v>240000</v>
      </c>
      <c r="F29" s="399" t="n">
        <f aca="false">+F28+C29</f>
        <v>240000</v>
      </c>
      <c r="G29" s="399" t="n">
        <f aca="false">+G28+D29</f>
        <v>0</v>
      </c>
      <c r="I29" s="21" t="n">
        <v>3333</v>
      </c>
      <c r="J29" s="399" t="n">
        <f aca="false">+Supplies!J29</f>
        <v>3333</v>
      </c>
      <c r="K29" s="399" t="n">
        <f aca="false">+J29-I29</f>
        <v>0</v>
      </c>
      <c r="L29" s="399" t="n">
        <f aca="false">+L28+I29</f>
        <v>79992</v>
      </c>
      <c r="M29" s="399" t="n">
        <f aca="false">+M28+J29</f>
        <v>79992</v>
      </c>
      <c r="N29" s="399" t="n">
        <f aca="false">+N28+K29</f>
        <v>0</v>
      </c>
      <c r="P29" s="21" t="n">
        <v>1333</v>
      </c>
      <c r="Q29" s="399" t="n">
        <f aca="false">+Supplies!K29</f>
        <v>1333</v>
      </c>
      <c r="R29" s="399" t="n">
        <f aca="false">+Q29-P29</f>
        <v>0</v>
      </c>
      <c r="S29" s="399" t="n">
        <f aca="false">+S28+P29</f>
        <v>31992</v>
      </c>
      <c r="T29" s="399" t="n">
        <f aca="false">+T28+Q29</f>
        <v>31992</v>
      </c>
      <c r="V29" s="399" t="n">
        <f aca="false">4666+16000</f>
        <v>20666</v>
      </c>
      <c r="W29" s="399" t="n">
        <f aca="false">+BaseloadMarkets!J29+BaseloadMarkets!M29</f>
        <v>23421</v>
      </c>
      <c r="X29" s="399" t="n">
        <f aca="false">+W29-V29</f>
        <v>2755</v>
      </c>
      <c r="Y29" s="399" t="n">
        <f aca="false">+Y28+V29</f>
        <v>495984</v>
      </c>
      <c r="Z29" s="399" t="n">
        <f aca="false">+Z28+W29</f>
        <v>480554</v>
      </c>
      <c r="AB29" s="399" t="n">
        <v>0</v>
      </c>
      <c r="AC29" s="399" t="n">
        <f aca="false">+Supplies!AN29</f>
        <v>0</v>
      </c>
      <c r="AD29" s="399" t="n">
        <f aca="false">+AC29-AB29</f>
        <v>0</v>
      </c>
      <c r="AE29" s="399" t="n">
        <f aca="false">+AE28+AB29</f>
        <v>103330</v>
      </c>
      <c r="AF29" s="399" t="n">
        <f aca="false">+AF28+AC29</f>
        <v>103330</v>
      </c>
      <c r="AH29" s="399"/>
      <c r="AI29" s="399"/>
      <c r="AJ29" s="399" t="n">
        <f aca="false">+AI29-AH29</f>
        <v>0</v>
      </c>
      <c r="AK29" s="399" t="n">
        <f aca="false">+AK28+AH29</f>
        <v>0</v>
      </c>
      <c r="AL29" s="399" t="n">
        <f aca="false">+AL28+AI29</f>
        <v>0</v>
      </c>
    </row>
    <row r="30" customFormat="false" ht="12.75" hidden="false" customHeight="false" outlineLevel="0" collapsed="false">
      <c r="A30" s="406" t="n">
        <f aca="false">BaseloadMarkets!A30</f>
        <v>36702</v>
      </c>
      <c r="B30" s="21" t="n">
        <v>10000</v>
      </c>
      <c r="C30" s="399" t="n">
        <f aca="false">+Supplies!I30</f>
        <v>10000</v>
      </c>
      <c r="D30" s="399" t="n">
        <f aca="false">+C30-B30</f>
        <v>0</v>
      </c>
      <c r="E30" s="399" t="n">
        <f aca="false">+E29+B30</f>
        <v>250000</v>
      </c>
      <c r="F30" s="399" t="n">
        <f aca="false">+F29+C30</f>
        <v>250000</v>
      </c>
      <c r="G30" s="399" t="n">
        <f aca="false">+G29+D30</f>
        <v>0</v>
      </c>
      <c r="I30" s="21" t="n">
        <v>3333</v>
      </c>
      <c r="J30" s="399" t="n">
        <f aca="false">+Supplies!J30</f>
        <v>3333</v>
      </c>
      <c r="K30" s="399" t="n">
        <f aca="false">+J30-I30</f>
        <v>0</v>
      </c>
      <c r="L30" s="399" t="n">
        <f aca="false">+L29+I30</f>
        <v>83325</v>
      </c>
      <c r="M30" s="399" t="n">
        <f aca="false">+M29+J30</f>
        <v>83325</v>
      </c>
      <c r="N30" s="399" t="n">
        <f aca="false">+N29+K30</f>
        <v>0</v>
      </c>
      <c r="P30" s="21" t="n">
        <v>1333</v>
      </c>
      <c r="Q30" s="399" t="n">
        <f aca="false">+Supplies!K30</f>
        <v>1333</v>
      </c>
      <c r="R30" s="399" t="n">
        <f aca="false">+Q30-P30</f>
        <v>0</v>
      </c>
      <c r="S30" s="399" t="n">
        <f aca="false">+S29+P30</f>
        <v>33325</v>
      </c>
      <c r="T30" s="399" t="n">
        <f aca="false">+T29+Q30</f>
        <v>33325</v>
      </c>
      <c r="V30" s="399" t="n">
        <f aca="false">4666+16000</f>
        <v>20666</v>
      </c>
      <c r="W30" s="399" t="n">
        <f aca="false">+BaseloadMarkets!J30+BaseloadMarkets!M30</f>
        <v>23421</v>
      </c>
      <c r="X30" s="399" t="n">
        <f aca="false">+W30-V30</f>
        <v>2755</v>
      </c>
      <c r="Y30" s="399" t="n">
        <f aca="false">+Y29+V30</f>
        <v>516650</v>
      </c>
      <c r="Z30" s="399" t="n">
        <f aca="false">+Z29+W30</f>
        <v>503975</v>
      </c>
      <c r="AB30" s="399" t="n">
        <v>0</v>
      </c>
      <c r="AC30" s="399" t="n">
        <f aca="false">+Supplies!AN30</f>
        <v>0</v>
      </c>
      <c r="AD30" s="399" t="n">
        <f aca="false">+AC30-AB30</f>
        <v>0</v>
      </c>
      <c r="AE30" s="399" t="n">
        <f aca="false">+AE29+AB30</f>
        <v>103330</v>
      </c>
      <c r="AF30" s="399" t="n">
        <f aca="false">+AF29+AC30</f>
        <v>103330</v>
      </c>
      <c r="AH30" s="399"/>
      <c r="AI30" s="399"/>
      <c r="AJ30" s="399" t="n">
        <f aca="false">+AI30-AH30</f>
        <v>0</v>
      </c>
      <c r="AK30" s="399" t="n">
        <f aca="false">+AK29+AH30</f>
        <v>0</v>
      </c>
      <c r="AL30" s="399" t="n">
        <f aca="false">+AL29+AI30</f>
        <v>0</v>
      </c>
    </row>
    <row r="31" customFormat="false" ht="12.75" hidden="false" customHeight="false" outlineLevel="0" collapsed="false">
      <c r="A31" s="406" t="n">
        <f aca="false">BaseloadMarkets!A31</f>
        <v>36703</v>
      </c>
      <c r="B31" s="21" t="n">
        <v>10000</v>
      </c>
      <c r="C31" s="399" t="n">
        <f aca="false">+Supplies!I31</f>
        <v>10000</v>
      </c>
      <c r="D31" s="399" t="n">
        <f aca="false">+C31-B31</f>
        <v>0</v>
      </c>
      <c r="E31" s="399" t="n">
        <f aca="false">+E30+B31</f>
        <v>260000</v>
      </c>
      <c r="F31" s="399" t="n">
        <f aca="false">+F30+C31</f>
        <v>260000</v>
      </c>
      <c r="G31" s="399" t="n">
        <f aca="false">+G30+D31</f>
        <v>0</v>
      </c>
      <c r="I31" s="21" t="n">
        <v>3333</v>
      </c>
      <c r="J31" s="399" t="n">
        <f aca="false">+Supplies!J31</f>
        <v>3333</v>
      </c>
      <c r="K31" s="399" t="n">
        <f aca="false">+J31-I31</f>
        <v>0</v>
      </c>
      <c r="L31" s="399" t="n">
        <f aca="false">+L30+I31</f>
        <v>86658</v>
      </c>
      <c r="M31" s="399" t="n">
        <f aca="false">+M30+J31</f>
        <v>86658</v>
      </c>
      <c r="N31" s="399" t="n">
        <f aca="false">+N30+K31</f>
        <v>0</v>
      </c>
      <c r="P31" s="21" t="n">
        <v>1333</v>
      </c>
      <c r="Q31" s="399" t="n">
        <f aca="false">+Supplies!K31</f>
        <v>1333</v>
      </c>
      <c r="R31" s="399" t="n">
        <f aca="false">+Q31-P31</f>
        <v>0</v>
      </c>
      <c r="S31" s="399" t="n">
        <f aca="false">+S30+P31</f>
        <v>34658</v>
      </c>
      <c r="T31" s="399" t="n">
        <f aca="false">+T30+Q31</f>
        <v>34658</v>
      </c>
      <c r="V31" s="399" t="n">
        <f aca="false">4666+16000</f>
        <v>20666</v>
      </c>
      <c r="W31" s="399" t="n">
        <f aca="false">+BaseloadMarkets!J31+BaseloadMarkets!M31</f>
        <v>23421</v>
      </c>
      <c r="X31" s="399" t="n">
        <f aca="false">+W31-V31</f>
        <v>2755</v>
      </c>
      <c r="Y31" s="399" t="n">
        <f aca="false">+Y30+V31</f>
        <v>537316</v>
      </c>
      <c r="Z31" s="399" t="n">
        <f aca="false">+Z30+W31</f>
        <v>527396</v>
      </c>
      <c r="AB31" s="399" t="n">
        <v>10333</v>
      </c>
      <c r="AC31" s="399" t="n">
        <f aca="false">+Supplies!AN31</f>
        <v>10333</v>
      </c>
      <c r="AD31" s="399" t="n">
        <f aca="false">+AC31-AB31</f>
        <v>0</v>
      </c>
      <c r="AE31" s="399" t="n">
        <f aca="false">+AE30+AB31</f>
        <v>113663</v>
      </c>
      <c r="AF31" s="399" t="n">
        <f aca="false">+AF30+AC31</f>
        <v>113663</v>
      </c>
      <c r="AH31" s="399"/>
      <c r="AI31" s="399"/>
      <c r="AJ31" s="399" t="n">
        <f aca="false">+AI31-AH31</f>
        <v>0</v>
      </c>
      <c r="AK31" s="399" t="n">
        <f aca="false">+AK30+AH31</f>
        <v>0</v>
      </c>
      <c r="AL31" s="399" t="n">
        <f aca="false">+AL30+AI31</f>
        <v>0</v>
      </c>
    </row>
    <row r="32" customFormat="false" ht="12.75" hidden="false" customHeight="false" outlineLevel="0" collapsed="false">
      <c r="A32" s="406" t="n">
        <f aca="false">BaseloadMarkets!A32</f>
        <v>36704</v>
      </c>
      <c r="B32" s="21" t="n">
        <v>10000</v>
      </c>
      <c r="C32" s="399" t="n">
        <f aca="false">+Supplies!I32</f>
        <v>10000</v>
      </c>
      <c r="D32" s="399" t="n">
        <f aca="false">+C32-B32</f>
        <v>0</v>
      </c>
      <c r="E32" s="399" t="n">
        <f aca="false">+E31+B32</f>
        <v>270000</v>
      </c>
      <c r="F32" s="399" t="n">
        <f aca="false">+F31+C32</f>
        <v>270000</v>
      </c>
      <c r="G32" s="399" t="n">
        <f aca="false">+G31+D32</f>
        <v>0</v>
      </c>
      <c r="I32" s="21" t="n">
        <v>3333</v>
      </c>
      <c r="J32" s="399" t="n">
        <f aca="false">+Supplies!J32</f>
        <v>3333</v>
      </c>
      <c r="K32" s="399" t="n">
        <f aca="false">+J32-I32</f>
        <v>0</v>
      </c>
      <c r="L32" s="399" t="n">
        <f aca="false">+L31+I32</f>
        <v>89991</v>
      </c>
      <c r="M32" s="399" t="n">
        <f aca="false">+M31+J32</f>
        <v>89991</v>
      </c>
      <c r="N32" s="399" t="n">
        <f aca="false">+N31+K32</f>
        <v>0</v>
      </c>
      <c r="P32" s="21" t="n">
        <v>1333</v>
      </c>
      <c r="Q32" s="399" t="n">
        <f aca="false">+Supplies!K32</f>
        <v>1333</v>
      </c>
      <c r="R32" s="399" t="n">
        <f aca="false">+Q32-P32</f>
        <v>0</v>
      </c>
      <c r="S32" s="399" t="n">
        <f aca="false">+S31+P32</f>
        <v>35991</v>
      </c>
      <c r="T32" s="399" t="n">
        <f aca="false">+T31+Q32</f>
        <v>35991</v>
      </c>
      <c r="V32" s="399" t="n">
        <f aca="false">4666+16000</f>
        <v>20666</v>
      </c>
      <c r="W32" s="399" t="n">
        <f aca="false">+BaseloadMarkets!J32+BaseloadMarkets!M32</f>
        <v>23421</v>
      </c>
      <c r="X32" s="399" t="n">
        <f aca="false">+W32-V32</f>
        <v>2755</v>
      </c>
      <c r="Y32" s="399" t="n">
        <f aca="false">+Y31+V32</f>
        <v>557982</v>
      </c>
      <c r="Z32" s="399" t="n">
        <f aca="false">+Z31+W32</f>
        <v>550817</v>
      </c>
      <c r="AB32" s="399" t="n">
        <v>10333</v>
      </c>
      <c r="AC32" s="399" t="n">
        <f aca="false">+Supplies!AN32</f>
        <v>10333</v>
      </c>
      <c r="AD32" s="399" t="n">
        <f aca="false">+AC32-AB32</f>
        <v>0</v>
      </c>
      <c r="AE32" s="399" t="n">
        <f aca="false">+AE31+AB32</f>
        <v>123996</v>
      </c>
      <c r="AF32" s="399" t="n">
        <f aca="false">+AF31+AC32</f>
        <v>123996</v>
      </c>
      <c r="AH32" s="399"/>
      <c r="AI32" s="399"/>
      <c r="AJ32" s="399" t="n">
        <f aca="false">+AI32-AH32</f>
        <v>0</v>
      </c>
      <c r="AK32" s="399" t="n">
        <f aca="false">+AK31+AH32</f>
        <v>0</v>
      </c>
      <c r="AL32" s="399" t="n">
        <f aca="false">+AL31+AI32</f>
        <v>0</v>
      </c>
    </row>
    <row r="33" customFormat="false" ht="12.75" hidden="false" customHeight="false" outlineLevel="0" collapsed="false">
      <c r="A33" s="406" t="n">
        <f aca="false">BaseloadMarkets!A33</f>
        <v>36705</v>
      </c>
      <c r="B33" s="21" t="n">
        <v>10000</v>
      </c>
      <c r="C33" s="399" t="n">
        <f aca="false">+Supplies!I33</f>
        <v>10000</v>
      </c>
      <c r="D33" s="399" t="n">
        <f aca="false">+C33-B33</f>
        <v>0</v>
      </c>
      <c r="E33" s="399" t="n">
        <f aca="false">+E32+B33</f>
        <v>280000</v>
      </c>
      <c r="F33" s="399" t="n">
        <f aca="false">+F32+C33</f>
        <v>280000</v>
      </c>
      <c r="G33" s="399" t="n">
        <f aca="false">+G32+D33</f>
        <v>0</v>
      </c>
      <c r="I33" s="21" t="n">
        <v>3333</v>
      </c>
      <c r="J33" s="399" t="n">
        <f aca="false">+Supplies!J33</f>
        <v>3333</v>
      </c>
      <c r="K33" s="399" t="n">
        <f aca="false">+J33-I33</f>
        <v>0</v>
      </c>
      <c r="L33" s="399" t="n">
        <f aca="false">+L32+I33</f>
        <v>93324</v>
      </c>
      <c r="M33" s="399" t="n">
        <f aca="false">+M32+J33</f>
        <v>93324</v>
      </c>
      <c r="N33" s="399" t="n">
        <f aca="false">+N32+K33</f>
        <v>0</v>
      </c>
      <c r="P33" s="21" t="n">
        <v>1333</v>
      </c>
      <c r="Q33" s="399" t="n">
        <f aca="false">+Supplies!K33</f>
        <v>1333</v>
      </c>
      <c r="R33" s="399" t="n">
        <f aca="false">+Q33-P33</f>
        <v>0</v>
      </c>
      <c r="S33" s="399" t="n">
        <f aca="false">+S32+P33</f>
        <v>37324</v>
      </c>
      <c r="T33" s="399" t="n">
        <f aca="false">+T32+Q33</f>
        <v>37324</v>
      </c>
      <c r="V33" s="399" t="n">
        <f aca="false">4666+16000</f>
        <v>20666</v>
      </c>
      <c r="W33" s="399" t="n">
        <f aca="false">+BaseloadMarkets!J33+BaseloadMarkets!M33</f>
        <v>23421</v>
      </c>
      <c r="X33" s="399" t="n">
        <f aca="false">+W33-V33</f>
        <v>2755</v>
      </c>
      <c r="Y33" s="399" t="n">
        <f aca="false">+Y32+V33</f>
        <v>578648</v>
      </c>
      <c r="Z33" s="399" t="n">
        <f aca="false">+Z32+W33</f>
        <v>574238</v>
      </c>
      <c r="AB33" s="399" t="n">
        <v>10333</v>
      </c>
      <c r="AC33" s="399" t="n">
        <f aca="false">+Supplies!AN33</f>
        <v>10333</v>
      </c>
      <c r="AD33" s="399" t="n">
        <f aca="false">+AC33-AB33</f>
        <v>0</v>
      </c>
      <c r="AE33" s="399" t="n">
        <f aca="false">+AE32+AB33</f>
        <v>134329</v>
      </c>
      <c r="AF33" s="399" t="n">
        <f aca="false">+AF32+AC33</f>
        <v>134329</v>
      </c>
      <c r="AH33" s="399"/>
      <c r="AI33" s="399"/>
      <c r="AJ33" s="399" t="n">
        <f aca="false">+AI33-AH33</f>
        <v>0</v>
      </c>
      <c r="AK33" s="399" t="n">
        <f aca="false">+AK32+AH33</f>
        <v>0</v>
      </c>
      <c r="AL33" s="399" t="n">
        <f aca="false">+AL32+AI33</f>
        <v>0</v>
      </c>
    </row>
    <row r="34" customFormat="false" ht="12.75" hidden="false" customHeight="false" outlineLevel="0" collapsed="false">
      <c r="A34" s="406" t="n">
        <f aca="false">BaseloadMarkets!A34</f>
        <v>36706</v>
      </c>
      <c r="B34" s="21" t="n">
        <v>10000</v>
      </c>
      <c r="C34" s="399" t="n">
        <f aca="false">+Supplies!I34</f>
        <v>10000</v>
      </c>
      <c r="D34" s="399" t="n">
        <f aca="false">+C34-B34</f>
        <v>0</v>
      </c>
      <c r="E34" s="399" t="n">
        <f aca="false">+E33+B34</f>
        <v>290000</v>
      </c>
      <c r="F34" s="399" t="n">
        <f aca="false">+F33+C34</f>
        <v>290000</v>
      </c>
      <c r="G34" s="399" t="n">
        <f aca="false">+G33+D34</f>
        <v>0</v>
      </c>
      <c r="I34" s="21" t="n">
        <v>3333</v>
      </c>
      <c r="J34" s="399" t="n">
        <f aca="false">+Supplies!J34</f>
        <v>3333</v>
      </c>
      <c r="K34" s="399" t="n">
        <f aca="false">+J34-I34</f>
        <v>0</v>
      </c>
      <c r="L34" s="399" t="n">
        <f aca="false">+L33+I34</f>
        <v>96657</v>
      </c>
      <c r="M34" s="399" t="n">
        <f aca="false">+M33+J34</f>
        <v>96657</v>
      </c>
      <c r="N34" s="399" t="n">
        <f aca="false">+N33+K34</f>
        <v>0</v>
      </c>
      <c r="P34" s="21" t="n">
        <v>1333</v>
      </c>
      <c r="Q34" s="399" t="n">
        <f aca="false">+Supplies!K34</f>
        <v>1333</v>
      </c>
      <c r="R34" s="399" t="n">
        <f aca="false">+Q34-P34</f>
        <v>0</v>
      </c>
      <c r="S34" s="399" t="n">
        <f aca="false">+S33+P34</f>
        <v>38657</v>
      </c>
      <c r="T34" s="399" t="n">
        <f aca="false">+T33+Q34</f>
        <v>38657</v>
      </c>
      <c r="V34" s="399" t="n">
        <f aca="false">4666+16000</f>
        <v>20666</v>
      </c>
      <c r="W34" s="399" t="n">
        <f aca="false">+BaseloadMarkets!J34+BaseloadMarkets!M34</f>
        <v>23421</v>
      </c>
      <c r="X34" s="399" t="n">
        <f aca="false">+W34-V34</f>
        <v>2755</v>
      </c>
      <c r="Y34" s="399" t="n">
        <f aca="false">+Y33+V34</f>
        <v>599314</v>
      </c>
      <c r="Z34" s="399" t="n">
        <f aca="false">+Z33+W34</f>
        <v>597659</v>
      </c>
      <c r="AB34" s="399" t="n">
        <v>10333</v>
      </c>
      <c r="AC34" s="399" t="n">
        <f aca="false">+Supplies!AN34</f>
        <v>10333</v>
      </c>
      <c r="AD34" s="399" t="n">
        <f aca="false">+AC34-AB34</f>
        <v>0</v>
      </c>
      <c r="AE34" s="399" t="n">
        <f aca="false">+AE33+AB34</f>
        <v>144662</v>
      </c>
      <c r="AF34" s="399" t="n">
        <f aca="false">+AF33+AC34</f>
        <v>144662</v>
      </c>
      <c r="AH34" s="399"/>
      <c r="AI34" s="399"/>
      <c r="AJ34" s="399" t="n">
        <f aca="false">+AI34-AH34</f>
        <v>0</v>
      </c>
      <c r="AK34" s="399" t="n">
        <f aca="false">+AK33+AH34</f>
        <v>0</v>
      </c>
      <c r="AL34" s="399" t="n">
        <f aca="false">+AL33+AI34</f>
        <v>0</v>
      </c>
    </row>
    <row r="35" customFormat="false" ht="12.75" hidden="false" customHeight="false" outlineLevel="0" collapsed="false">
      <c r="A35" s="406" t="n">
        <f aca="false">BaseloadMarkets!A35</f>
        <v>36707</v>
      </c>
      <c r="B35" s="21" t="n">
        <v>10000</v>
      </c>
      <c r="C35" s="399" t="n">
        <f aca="false">+Supplies!I35</f>
        <v>10000</v>
      </c>
      <c r="D35" s="399" t="n">
        <f aca="false">+C35-B35</f>
        <v>0</v>
      </c>
      <c r="E35" s="399" t="n">
        <f aca="false">+E34+B35</f>
        <v>300000</v>
      </c>
      <c r="F35" s="399" t="n">
        <f aca="false">+F34+C35</f>
        <v>300000</v>
      </c>
      <c r="G35" s="399" t="n">
        <f aca="false">+G34+D35</f>
        <v>0</v>
      </c>
      <c r="I35" s="21" t="n">
        <v>3333</v>
      </c>
      <c r="J35" s="399" t="n">
        <f aca="false">+Supplies!J35</f>
        <v>3333</v>
      </c>
      <c r="K35" s="399" t="n">
        <f aca="false">+J35-I35</f>
        <v>0</v>
      </c>
      <c r="L35" s="399" t="n">
        <f aca="false">+L34+I35</f>
        <v>99990</v>
      </c>
      <c r="M35" s="399" t="n">
        <f aca="false">+M34+J35</f>
        <v>99990</v>
      </c>
      <c r="N35" s="399" t="n">
        <f aca="false">+N34+K35</f>
        <v>0</v>
      </c>
      <c r="P35" s="21" t="n">
        <v>1333</v>
      </c>
      <c r="Q35" s="399" t="n">
        <f aca="false">+Supplies!K35</f>
        <v>1333</v>
      </c>
      <c r="R35" s="399" t="n">
        <f aca="false">+Q35-P35</f>
        <v>0</v>
      </c>
      <c r="S35" s="399" t="n">
        <f aca="false">+S34+P35</f>
        <v>39990</v>
      </c>
      <c r="T35" s="399" t="n">
        <f aca="false">+T34+Q35</f>
        <v>39990</v>
      </c>
      <c r="V35" s="399" t="n">
        <f aca="false">4666+16000</f>
        <v>20666</v>
      </c>
      <c r="W35" s="399" t="n">
        <f aca="false">+BaseloadMarkets!J35+BaseloadMarkets!M35</f>
        <v>23421</v>
      </c>
      <c r="X35" s="399" t="n">
        <f aca="false">+W35-V35</f>
        <v>2755</v>
      </c>
      <c r="Y35" s="399" t="n">
        <f aca="false">+Y34+V35</f>
        <v>619980</v>
      </c>
      <c r="Z35" s="399" t="n">
        <f aca="false">+Z34+W35</f>
        <v>621080</v>
      </c>
      <c r="AB35" s="399" t="n">
        <v>10338</v>
      </c>
      <c r="AC35" s="399" t="n">
        <f aca="false">+Supplies!AN35</f>
        <v>10338</v>
      </c>
      <c r="AD35" s="399" t="n">
        <f aca="false">+AC35-AB35</f>
        <v>0</v>
      </c>
      <c r="AE35" s="399" t="n">
        <f aca="false">+AE34+AB35</f>
        <v>155000</v>
      </c>
      <c r="AF35" s="399" t="n">
        <f aca="false">+AF34+AC35</f>
        <v>155000</v>
      </c>
      <c r="AH35" s="399"/>
      <c r="AI35" s="399"/>
      <c r="AJ35" s="399" t="n">
        <f aca="false">+AI35-AH35</f>
        <v>0</v>
      </c>
      <c r="AK35" s="399" t="n">
        <f aca="false">+AK34+AH35</f>
        <v>0</v>
      </c>
      <c r="AL35" s="399" t="n">
        <f aca="false">+AL34+AI35</f>
        <v>0</v>
      </c>
    </row>
    <row r="36" customFormat="false" ht="13.5" hidden="false" customHeight="false" outlineLevel="0" collapsed="false">
      <c r="A36" s="406"/>
      <c r="B36" s="21"/>
      <c r="C36" s="399"/>
      <c r="D36" s="399"/>
      <c r="E36" s="399"/>
      <c r="F36" s="399"/>
      <c r="G36" s="399"/>
      <c r="I36" s="21"/>
      <c r="J36" s="399"/>
      <c r="K36" s="399"/>
      <c r="L36" s="399"/>
      <c r="M36" s="399"/>
      <c r="N36" s="399"/>
      <c r="P36" s="21"/>
      <c r="Q36" s="399"/>
      <c r="R36" s="399"/>
      <c r="S36" s="399"/>
      <c r="T36" s="399"/>
      <c r="V36" s="399"/>
      <c r="W36" s="399"/>
      <c r="X36" s="399"/>
      <c r="Y36" s="399"/>
      <c r="Z36" s="399"/>
      <c r="AB36" s="399"/>
      <c r="AC36" s="399"/>
      <c r="AD36" s="399"/>
      <c r="AE36" s="399"/>
      <c r="AF36" s="399"/>
      <c r="AH36" s="399"/>
      <c r="AI36" s="399"/>
      <c r="AJ36" s="399"/>
      <c r="AK36" s="399"/>
      <c r="AL36" s="399"/>
    </row>
    <row r="37" customFormat="false" ht="13.5" hidden="false" customHeight="false" outlineLevel="0" collapsed="false">
      <c r="A37" s="406" t="str">
        <f aca="false">BaseloadMarkets!A37</f>
        <v>Totals</v>
      </c>
      <c r="B37" s="407" t="n">
        <f aca="false">SUM(B6:B36)</f>
        <v>300000</v>
      </c>
      <c r="C37" s="407" t="n">
        <f aca="false">SUM(C6:C36)</f>
        <v>300000</v>
      </c>
      <c r="D37" s="407" t="n">
        <f aca="false">SUM(D6:D36)</f>
        <v>0</v>
      </c>
      <c r="E37" s="408"/>
      <c r="F37" s="399"/>
      <c r="G37" s="408"/>
      <c r="I37" s="407" t="n">
        <f aca="false">SUM(I6:I36)</f>
        <v>99990</v>
      </c>
      <c r="J37" s="407" t="n">
        <f aca="false">SUM(J6:J36)</f>
        <v>99990</v>
      </c>
      <c r="K37" s="407" t="n">
        <f aca="false">SUM(K6:K36)</f>
        <v>0</v>
      </c>
      <c r="L37" s="408"/>
      <c r="M37" s="399"/>
      <c r="N37" s="408"/>
      <c r="P37" s="407" t="n">
        <f aca="false">SUM(P6:P36)</f>
        <v>39990</v>
      </c>
      <c r="Q37" s="407" t="n">
        <f aca="false">SUM(Q6:Q36)</f>
        <v>39990</v>
      </c>
      <c r="R37" s="407" t="n">
        <f aca="false">SUM(R6:R36)</f>
        <v>0</v>
      </c>
      <c r="V37" s="407" t="n">
        <f aca="false">SUM(V6:V36)</f>
        <v>619980</v>
      </c>
      <c r="W37" s="407" t="n">
        <f aca="false">SUM(W6:W36)</f>
        <v>621080</v>
      </c>
      <c r="X37" s="407" t="n">
        <f aca="false">SUM(X6:X36)</f>
        <v>1100</v>
      </c>
      <c r="AB37" s="407" t="n">
        <f aca="false">SUM(AB6:AB36)</f>
        <v>155000</v>
      </c>
      <c r="AC37" s="407" t="n">
        <f aca="false">SUM(AC6:AC36)</f>
        <v>155000</v>
      </c>
      <c r="AD37" s="407" t="n">
        <f aca="false">SUM(AD6:AD36)</f>
        <v>0</v>
      </c>
      <c r="AH37" s="407" t="n">
        <f aca="false">SUM(AH6:AH36)</f>
        <v>0</v>
      </c>
      <c r="AI37" s="407" t="n">
        <f aca="false">SUM(AI6:AI36)</f>
        <v>0</v>
      </c>
      <c r="AJ37" s="407" t="n">
        <f aca="false">SUM(AJ6:AJ36)</f>
        <v>0</v>
      </c>
    </row>
    <row r="38" customFormat="false" ht="12.75" hidden="false" customHeight="false" outlineLevel="0" collapsed="false">
      <c r="B38" s="30"/>
      <c r="I38" s="30"/>
      <c r="P38" s="30"/>
    </row>
    <row r="39" customFormat="false" ht="12.75" hidden="false" customHeight="false" outlineLevel="0" collapsed="false">
      <c r="B39" s="36"/>
      <c r="H39" s="29"/>
      <c r="I39" s="36"/>
      <c r="O39" s="29"/>
      <c r="P39" s="36"/>
      <c r="U39" s="29"/>
      <c r="AA39" s="29"/>
      <c r="AG39" s="29"/>
    </row>
    <row r="40" customFormat="false" ht="12.75" hidden="false" customHeight="false" outlineLevel="0" collapsed="false">
      <c r="A40" s="409" t="n">
        <v>1</v>
      </c>
      <c r="B40" s="410" t="n">
        <f aca="false">+A40+1</f>
        <v>2</v>
      </c>
      <c r="C40" s="410" t="n">
        <f aca="false">+B40+1</f>
        <v>3</v>
      </c>
      <c r="D40" s="410" t="n">
        <f aca="false">+C40+1</f>
        <v>4</v>
      </c>
      <c r="E40" s="410" t="n">
        <f aca="false">+D40+1</f>
        <v>5</v>
      </c>
      <c r="F40" s="410" t="n">
        <f aca="false">+E40+1</f>
        <v>6</v>
      </c>
      <c r="G40" s="410" t="n">
        <f aca="false">+F40+1</f>
        <v>7</v>
      </c>
      <c r="H40" s="410" t="n">
        <f aca="false">+G40+1</f>
        <v>8</v>
      </c>
      <c r="I40" s="410" t="n">
        <f aca="false">+H40+1</f>
        <v>9</v>
      </c>
      <c r="J40" s="410" t="n">
        <f aca="false">+I40+1</f>
        <v>10</v>
      </c>
      <c r="K40" s="410" t="n">
        <f aca="false">+J40+1</f>
        <v>11</v>
      </c>
      <c r="L40" s="410" t="n">
        <f aca="false">+K40+1</f>
        <v>12</v>
      </c>
      <c r="M40" s="410" t="n">
        <f aca="false">+L40+1</f>
        <v>13</v>
      </c>
      <c r="N40" s="410" t="n">
        <f aca="false">+M40+1</f>
        <v>14</v>
      </c>
      <c r="O40" s="410" t="n">
        <f aca="false">+N40+1</f>
        <v>15</v>
      </c>
      <c r="P40" s="410" t="n">
        <f aca="false">+O40+1</f>
        <v>16</v>
      </c>
      <c r="Q40" s="410" t="n">
        <f aca="false">+P40+1</f>
        <v>17</v>
      </c>
      <c r="R40" s="410" t="n">
        <f aca="false">+Q40+1</f>
        <v>18</v>
      </c>
      <c r="S40" s="410" t="n">
        <f aca="false">+R40+1</f>
        <v>19</v>
      </c>
      <c r="T40" s="410" t="n">
        <f aca="false">+S40+1</f>
        <v>20</v>
      </c>
      <c r="U40" s="410" t="n">
        <f aca="false">+T40+1</f>
        <v>21</v>
      </c>
      <c r="V40" s="410" t="n">
        <f aca="false">+U40+1</f>
        <v>22</v>
      </c>
      <c r="W40" s="410" t="n">
        <f aca="false">+V40+1</f>
        <v>23</v>
      </c>
      <c r="X40" s="410" t="n">
        <f aca="false">+W40+1</f>
        <v>24</v>
      </c>
      <c r="Y40" s="410" t="n">
        <f aca="false">+X40+1</f>
        <v>25</v>
      </c>
      <c r="Z40" s="410" t="n">
        <f aca="false">+Y40+1</f>
        <v>26</v>
      </c>
      <c r="AA40" s="410" t="n">
        <f aca="false">+Z40+1</f>
        <v>27</v>
      </c>
      <c r="AB40" s="410" t="n">
        <f aca="false">+AA40+1</f>
        <v>28</v>
      </c>
      <c r="AC40" s="410" t="n">
        <f aca="false">+AB40+1</f>
        <v>29</v>
      </c>
      <c r="AD40" s="410" t="n">
        <f aca="false">+AC40+1</f>
        <v>30</v>
      </c>
      <c r="AE40" s="410" t="n">
        <f aca="false">+AD40+1</f>
        <v>31</v>
      </c>
      <c r="AF40" s="410" t="n">
        <f aca="false">+AE40+1</f>
        <v>32</v>
      </c>
      <c r="AG40" s="410" t="n">
        <f aca="false">+AF40+1</f>
        <v>33</v>
      </c>
      <c r="AH40" s="410" t="n">
        <f aca="false">+AG40+1</f>
        <v>34</v>
      </c>
      <c r="AI40" s="410" t="n">
        <f aca="false">+AH40+1</f>
        <v>35</v>
      </c>
      <c r="AJ40" s="410" t="n">
        <f aca="false">+AI40+1</f>
        <v>36</v>
      </c>
      <c r="AK40" s="410" t="n">
        <f aca="false">+AJ40+1</f>
        <v>37</v>
      </c>
      <c r="AL40" s="410" t="n">
        <f aca="false">+AK40+1</f>
        <v>38</v>
      </c>
      <c r="AM40" s="410" t="n">
        <f aca="false">+AL40+1</f>
        <v>39</v>
      </c>
      <c r="AN40" s="410" t="n">
        <f aca="false">+AM40+1</f>
        <v>40</v>
      </c>
      <c r="AO40" s="410" t="n">
        <f aca="false">+AN40+1</f>
        <v>41</v>
      </c>
      <c r="AP40" s="410" t="n">
        <f aca="false">+AO40+1</f>
        <v>42</v>
      </c>
      <c r="AQ40" s="410" t="n">
        <f aca="false">+AP40+1</f>
        <v>43</v>
      </c>
      <c r="AR40" s="410" t="n">
        <f aca="false">+AQ40+1</f>
        <v>44</v>
      </c>
      <c r="AS40" s="410" t="n">
        <f aca="false">+AR40+1</f>
        <v>45</v>
      </c>
      <c r="AT40" s="410" t="n">
        <f aca="false">+AS40+1</f>
        <v>46</v>
      </c>
      <c r="AU40" s="410" t="n">
        <f aca="false">+AT40+1</f>
        <v>47</v>
      </c>
      <c r="AV40" s="410" t="n">
        <f aca="false">+AU40+1</f>
        <v>48</v>
      </c>
      <c r="AW40" s="410" t="n">
        <f aca="false">+AV40+1</f>
        <v>49</v>
      </c>
      <c r="AX40" s="410" t="n">
        <f aca="false">+AW40+1</f>
        <v>50</v>
      </c>
      <c r="AY40" s="410" t="n">
        <f aca="false">+AX40+1</f>
        <v>51</v>
      </c>
      <c r="AZ40" s="410" t="n">
        <f aca="false">+AY40+1</f>
        <v>52</v>
      </c>
      <c r="BA40" s="410" t="n">
        <f aca="false">+AZ40+1</f>
        <v>53</v>
      </c>
      <c r="BB40" s="410" t="n">
        <f aca="false">+BA40+1</f>
        <v>54</v>
      </c>
      <c r="BC40" s="410" t="n">
        <f aca="false">+BB40+1</f>
        <v>55</v>
      </c>
      <c r="BD40" s="410" t="n">
        <f aca="false">+BC40+1</f>
        <v>56</v>
      </c>
      <c r="BE40" s="410" t="n">
        <f aca="false">+BD40+1</f>
        <v>57</v>
      </c>
      <c r="BF40" s="410" t="n">
        <f aca="false">+BE40+1</f>
        <v>58</v>
      </c>
      <c r="BG40" s="410" t="n">
        <f aca="false">+BF40+1</f>
        <v>59</v>
      </c>
      <c r="BH40" s="410" t="n">
        <f aca="false">+BG40+1</f>
        <v>60</v>
      </c>
      <c r="BI40" s="410" t="n">
        <f aca="false">+BH40+1</f>
        <v>61</v>
      </c>
      <c r="BJ40" s="410" t="n">
        <f aca="false">+BI40+1</f>
        <v>62</v>
      </c>
      <c r="BK40" s="410" t="n">
        <f aca="false">+BJ40+1</f>
        <v>63</v>
      </c>
      <c r="BL40" s="410" t="n">
        <f aca="false">+BK40+1</f>
        <v>64</v>
      </c>
      <c r="BM40" s="410" t="n">
        <f aca="false">+BL40+1</f>
        <v>65</v>
      </c>
      <c r="BN40" s="410" t="n">
        <f aca="false">+BM40+1</f>
        <v>66</v>
      </c>
      <c r="BO40" s="410" t="n">
        <f aca="false">+BN40+1</f>
        <v>67</v>
      </c>
      <c r="BP40" s="410" t="n">
        <f aca="false">+BO40+1</f>
        <v>68</v>
      </c>
      <c r="BQ40" s="410" t="n">
        <f aca="false">+BP40+1</f>
        <v>69</v>
      </c>
      <c r="BR40" s="410" t="n">
        <f aca="false">+BQ40+1</f>
        <v>70</v>
      </c>
      <c r="BS40" s="410" t="n">
        <f aca="false">+BR40+1</f>
        <v>71</v>
      </c>
      <c r="BT40" s="410" t="n">
        <f aca="false">+BS40+1</f>
        <v>72</v>
      </c>
      <c r="BU40" s="410" t="n">
        <f aca="false">+BT40+1</f>
        <v>73</v>
      </c>
      <c r="BV40" s="410" t="n">
        <f aca="false">+BU40+1</f>
        <v>74</v>
      </c>
      <c r="BW40" s="410" t="n">
        <f aca="false">+BV40+1</f>
        <v>75</v>
      </c>
      <c r="BX40" s="410" t="n">
        <f aca="false">+BW40+1</f>
        <v>76</v>
      </c>
      <c r="BY40" s="410" t="n">
        <f aca="false">+BX40+1</f>
        <v>77</v>
      </c>
      <c r="BZ40" s="410" t="n">
        <f aca="false">+BY40+1</f>
        <v>78</v>
      </c>
      <c r="CA40" s="410" t="n">
        <f aca="false">+BZ40+1</f>
        <v>79</v>
      </c>
      <c r="CB40" s="410" t="n">
        <f aca="false">+CA40+1</f>
        <v>80</v>
      </c>
      <c r="CC40" s="410" t="n">
        <f aca="false">+CB40+1</f>
        <v>81</v>
      </c>
      <c r="CD40" s="410" t="n">
        <f aca="false">+CC40+1</f>
        <v>82</v>
      </c>
      <c r="CE40" s="410" t="n">
        <f aca="false">+CD40+1</f>
        <v>83</v>
      </c>
      <c r="CF40" s="410" t="n">
        <f aca="false">+CE40+1</f>
        <v>84</v>
      </c>
      <c r="CG40" s="410" t="n">
        <f aca="false">+CF40+1</f>
        <v>85</v>
      </c>
      <c r="CH40" s="410" t="n">
        <f aca="false">+CG40+1</f>
        <v>86</v>
      </c>
      <c r="CI40" s="410" t="n">
        <f aca="false">+CH40+1</f>
        <v>87</v>
      </c>
      <c r="CJ40" s="410" t="n">
        <f aca="false">+CI40+1</f>
        <v>88</v>
      </c>
      <c r="CK40" s="410" t="n">
        <f aca="false">+CJ40+1</f>
        <v>89</v>
      </c>
      <c r="CL40" s="410" t="n">
        <f aca="false">+CK40+1</f>
        <v>90</v>
      </c>
      <c r="CM40" s="410" t="n">
        <f aca="false">+CL40+1</f>
        <v>91</v>
      </c>
      <c r="CN40" s="410" t="n">
        <f aca="false">+CM40+1</f>
        <v>92</v>
      </c>
      <c r="CO40" s="410" t="n">
        <f aca="false">+CN40+1</f>
        <v>93</v>
      </c>
      <c r="CP40" s="410" t="n">
        <f aca="false">+CO40+1</f>
        <v>94</v>
      </c>
      <c r="CQ40" s="410" t="n">
        <f aca="false">+CP40+1</f>
        <v>95</v>
      </c>
      <c r="CR40" s="410" t="n">
        <f aca="false">+CQ40+1</f>
        <v>96</v>
      </c>
      <c r="CS40" s="410" t="n">
        <f aca="false">+CR40+1</f>
        <v>97</v>
      </c>
      <c r="CT40" s="410" t="n">
        <f aca="false">+CS40+1</f>
        <v>98</v>
      </c>
      <c r="CU40" s="410" t="n">
        <f aca="false">+CT40+1</f>
        <v>99</v>
      </c>
      <c r="CV40" s="410" t="n">
        <f aca="false">+CU40+1</f>
        <v>100</v>
      </c>
      <c r="CW40" s="410" t="n">
        <f aca="false">+CV40+1</f>
        <v>101</v>
      </c>
      <c r="CX40" s="410" t="n">
        <f aca="false">+CW40+1</f>
        <v>102</v>
      </c>
      <c r="CY40" s="410" t="n">
        <f aca="false">+CX40+1</f>
        <v>103</v>
      </c>
      <c r="CZ40" s="410" t="n">
        <f aca="false">+CY40+1</f>
        <v>104</v>
      </c>
      <c r="DA40" s="410" t="n">
        <f aca="false">+CZ40+1</f>
        <v>105</v>
      </c>
      <c r="DB40" s="410" t="n">
        <f aca="false">+DA40+1</f>
        <v>106</v>
      </c>
      <c r="DC40" s="410" t="n">
        <f aca="false">+DB40+1</f>
        <v>107</v>
      </c>
      <c r="DD40" s="410" t="n">
        <f aca="false">+DC40+1</f>
        <v>108</v>
      </c>
      <c r="DE40" s="410" t="n">
        <f aca="false">+DD40+1</f>
        <v>109</v>
      </c>
      <c r="DF40" s="410" t="n">
        <f aca="false">+DE40+1</f>
        <v>110</v>
      </c>
      <c r="DG40" s="410" t="n">
        <f aca="false">+DF40+1</f>
        <v>111</v>
      </c>
      <c r="DH40" s="410" t="n">
        <f aca="false">+DG40+1</f>
        <v>112</v>
      </c>
      <c r="DI40" s="410" t="n">
        <f aca="false">+DH40+1</f>
        <v>113</v>
      </c>
      <c r="DJ40" s="410" t="n">
        <f aca="false">+DI40+1</f>
        <v>114</v>
      </c>
      <c r="DK40" s="410" t="n">
        <f aca="false">+DJ40+1</f>
        <v>115</v>
      </c>
      <c r="DL40" s="410" t="n">
        <f aca="false">+DK40+1</f>
        <v>116</v>
      </c>
      <c r="DM40" s="410" t="n">
        <f aca="false">+DL40+1</f>
        <v>117</v>
      </c>
      <c r="DN40" s="410" t="n">
        <f aca="false">+DM40+1</f>
        <v>118</v>
      </c>
      <c r="DO40" s="410" t="n">
        <f aca="false">+DN40+1</f>
        <v>119</v>
      </c>
      <c r="DP40" s="410" t="n">
        <f aca="false">+DO40+1</f>
        <v>120</v>
      </c>
      <c r="DQ40" s="410" t="n">
        <f aca="false">+DP40+1</f>
        <v>121</v>
      </c>
      <c r="DR40" s="409"/>
      <c r="DS40" s="409"/>
      <c r="DT40" s="409"/>
      <c r="DU40" s="409"/>
      <c r="DV40" s="409"/>
      <c r="DW40" s="409"/>
      <c r="DX40" s="409"/>
      <c r="DY40" s="409"/>
      <c r="DZ40" s="409"/>
      <c r="EA40" s="409"/>
      <c r="EB40" s="409"/>
      <c r="EC40" s="409"/>
      <c r="ED40" s="409"/>
      <c r="EE40" s="409"/>
      <c r="EF40" s="409"/>
      <c r="EG40" s="409"/>
      <c r="EH40" s="409"/>
      <c r="EI40" s="409"/>
      <c r="EJ40" s="409"/>
      <c r="EK40" s="409"/>
      <c r="EL40" s="409"/>
      <c r="EM40" s="409"/>
      <c r="EN40" s="409"/>
      <c r="EO40" s="409"/>
      <c r="EP40" s="409"/>
      <c r="EQ40" s="409"/>
      <c r="ER40" s="409"/>
      <c r="ES40" s="409"/>
      <c r="ET40" s="409"/>
      <c r="EU40" s="409"/>
      <c r="EV40" s="409"/>
      <c r="EW40" s="409"/>
      <c r="EX40" s="409"/>
      <c r="EY40" s="409"/>
      <c r="EZ40" s="409"/>
      <c r="FA40" s="409"/>
      <c r="FB40" s="409"/>
      <c r="FC40" s="409"/>
      <c r="FD40" s="409"/>
      <c r="FE40" s="409"/>
      <c r="FF40" s="409"/>
      <c r="FG40" s="409"/>
      <c r="FH40" s="409"/>
      <c r="FI40" s="409"/>
      <c r="FJ40" s="409"/>
      <c r="FK40" s="409"/>
      <c r="FL40" s="409"/>
      <c r="FM40" s="409"/>
      <c r="FN40" s="409"/>
      <c r="FO40" s="409"/>
      <c r="FP40" s="409"/>
      <c r="FQ40" s="409"/>
      <c r="FR40" s="409"/>
      <c r="FS40" s="409"/>
      <c r="FT40" s="409"/>
      <c r="FU40" s="409"/>
      <c r="FV40" s="409"/>
      <c r="FW40" s="409"/>
      <c r="FX40" s="409"/>
      <c r="FY40" s="409"/>
      <c r="FZ40" s="409"/>
      <c r="GA40" s="409"/>
      <c r="GB40" s="409"/>
      <c r="GC40" s="409"/>
      <c r="GD40" s="409"/>
      <c r="GE40" s="409"/>
      <c r="GF40" s="409"/>
      <c r="GG40" s="409"/>
      <c r="GH40" s="409"/>
      <c r="GI40" s="409"/>
      <c r="GJ40" s="409"/>
      <c r="GK40" s="409"/>
      <c r="GL40" s="409"/>
      <c r="GM40" s="409"/>
      <c r="GN40" s="409"/>
      <c r="GO40" s="409"/>
      <c r="GP40" s="409"/>
      <c r="GQ40" s="409"/>
      <c r="GR40" s="409"/>
      <c r="GS40" s="409"/>
      <c r="GT40" s="409"/>
      <c r="GU40" s="409"/>
      <c r="GV40" s="409"/>
      <c r="GW40" s="409"/>
      <c r="GX40" s="409"/>
      <c r="GY40" s="409"/>
      <c r="GZ40" s="409"/>
      <c r="HA40" s="409"/>
      <c r="HB40" s="409"/>
      <c r="HC40" s="409"/>
      <c r="HD40" s="409"/>
      <c r="HE40" s="409"/>
      <c r="HF40" s="409"/>
      <c r="HG40" s="409"/>
      <c r="HH40" s="409"/>
      <c r="HI40" s="409"/>
      <c r="HJ40" s="409"/>
      <c r="HK40" s="409"/>
      <c r="HL40" s="409"/>
      <c r="HM40" s="409"/>
      <c r="HN40" s="409"/>
      <c r="HO40" s="409"/>
      <c r="HP40" s="409"/>
      <c r="HQ40" s="409"/>
      <c r="HR40" s="409"/>
      <c r="HS40" s="409"/>
      <c r="HT40" s="409"/>
      <c r="HU40" s="409"/>
      <c r="HV40" s="409"/>
      <c r="HW40" s="409"/>
      <c r="HX40" s="409"/>
      <c r="HY40" s="409"/>
      <c r="HZ40" s="409"/>
      <c r="IA40" s="409"/>
      <c r="IB40" s="409"/>
      <c r="IC40" s="409"/>
      <c r="ID40" s="409"/>
      <c r="IE40" s="409"/>
      <c r="IF40" s="409"/>
      <c r="IG40" s="409"/>
      <c r="IH40" s="409"/>
      <c r="II40" s="409"/>
      <c r="IJ40" s="409"/>
      <c r="IK40" s="409"/>
      <c r="IL40" s="409"/>
      <c r="IM40" s="409"/>
      <c r="IN40" s="409"/>
      <c r="IO40" s="409"/>
      <c r="IP40" s="409"/>
      <c r="IQ40" s="409"/>
      <c r="IR40" s="409"/>
      <c r="IS40" s="409"/>
      <c r="IT40" s="409"/>
      <c r="IU40" s="409"/>
      <c r="IV40" s="409"/>
      <c r="IW40" s="409"/>
    </row>
    <row r="41" customFormat="false" ht="12.75" hidden="false" customHeight="fals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</row>
    <row r="42" customFormat="false" ht="12.75" hidden="false" customHeight="false" outlineLevel="0" collapsed="false">
      <c r="B42" s="30"/>
      <c r="I42" s="30"/>
      <c r="P42" s="30"/>
    </row>
    <row r="43" customFormat="false" ht="12.75" hidden="false" customHeight="false" outlineLevel="0" collapsed="false">
      <c r="B43" s="30"/>
      <c r="I43" s="30"/>
      <c r="P43" s="30"/>
    </row>
    <row r="44" customFormat="false" ht="12.75" hidden="false" customHeight="false" outlineLevel="0" collapsed="false">
      <c r="B44" s="30"/>
      <c r="I44" s="30"/>
      <c r="P44" s="30"/>
    </row>
    <row r="45" customFormat="false" ht="12.75" hidden="false" customHeight="false" outlineLevel="0" collapsed="false">
      <c r="B45" s="30"/>
      <c r="I45" s="30"/>
      <c r="P45" s="30"/>
    </row>
    <row r="46" customFormat="false" ht="12.75" hidden="false" customHeight="false" outlineLevel="0" collapsed="false">
      <c r="B46" s="30"/>
      <c r="I46" s="30"/>
      <c r="P46" s="30"/>
    </row>
    <row r="47" customFormat="false" ht="12.75" hidden="false" customHeight="false" outlineLevel="0" collapsed="false">
      <c r="B47" s="30"/>
      <c r="I47" s="30"/>
      <c r="P47" s="30"/>
    </row>
    <row r="48" customFormat="false" ht="12.75" hidden="false" customHeight="false" outlineLevel="0" collapsed="false">
      <c r="B48" s="30"/>
      <c r="I48" s="30"/>
      <c r="P48" s="30"/>
    </row>
    <row r="49" customFormat="false" ht="12.75" hidden="false" customHeight="false" outlineLevel="0" collapsed="false">
      <c r="B49" s="30"/>
      <c r="I49" s="30"/>
      <c r="P49" s="30"/>
    </row>
    <row r="50" customFormat="false" ht="12.75" hidden="false" customHeight="false" outlineLevel="0" collapsed="false">
      <c r="B50" s="30"/>
      <c r="I50" s="30"/>
      <c r="P50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6.65"/>
    <col collapsed="false" customWidth="true" hidden="false" outlineLevel="0" max="2" min="2" style="29" width="16.49"/>
    <col collapsed="false" customWidth="true" hidden="false" outlineLevel="0" max="3" min="3" style="29" width="11.65"/>
    <col collapsed="false" customWidth="true" hidden="false" outlineLevel="0" max="4" min="4" style="29" width="14.49"/>
    <col collapsed="false" customWidth="true" hidden="false" outlineLevel="0" max="5" min="5" style="29" width="16.49"/>
    <col collapsed="false" customWidth="true" hidden="false" outlineLevel="0" max="6" min="6" style="29" width="17.82"/>
    <col collapsed="false" customWidth="true" hidden="false" outlineLevel="0" max="7" min="7" style="29" width="14.49"/>
    <col collapsed="false" customWidth="false" hidden="false" outlineLevel="0" max="257" min="8" style="29" width="9.32"/>
  </cols>
  <sheetData>
    <row r="1" customFormat="false" ht="15.75" hidden="false" customHeight="false" outlineLevel="0" collapsed="false">
      <c r="A1" s="106" t="s">
        <v>316</v>
      </c>
      <c r="B1" s="403" t="s">
        <v>317</v>
      </c>
      <c r="C1" s="388" t="n">
        <v>107872</v>
      </c>
    </row>
    <row r="2" customFormat="false" ht="12.75" hidden="false" customHeight="false" outlineLevel="0" collapsed="false">
      <c r="A2" s="153" t="n">
        <f aca="false">+BaseloadMarkets!B1</f>
        <v>36678</v>
      </c>
    </row>
    <row r="4" customFormat="false" ht="12.75" hidden="false" customHeight="false" outlineLevel="0" collapsed="false">
      <c r="B4" s="388" t="s">
        <v>318</v>
      </c>
      <c r="C4" s="388" t="s">
        <v>156</v>
      </c>
      <c r="D4" s="388" t="s">
        <v>83</v>
      </c>
      <c r="E4" s="388" t="s">
        <v>210</v>
      </c>
      <c r="F4" s="388" t="s">
        <v>210</v>
      </c>
      <c r="G4" s="388" t="s">
        <v>84</v>
      </c>
    </row>
    <row r="5" customFormat="false" ht="12.75" hidden="false" customHeight="false" outlineLevel="0" collapsed="false">
      <c r="B5" s="388" t="s">
        <v>319</v>
      </c>
      <c r="C5" s="388" t="s">
        <v>319</v>
      </c>
      <c r="D5" s="388" t="s">
        <v>204</v>
      </c>
      <c r="E5" s="388" t="s">
        <v>313</v>
      </c>
      <c r="F5" s="388" t="s">
        <v>156</v>
      </c>
      <c r="G5" s="388" t="s">
        <v>306</v>
      </c>
    </row>
    <row r="6" customFormat="false" ht="12.75" hidden="false" customHeight="false" outlineLevel="0" collapsed="false">
      <c r="A6" s="406" t="n">
        <f aca="false">BaseloadMarkets!A6</f>
        <v>36678</v>
      </c>
      <c r="B6" s="399" t="n">
        <v>20000</v>
      </c>
      <c r="C6" s="399" t="n">
        <f aca="false">+Supplies!D6</f>
        <v>30000</v>
      </c>
      <c r="D6" s="399" t="n">
        <f aca="false">+C6-B6</f>
        <v>10000</v>
      </c>
      <c r="E6" s="399" t="n">
        <f aca="false">+B6</f>
        <v>20000</v>
      </c>
      <c r="F6" s="399" t="n">
        <f aca="false">+C6</f>
        <v>30000</v>
      </c>
      <c r="G6" s="399" t="n">
        <f aca="false">+D6</f>
        <v>10000</v>
      </c>
    </row>
    <row r="7" customFormat="false" ht="12.75" hidden="false" customHeight="false" outlineLevel="0" collapsed="false">
      <c r="A7" s="406" t="n">
        <f aca="false">BaseloadMarkets!A7</f>
        <v>36679</v>
      </c>
      <c r="B7" s="399" t="n">
        <v>20000</v>
      </c>
      <c r="C7" s="399" t="n">
        <f aca="false">+Supplies!D7</f>
        <v>30000</v>
      </c>
      <c r="D7" s="399" t="n">
        <f aca="false">+C7-B7</f>
        <v>10000</v>
      </c>
      <c r="E7" s="399" t="n">
        <f aca="false">+E6+B7</f>
        <v>40000</v>
      </c>
      <c r="F7" s="399" t="n">
        <f aca="false">+F6+C7</f>
        <v>60000</v>
      </c>
      <c r="G7" s="399" t="n">
        <f aca="false">+G6+D7</f>
        <v>20000</v>
      </c>
    </row>
    <row r="8" customFormat="false" ht="12.75" hidden="false" customHeight="false" outlineLevel="0" collapsed="false">
      <c r="A8" s="406" t="n">
        <f aca="false">BaseloadMarkets!A8</f>
        <v>36680</v>
      </c>
      <c r="B8" s="399" t="n">
        <v>20000</v>
      </c>
      <c r="C8" s="399" t="n">
        <f aca="false">+Supplies!D8</f>
        <v>0</v>
      </c>
      <c r="D8" s="399" t="n">
        <f aca="false">+C8-B8</f>
        <v>-20000</v>
      </c>
      <c r="E8" s="399" t="n">
        <f aca="false">+E7+B8</f>
        <v>60000</v>
      </c>
      <c r="F8" s="399" t="n">
        <f aca="false">+F7+C8</f>
        <v>60000</v>
      </c>
      <c r="G8" s="399" t="n">
        <f aca="false">+G7+D8</f>
        <v>0</v>
      </c>
    </row>
    <row r="9" customFormat="false" ht="12.75" hidden="false" customHeight="false" outlineLevel="0" collapsed="false">
      <c r="A9" s="406" t="n">
        <f aca="false">BaseloadMarkets!A9</f>
        <v>36681</v>
      </c>
      <c r="B9" s="399" t="n">
        <v>20000</v>
      </c>
      <c r="C9" s="399" t="n">
        <f aca="false">+Supplies!D9</f>
        <v>0</v>
      </c>
      <c r="D9" s="399" t="n">
        <f aca="false">+C9-B9</f>
        <v>-20000</v>
      </c>
      <c r="E9" s="399" t="n">
        <f aca="false">+E8+B9</f>
        <v>80000</v>
      </c>
      <c r="F9" s="399" t="n">
        <f aca="false">+F8+C9</f>
        <v>60000</v>
      </c>
      <c r="G9" s="399" t="n">
        <f aca="false">+G8+D9</f>
        <v>-20000</v>
      </c>
    </row>
    <row r="10" customFormat="false" ht="12.75" hidden="false" customHeight="false" outlineLevel="0" collapsed="false">
      <c r="A10" s="406" t="n">
        <f aca="false">BaseloadMarkets!A10</f>
        <v>36682</v>
      </c>
      <c r="B10" s="399" t="n">
        <v>20000</v>
      </c>
      <c r="C10" s="399" t="n">
        <f aca="false">+Supplies!D10</f>
        <v>30000</v>
      </c>
      <c r="D10" s="399" t="n">
        <f aca="false">+C10-B10</f>
        <v>10000</v>
      </c>
      <c r="E10" s="399" t="n">
        <f aca="false">+E9+B10</f>
        <v>100000</v>
      </c>
      <c r="F10" s="399" t="n">
        <f aca="false">+F9+C10</f>
        <v>90000</v>
      </c>
      <c r="G10" s="399" t="n">
        <f aca="false">+G9+D10</f>
        <v>-10000</v>
      </c>
    </row>
    <row r="11" customFormat="false" ht="12.75" hidden="false" customHeight="false" outlineLevel="0" collapsed="false">
      <c r="A11" s="406" t="n">
        <f aca="false">BaseloadMarkets!A11</f>
        <v>36683</v>
      </c>
      <c r="B11" s="399" t="n">
        <v>20000</v>
      </c>
      <c r="C11" s="399" t="n">
        <f aca="false">+Supplies!D11</f>
        <v>30000</v>
      </c>
      <c r="D11" s="399" t="n">
        <f aca="false">+C11-B11</f>
        <v>10000</v>
      </c>
      <c r="E11" s="399" t="n">
        <f aca="false">+E10+B11</f>
        <v>120000</v>
      </c>
      <c r="F11" s="399" t="n">
        <f aca="false">+F10+C11</f>
        <v>120000</v>
      </c>
      <c r="G11" s="399" t="n">
        <f aca="false">+G10+D11</f>
        <v>0</v>
      </c>
    </row>
    <row r="12" customFormat="false" ht="12.75" hidden="false" customHeight="false" outlineLevel="0" collapsed="false">
      <c r="A12" s="406" t="n">
        <f aca="false">BaseloadMarkets!A12</f>
        <v>36684</v>
      </c>
      <c r="B12" s="399" t="n">
        <v>20000</v>
      </c>
      <c r="C12" s="399" t="n">
        <f aca="false">+Supplies!D12</f>
        <v>10000</v>
      </c>
      <c r="D12" s="399" t="n">
        <f aca="false">+C12-B12</f>
        <v>-10000</v>
      </c>
      <c r="E12" s="399" t="n">
        <f aca="false">+E11+B12</f>
        <v>140000</v>
      </c>
      <c r="F12" s="399" t="n">
        <f aca="false">+F11+C12</f>
        <v>130000</v>
      </c>
      <c r="G12" s="399" t="n">
        <f aca="false">+G11+D12</f>
        <v>-10000</v>
      </c>
    </row>
    <row r="13" customFormat="false" ht="12.75" hidden="false" customHeight="false" outlineLevel="0" collapsed="false">
      <c r="A13" s="406" t="n">
        <f aca="false">BaseloadMarkets!A13</f>
        <v>36685</v>
      </c>
      <c r="B13" s="399" t="n">
        <v>20000</v>
      </c>
      <c r="C13" s="399" t="n">
        <f aca="false">+Supplies!D13</f>
        <v>30000</v>
      </c>
      <c r="D13" s="399" t="n">
        <f aca="false">+C13-B13</f>
        <v>10000</v>
      </c>
      <c r="E13" s="399" t="n">
        <f aca="false">+E12+B13</f>
        <v>160000</v>
      </c>
      <c r="F13" s="399" t="n">
        <f aca="false">+F12+C13</f>
        <v>160000</v>
      </c>
      <c r="G13" s="399" t="n">
        <f aca="false">+G12+D13</f>
        <v>0</v>
      </c>
    </row>
    <row r="14" customFormat="false" ht="12.75" hidden="false" customHeight="false" outlineLevel="0" collapsed="false">
      <c r="A14" s="406" t="n">
        <f aca="false">BaseloadMarkets!A14</f>
        <v>36686</v>
      </c>
      <c r="B14" s="399" t="n">
        <v>20000</v>
      </c>
      <c r="C14" s="399" t="n">
        <f aca="false">+Supplies!D14</f>
        <v>30000</v>
      </c>
      <c r="D14" s="399" t="n">
        <f aca="false">+C14-B14</f>
        <v>10000</v>
      </c>
      <c r="E14" s="399" t="n">
        <f aca="false">+E13+B14</f>
        <v>180000</v>
      </c>
      <c r="F14" s="399" t="n">
        <f aca="false">+F13+C14</f>
        <v>190000</v>
      </c>
      <c r="G14" s="399" t="n">
        <f aca="false">+G13+D14</f>
        <v>10000</v>
      </c>
    </row>
    <row r="15" customFormat="false" ht="12.75" hidden="false" customHeight="false" outlineLevel="0" collapsed="false">
      <c r="A15" s="406" t="n">
        <f aca="false">BaseloadMarkets!A15</f>
        <v>36687</v>
      </c>
      <c r="B15" s="399" t="n">
        <v>20000</v>
      </c>
      <c r="C15" s="399" t="n">
        <f aca="false">+Supplies!D15</f>
        <v>0</v>
      </c>
      <c r="D15" s="399" t="n">
        <f aca="false">+C15-B15</f>
        <v>-20000</v>
      </c>
      <c r="E15" s="399" t="n">
        <f aca="false">+E14+B15</f>
        <v>200000</v>
      </c>
      <c r="F15" s="399" t="n">
        <f aca="false">+F14+C15</f>
        <v>190000</v>
      </c>
      <c r="G15" s="399" t="n">
        <f aca="false">+G14+D15</f>
        <v>-10000</v>
      </c>
    </row>
    <row r="16" customFormat="false" ht="12.75" hidden="false" customHeight="false" outlineLevel="0" collapsed="false">
      <c r="A16" s="406" t="n">
        <f aca="false">BaseloadMarkets!A16</f>
        <v>36688</v>
      </c>
      <c r="B16" s="399" t="n">
        <v>20000</v>
      </c>
      <c r="C16" s="399" t="n">
        <f aca="false">+Supplies!D16</f>
        <v>0</v>
      </c>
      <c r="D16" s="399" t="n">
        <f aca="false">+C16-B16</f>
        <v>-20000</v>
      </c>
      <c r="E16" s="399" t="n">
        <f aca="false">+E15+B16</f>
        <v>220000</v>
      </c>
      <c r="F16" s="399" t="n">
        <f aca="false">+F15+C16</f>
        <v>190000</v>
      </c>
      <c r="G16" s="399" t="n">
        <f aca="false">+G15+D16</f>
        <v>-30000</v>
      </c>
    </row>
    <row r="17" customFormat="false" ht="12.75" hidden="false" customHeight="false" outlineLevel="0" collapsed="false">
      <c r="A17" s="406" t="n">
        <f aca="false">BaseloadMarkets!A17</f>
        <v>36689</v>
      </c>
      <c r="B17" s="399" t="n">
        <v>20000</v>
      </c>
      <c r="C17" s="399" t="n">
        <f aca="false">+Supplies!D17</f>
        <v>30000</v>
      </c>
      <c r="D17" s="399" t="n">
        <f aca="false">+C17-B17</f>
        <v>10000</v>
      </c>
      <c r="E17" s="399" t="n">
        <f aca="false">+E16+B17</f>
        <v>240000</v>
      </c>
      <c r="F17" s="399" t="n">
        <f aca="false">+F16+C17</f>
        <v>220000</v>
      </c>
      <c r="G17" s="399" t="n">
        <f aca="false">+G16+D17</f>
        <v>-20000</v>
      </c>
    </row>
    <row r="18" customFormat="false" ht="12.75" hidden="false" customHeight="false" outlineLevel="0" collapsed="false">
      <c r="A18" s="406" t="n">
        <f aca="false">BaseloadMarkets!A18</f>
        <v>36690</v>
      </c>
      <c r="B18" s="399" t="n">
        <v>20000</v>
      </c>
      <c r="C18" s="399" t="n">
        <f aca="false">+Supplies!D18</f>
        <v>30000</v>
      </c>
      <c r="D18" s="399" t="n">
        <f aca="false">+C18-B18</f>
        <v>10000</v>
      </c>
      <c r="E18" s="399" t="n">
        <f aca="false">+E17+B18</f>
        <v>260000</v>
      </c>
      <c r="F18" s="399" t="n">
        <f aca="false">+F17+C18</f>
        <v>250000</v>
      </c>
      <c r="G18" s="399" t="n">
        <f aca="false">+G17+D18</f>
        <v>-10000</v>
      </c>
    </row>
    <row r="19" customFormat="false" ht="12.75" hidden="false" customHeight="false" outlineLevel="0" collapsed="false">
      <c r="A19" s="406" t="n">
        <f aca="false">BaseloadMarkets!A19</f>
        <v>36691</v>
      </c>
      <c r="B19" s="399" t="n">
        <v>20000</v>
      </c>
      <c r="C19" s="399" t="n">
        <f aca="false">+Supplies!D19</f>
        <v>30000</v>
      </c>
      <c r="D19" s="399" t="n">
        <f aca="false">+C19-B19</f>
        <v>10000</v>
      </c>
      <c r="E19" s="399" t="n">
        <f aca="false">+E18+B19</f>
        <v>280000</v>
      </c>
      <c r="F19" s="399" t="n">
        <f aca="false">+F18+C19</f>
        <v>280000</v>
      </c>
      <c r="G19" s="399" t="n">
        <f aca="false">+G18+D19</f>
        <v>0</v>
      </c>
    </row>
    <row r="20" customFormat="false" ht="12.75" hidden="false" customHeight="false" outlineLevel="0" collapsed="false">
      <c r="A20" s="406" t="n">
        <f aca="false">BaseloadMarkets!A20</f>
        <v>36692</v>
      </c>
      <c r="B20" s="399" t="n">
        <v>20000</v>
      </c>
      <c r="C20" s="399" t="n">
        <f aca="false">+Supplies!D20</f>
        <v>30000</v>
      </c>
      <c r="D20" s="399" t="n">
        <f aca="false">+C20-B20</f>
        <v>10000</v>
      </c>
      <c r="E20" s="399" t="n">
        <f aca="false">+E19+B20</f>
        <v>300000</v>
      </c>
      <c r="F20" s="399" t="n">
        <f aca="false">+F19+C20</f>
        <v>310000</v>
      </c>
      <c r="G20" s="399" t="n">
        <f aca="false">+G19+D20</f>
        <v>10000</v>
      </c>
    </row>
    <row r="21" customFormat="false" ht="12.75" hidden="false" customHeight="false" outlineLevel="0" collapsed="false">
      <c r="A21" s="406" t="n">
        <f aca="false">BaseloadMarkets!A21</f>
        <v>36693</v>
      </c>
      <c r="B21" s="399" t="n">
        <v>20000</v>
      </c>
      <c r="C21" s="399" t="n">
        <f aca="false">+Supplies!D21</f>
        <v>30000</v>
      </c>
      <c r="D21" s="399" t="n">
        <f aca="false">+C21-B21</f>
        <v>10000</v>
      </c>
      <c r="E21" s="399" t="n">
        <f aca="false">+E20+B21</f>
        <v>320000</v>
      </c>
      <c r="F21" s="399" t="n">
        <f aca="false">+F20+C21</f>
        <v>340000</v>
      </c>
      <c r="G21" s="399" t="n">
        <f aca="false">+G20+D21</f>
        <v>20000</v>
      </c>
    </row>
    <row r="22" customFormat="false" ht="12.75" hidden="false" customHeight="false" outlineLevel="0" collapsed="false">
      <c r="A22" s="406" t="n">
        <f aca="false">BaseloadMarkets!A22</f>
        <v>36694</v>
      </c>
      <c r="B22" s="399" t="n">
        <v>20000</v>
      </c>
      <c r="C22" s="399" t="n">
        <f aca="false">+Supplies!D22</f>
        <v>0</v>
      </c>
      <c r="D22" s="399" t="n">
        <f aca="false">+C22-B22</f>
        <v>-20000</v>
      </c>
      <c r="E22" s="399" t="n">
        <f aca="false">+E21+B22</f>
        <v>340000</v>
      </c>
      <c r="F22" s="399" t="n">
        <f aca="false">+F21+C22</f>
        <v>340000</v>
      </c>
      <c r="G22" s="399" t="n">
        <f aca="false">+G21+D22</f>
        <v>0</v>
      </c>
    </row>
    <row r="23" customFormat="false" ht="12.75" hidden="false" customHeight="false" outlineLevel="0" collapsed="false">
      <c r="A23" s="406" t="n">
        <f aca="false">BaseloadMarkets!A23</f>
        <v>36695</v>
      </c>
      <c r="B23" s="399" t="n">
        <v>20000</v>
      </c>
      <c r="C23" s="399" t="n">
        <f aca="false">+Supplies!D23</f>
        <v>0</v>
      </c>
      <c r="D23" s="399" t="n">
        <f aca="false">+C23-B23</f>
        <v>-20000</v>
      </c>
      <c r="E23" s="399" t="n">
        <f aca="false">+E22+B23</f>
        <v>360000</v>
      </c>
      <c r="F23" s="399" t="n">
        <f aca="false">+F22+C23</f>
        <v>340000</v>
      </c>
      <c r="G23" s="399" t="n">
        <f aca="false">+G22+D23</f>
        <v>-20000</v>
      </c>
    </row>
    <row r="24" customFormat="false" ht="12.75" hidden="false" customHeight="false" outlineLevel="0" collapsed="false">
      <c r="A24" s="406" t="n">
        <f aca="false">BaseloadMarkets!A24</f>
        <v>36696</v>
      </c>
      <c r="B24" s="399" t="n">
        <v>20000</v>
      </c>
      <c r="C24" s="399" t="n">
        <f aca="false">+Supplies!D24</f>
        <v>30000</v>
      </c>
      <c r="D24" s="399" t="n">
        <f aca="false">+C24-B24</f>
        <v>10000</v>
      </c>
      <c r="E24" s="399" t="n">
        <f aca="false">+E23+B24</f>
        <v>380000</v>
      </c>
      <c r="F24" s="399" t="n">
        <f aca="false">+F23+C24</f>
        <v>370000</v>
      </c>
      <c r="G24" s="399" t="n">
        <f aca="false">+G23+D24</f>
        <v>-10000</v>
      </c>
    </row>
    <row r="25" customFormat="false" ht="12.75" hidden="false" customHeight="false" outlineLevel="0" collapsed="false">
      <c r="A25" s="406" t="n">
        <f aca="false">BaseloadMarkets!A25</f>
        <v>36697</v>
      </c>
      <c r="B25" s="399" t="n">
        <v>20000</v>
      </c>
      <c r="C25" s="399" t="n">
        <f aca="false">+Supplies!D25</f>
        <v>30000</v>
      </c>
      <c r="D25" s="399" t="n">
        <f aca="false">+C25-B25</f>
        <v>10000</v>
      </c>
      <c r="E25" s="399" t="n">
        <f aca="false">+E24+B25</f>
        <v>400000</v>
      </c>
      <c r="F25" s="399" t="n">
        <f aca="false">+F24+C25</f>
        <v>400000</v>
      </c>
      <c r="G25" s="399" t="n">
        <f aca="false">+G24+D25</f>
        <v>0</v>
      </c>
    </row>
    <row r="26" customFormat="false" ht="12.75" hidden="false" customHeight="false" outlineLevel="0" collapsed="false">
      <c r="A26" s="406" t="n">
        <f aca="false">BaseloadMarkets!A26</f>
        <v>36698</v>
      </c>
      <c r="B26" s="399" t="n">
        <v>20000</v>
      </c>
      <c r="C26" s="399" t="n">
        <f aca="false">+Supplies!D26</f>
        <v>30000</v>
      </c>
      <c r="D26" s="399" t="n">
        <f aca="false">+C26-B26</f>
        <v>10000</v>
      </c>
      <c r="E26" s="399" t="n">
        <f aca="false">+E25+B26</f>
        <v>420000</v>
      </c>
      <c r="F26" s="399" t="n">
        <f aca="false">+F25+C26</f>
        <v>430000</v>
      </c>
      <c r="G26" s="399" t="n">
        <f aca="false">+G25+D26</f>
        <v>10000</v>
      </c>
    </row>
    <row r="27" customFormat="false" ht="12.75" hidden="false" customHeight="false" outlineLevel="0" collapsed="false">
      <c r="A27" s="406" t="n">
        <f aca="false">BaseloadMarkets!A27</f>
        <v>36699</v>
      </c>
      <c r="B27" s="399" t="n">
        <v>20000</v>
      </c>
      <c r="C27" s="399" t="n">
        <f aca="false">+Supplies!D27</f>
        <v>30000</v>
      </c>
      <c r="D27" s="399" t="n">
        <f aca="false">+C27-B27</f>
        <v>10000</v>
      </c>
      <c r="E27" s="399" t="n">
        <f aca="false">+E26+B27</f>
        <v>440000</v>
      </c>
      <c r="F27" s="399" t="n">
        <f aca="false">+F26+C27</f>
        <v>460000</v>
      </c>
      <c r="G27" s="399" t="n">
        <f aca="false">+G26+D27</f>
        <v>20000</v>
      </c>
    </row>
    <row r="28" customFormat="false" ht="12.75" hidden="false" customHeight="false" outlineLevel="0" collapsed="false">
      <c r="A28" s="406" t="n">
        <f aca="false">BaseloadMarkets!A28</f>
        <v>36700</v>
      </c>
      <c r="B28" s="399" t="n">
        <v>20000</v>
      </c>
      <c r="C28" s="399" t="n">
        <f aca="false">+Supplies!D28</f>
        <v>38000</v>
      </c>
      <c r="D28" s="399" t="n">
        <f aca="false">+C28-B28</f>
        <v>18000</v>
      </c>
      <c r="E28" s="399" t="n">
        <f aca="false">+E27+B28</f>
        <v>460000</v>
      </c>
      <c r="F28" s="399" t="n">
        <f aca="false">+F27+C28</f>
        <v>498000</v>
      </c>
      <c r="G28" s="399" t="n">
        <f aca="false">+G27+D28</f>
        <v>38000</v>
      </c>
    </row>
    <row r="29" customFormat="false" ht="12.75" hidden="false" customHeight="false" outlineLevel="0" collapsed="false">
      <c r="A29" s="406" t="n">
        <f aca="false">BaseloadMarkets!A29</f>
        <v>36701</v>
      </c>
      <c r="B29" s="399" t="n">
        <v>20000</v>
      </c>
      <c r="C29" s="399" t="n">
        <f aca="false">+Supplies!D29</f>
        <v>0</v>
      </c>
      <c r="D29" s="399" t="n">
        <f aca="false">+C29-B29</f>
        <v>-20000</v>
      </c>
      <c r="E29" s="399" t="n">
        <f aca="false">+E28+B29</f>
        <v>480000</v>
      </c>
      <c r="F29" s="399" t="n">
        <f aca="false">+F28+C29</f>
        <v>498000</v>
      </c>
      <c r="G29" s="399" t="n">
        <f aca="false">+G28+D29</f>
        <v>18000</v>
      </c>
    </row>
    <row r="30" customFormat="false" ht="12.75" hidden="false" customHeight="false" outlineLevel="0" collapsed="false">
      <c r="A30" s="406" t="n">
        <f aca="false">BaseloadMarkets!A30</f>
        <v>36702</v>
      </c>
      <c r="B30" s="399" t="n">
        <v>20000</v>
      </c>
      <c r="C30" s="399" t="n">
        <f aca="false">+Supplies!D30</f>
        <v>0</v>
      </c>
      <c r="D30" s="399" t="n">
        <f aca="false">+C30-B30</f>
        <v>-20000</v>
      </c>
      <c r="E30" s="399" t="n">
        <f aca="false">+E29+B30</f>
        <v>500000</v>
      </c>
      <c r="F30" s="399" t="n">
        <f aca="false">+F29+C30</f>
        <v>498000</v>
      </c>
      <c r="G30" s="399" t="n">
        <f aca="false">+G29+D30</f>
        <v>-2000</v>
      </c>
    </row>
    <row r="31" customFormat="false" ht="12.75" hidden="false" customHeight="false" outlineLevel="0" collapsed="false">
      <c r="A31" s="406" t="n">
        <f aca="false">BaseloadMarkets!A31</f>
        <v>36703</v>
      </c>
      <c r="B31" s="399" t="n">
        <v>20000</v>
      </c>
      <c r="C31" s="399" t="n">
        <f aca="false">+Supplies!D31</f>
        <v>30000</v>
      </c>
      <c r="D31" s="399" t="n">
        <f aca="false">+C31-B31</f>
        <v>10000</v>
      </c>
      <c r="E31" s="399" t="n">
        <f aca="false">+E30+B31</f>
        <v>520000</v>
      </c>
      <c r="F31" s="399" t="n">
        <f aca="false">+F30+C31</f>
        <v>528000</v>
      </c>
      <c r="G31" s="399" t="n">
        <f aca="false">+G30+D31</f>
        <v>8000</v>
      </c>
    </row>
    <row r="32" customFormat="false" ht="12.75" hidden="false" customHeight="false" outlineLevel="0" collapsed="false">
      <c r="A32" s="406" t="n">
        <f aca="false">BaseloadMarkets!A32</f>
        <v>36704</v>
      </c>
      <c r="B32" s="399" t="n">
        <v>20000</v>
      </c>
      <c r="C32" s="399" t="n">
        <f aca="false">+Supplies!D32</f>
        <v>30000</v>
      </c>
      <c r="D32" s="399" t="n">
        <f aca="false">+C32-B32</f>
        <v>10000</v>
      </c>
      <c r="E32" s="399" t="n">
        <f aca="false">+E31+B32</f>
        <v>540000</v>
      </c>
      <c r="F32" s="399" t="n">
        <f aca="false">+F31+C32</f>
        <v>558000</v>
      </c>
      <c r="G32" s="399" t="n">
        <f aca="false">+G31+D32</f>
        <v>18000</v>
      </c>
    </row>
    <row r="33" customFormat="false" ht="12.75" hidden="false" customHeight="false" outlineLevel="0" collapsed="false">
      <c r="A33" s="406" t="n">
        <f aca="false">BaseloadMarkets!A33</f>
        <v>36705</v>
      </c>
      <c r="B33" s="399" t="n">
        <v>20000</v>
      </c>
      <c r="C33" s="399" t="n">
        <f aca="false">+Supplies!D33</f>
        <v>30000</v>
      </c>
      <c r="D33" s="399" t="n">
        <f aca="false">+C33-B33</f>
        <v>10000</v>
      </c>
      <c r="E33" s="399" t="n">
        <f aca="false">+E32+B33</f>
        <v>560000</v>
      </c>
      <c r="F33" s="399" t="n">
        <f aca="false">+F32+C33</f>
        <v>588000</v>
      </c>
      <c r="G33" s="399" t="n">
        <f aca="false">+G32+D33</f>
        <v>28000</v>
      </c>
    </row>
    <row r="34" customFormat="false" ht="12.75" hidden="false" customHeight="false" outlineLevel="0" collapsed="false">
      <c r="A34" s="406" t="n">
        <f aca="false">BaseloadMarkets!A34</f>
        <v>36706</v>
      </c>
      <c r="B34" s="399" t="n">
        <v>20000</v>
      </c>
      <c r="C34" s="399" t="n">
        <f aca="false">+Supplies!D34</f>
        <v>12000</v>
      </c>
      <c r="D34" s="399" t="n">
        <f aca="false">+C34-B34</f>
        <v>-8000</v>
      </c>
      <c r="E34" s="399" t="n">
        <f aca="false">+E33+B34</f>
        <v>580000</v>
      </c>
      <c r="F34" s="399" t="n">
        <f aca="false">+F33+C34</f>
        <v>600000</v>
      </c>
      <c r="G34" s="399" t="n">
        <f aca="false">+G33+D34</f>
        <v>20000</v>
      </c>
    </row>
    <row r="35" customFormat="false" ht="12.75" hidden="false" customHeight="false" outlineLevel="0" collapsed="false">
      <c r="A35" s="406" t="n">
        <f aca="false">BaseloadMarkets!A35</f>
        <v>36707</v>
      </c>
      <c r="B35" s="399" t="n">
        <v>20000</v>
      </c>
      <c r="C35" s="399" t="n">
        <f aca="false">+Supplies!D35</f>
        <v>0</v>
      </c>
      <c r="D35" s="399" t="n">
        <f aca="false">+C35-B35</f>
        <v>-20000</v>
      </c>
      <c r="E35" s="399" t="n">
        <f aca="false">+E34+B35</f>
        <v>600000</v>
      </c>
      <c r="F35" s="399" t="n">
        <f aca="false">+F34+C35</f>
        <v>600000</v>
      </c>
      <c r="G35" s="399" t="n">
        <f aca="false">+G34+D35</f>
        <v>0</v>
      </c>
    </row>
    <row r="36" customFormat="false" ht="13.5" hidden="false" customHeight="false" outlineLevel="0" collapsed="false">
      <c r="A36" s="406"/>
      <c r="B36" s="399"/>
      <c r="C36" s="399"/>
      <c r="D36" s="399"/>
      <c r="E36" s="399"/>
      <c r="F36" s="399"/>
      <c r="G36" s="399"/>
    </row>
    <row r="37" customFormat="false" ht="13.5" hidden="false" customHeight="false" outlineLevel="0" collapsed="false">
      <c r="A37" s="406" t="str">
        <f aca="false">BaseloadMarkets!A37</f>
        <v>Totals</v>
      </c>
      <c r="B37" s="407" t="n">
        <f aca="false">SUM(B6:B36)</f>
        <v>600000</v>
      </c>
      <c r="C37" s="407" t="n">
        <f aca="false">SUM(C6:C36)</f>
        <v>600000</v>
      </c>
      <c r="D37" s="407" t="n">
        <f aca="false">SUM(D6:D36)</f>
        <v>0</v>
      </c>
      <c r="E37" s="408"/>
      <c r="F37" s="399"/>
      <c r="G37" s="4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AF6" activePane="bottomRight" state="frozen"/>
      <selection pane="topLeft" activeCell="A1" activeCellId="0" sqref="A1"/>
      <selection pane="topRight" activeCell="AF1" activeCellId="0" sqref="AF1"/>
      <selection pane="bottomLeft" activeCell="A6" activeCellId="0" sqref="A6"/>
      <selection pane="bottomRight" activeCell="AM14" activeCellId="0" sqref="AM14"/>
    </sheetView>
  </sheetViews>
  <sheetFormatPr defaultColWidth="12.82421875" defaultRowHeight="12.75" customHeight="true" zeroHeight="false" outlineLevelRow="0" outlineLevelCol="0"/>
  <cols>
    <col collapsed="false" customWidth="false" hidden="false" outlineLevel="0" max="1" min="1" style="29" width="12.82"/>
    <col collapsed="false" customWidth="false" hidden="false" outlineLevel="0" max="2" min="2" style="399" width="12.82"/>
    <col collapsed="false" customWidth="true" hidden="false" outlineLevel="0" max="3" min="3" style="399" width="15.49"/>
    <col collapsed="false" customWidth="false" hidden="false" outlineLevel="0" max="53" min="4" style="399" width="12.82"/>
    <col collapsed="false" customWidth="false" hidden="false" outlineLevel="0" max="257" min="54" style="29" width="12.82"/>
  </cols>
  <sheetData>
    <row r="1" customFormat="false" ht="12.75" hidden="false" customHeight="false" outlineLevel="0" collapsed="false">
      <c r="A1" s="387" t="s">
        <v>320</v>
      </c>
      <c r="C1" s="411" t="n">
        <f aca="false">+BaseloadMarkets!B1</f>
        <v>36678</v>
      </c>
      <c r="D1" s="412"/>
    </row>
    <row r="3" customFormat="false" ht="12.75" hidden="false" customHeight="false" outlineLevel="0" collapsed="false">
      <c r="A3" s="403" t="str">
        <f aca="false">+OCCMarkets!A3</f>
        <v>OCC</v>
      </c>
      <c r="B3" s="413" t="str">
        <f aca="false">+OCCMarkets!AC3</f>
        <v>S18</v>
      </c>
      <c r="C3" s="413"/>
      <c r="D3" s="413"/>
      <c r="E3" s="413"/>
      <c r="F3" s="413" t="str">
        <f aca="false">+OCCMarkets!AG3</f>
        <v>Total</v>
      </c>
      <c r="G3" s="413"/>
      <c r="H3" s="413"/>
      <c r="I3" s="414" t="str">
        <f aca="false">+OCCMarkets!AJ3</f>
        <v>C01</v>
      </c>
      <c r="J3" s="414"/>
      <c r="K3" s="414"/>
      <c r="L3" s="414"/>
      <c r="M3" s="414" t="str">
        <f aca="false">+OCCMarkets!AN3</f>
        <v>Total</v>
      </c>
      <c r="N3" s="414"/>
      <c r="O3" s="414"/>
      <c r="P3" s="415" t="str">
        <f aca="false">+OCCMarkets!AQ3</f>
        <v>S07</v>
      </c>
      <c r="Q3" s="415"/>
      <c r="R3" s="415"/>
      <c r="S3" s="415"/>
      <c r="T3" s="415" t="str">
        <f aca="false">+OCCMarkets!AU3</f>
        <v>Total</v>
      </c>
      <c r="U3" s="415"/>
      <c r="V3" s="415"/>
      <c r="W3" s="416" t="str">
        <f aca="false">+OCCMarkets!AX3</f>
        <v>S19</v>
      </c>
      <c r="X3" s="416"/>
      <c r="Y3" s="416"/>
      <c r="Z3" s="416"/>
      <c r="AA3" s="416" t="str">
        <f aca="false">+OCCMarkets!BB3</f>
        <v>Total</v>
      </c>
      <c r="AB3" s="416"/>
      <c r="AC3" s="416"/>
      <c r="AD3" s="417" t="str">
        <f aca="false">+OCCMarkets!BE3</f>
        <v>S88</v>
      </c>
      <c r="AE3" s="417"/>
      <c r="AF3" s="417"/>
      <c r="AG3" s="417"/>
      <c r="AH3" s="417" t="str">
        <f aca="false">+OCCMarkets!BI3</f>
        <v>Total</v>
      </c>
      <c r="AI3" s="417"/>
      <c r="AJ3" s="417"/>
      <c r="AK3" s="385"/>
      <c r="AL3" s="38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5"/>
      <c r="AZ3" s="385"/>
      <c r="BA3" s="385"/>
      <c r="BB3" s="404"/>
      <c r="BC3" s="404"/>
      <c r="BD3" s="404"/>
      <c r="BE3" s="404"/>
      <c r="BF3" s="404"/>
      <c r="BG3" s="404"/>
      <c r="BH3" s="404"/>
      <c r="BI3" s="404"/>
      <c r="BJ3" s="404"/>
      <c r="BK3" s="404"/>
      <c r="BL3" s="404"/>
      <c r="BM3" s="404"/>
      <c r="BN3" s="404"/>
      <c r="BO3" s="404"/>
      <c r="BP3" s="404"/>
      <c r="BQ3" s="404"/>
      <c r="BR3" s="404"/>
      <c r="BS3" s="404"/>
      <c r="BT3" s="404"/>
      <c r="BU3" s="404"/>
      <c r="BV3" s="404"/>
      <c r="BW3" s="404"/>
      <c r="BX3" s="404"/>
      <c r="BY3" s="404"/>
      <c r="BZ3" s="404"/>
      <c r="CA3" s="404"/>
      <c r="CB3" s="404"/>
      <c r="CC3" s="404"/>
      <c r="CD3" s="404"/>
      <c r="CE3" s="404"/>
      <c r="CF3" s="404"/>
      <c r="CG3" s="404"/>
      <c r="CH3" s="404"/>
      <c r="CI3" s="404"/>
      <c r="CJ3" s="404"/>
      <c r="CK3" s="404"/>
      <c r="CL3" s="404"/>
      <c r="CM3" s="404"/>
      <c r="CN3" s="404"/>
      <c r="CO3" s="404"/>
      <c r="CP3" s="404"/>
      <c r="CQ3" s="404"/>
      <c r="CR3" s="404"/>
      <c r="CS3" s="404"/>
      <c r="CT3" s="404"/>
      <c r="CU3" s="404"/>
      <c r="CV3" s="404"/>
      <c r="CW3" s="404"/>
      <c r="CX3" s="404"/>
      <c r="CY3" s="404"/>
      <c r="CZ3" s="404"/>
      <c r="DA3" s="404"/>
      <c r="DB3" s="404"/>
      <c r="DC3" s="404"/>
      <c r="DD3" s="404"/>
      <c r="DE3" s="388"/>
      <c r="DF3" s="388"/>
      <c r="DG3" s="388"/>
      <c r="DH3" s="388"/>
      <c r="DI3" s="388"/>
      <c r="DJ3" s="388"/>
      <c r="DK3" s="388"/>
      <c r="DL3" s="388"/>
      <c r="DM3" s="388"/>
      <c r="DN3" s="388"/>
      <c r="DO3" s="388"/>
      <c r="DP3" s="388"/>
      <c r="DQ3" s="388"/>
      <c r="DR3" s="388"/>
      <c r="DS3" s="388"/>
      <c r="DT3" s="388"/>
      <c r="DU3" s="388"/>
      <c r="DV3" s="388"/>
      <c r="DW3" s="388"/>
      <c r="DX3" s="388"/>
      <c r="DY3" s="388"/>
      <c r="DZ3" s="388"/>
      <c r="EA3" s="388"/>
      <c r="EB3" s="388"/>
      <c r="EC3" s="388"/>
      <c r="ED3" s="388"/>
      <c r="EE3" s="388"/>
      <c r="EF3" s="388"/>
      <c r="EG3" s="388"/>
      <c r="EH3" s="388"/>
      <c r="EI3" s="388"/>
      <c r="EJ3" s="388"/>
      <c r="EK3" s="388"/>
      <c r="EL3" s="388"/>
      <c r="EM3" s="388"/>
      <c r="EN3" s="388"/>
      <c r="EO3" s="388"/>
      <c r="EP3" s="388"/>
      <c r="EQ3" s="388"/>
      <c r="ER3" s="388"/>
      <c r="ES3" s="388"/>
      <c r="ET3" s="388"/>
      <c r="EU3" s="388"/>
      <c r="EV3" s="388"/>
      <c r="EW3" s="388"/>
      <c r="EX3" s="388"/>
      <c r="EY3" s="388"/>
      <c r="EZ3" s="388"/>
      <c r="FA3" s="388"/>
      <c r="FB3" s="388"/>
      <c r="FC3" s="388"/>
      <c r="FD3" s="388"/>
      <c r="FE3" s="388"/>
      <c r="FF3" s="388"/>
      <c r="FG3" s="388"/>
      <c r="FH3" s="388"/>
      <c r="FI3" s="388"/>
      <c r="FJ3" s="388"/>
      <c r="FK3" s="388"/>
      <c r="FL3" s="388"/>
      <c r="FM3" s="388"/>
      <c r="FN3" s="388"/>
      <c r="FO3" s="388"/>
      <c r="FP3" s="388"/>
      <c r="FQ3" s="388"/>
      <c r="FR3" s="388"/>
      <c r="FS3" s="388"/>
      <c r="FT3" s="388"/>
      <c r="FU3" s="388"/>
      <c r="FV3" s="388"/>
      <c r="FW3" s="388"/>
      <c r="FX3" s="388"/>
      <c r="FY3" s="388"/>
      <c r="FZ3" s="388"/>
      <c r="GA3" s="388"/>
      <c r="GB3" s="388"/>
      <c r="GC3" s="388"/>
      <c r="GD3" s="388"/>
      <c r="GE3" s="388"/>
      <c r="GF3" s="388"/>
      <c r="GG3" s="388"/>
      <c r="GH3" s="388"/>
      <c r="GI3" s="388"/>
      <c r="GJ3" s="388"/>
      <c r="GK3" s="388"/>
      <c r="GL3" s="388"/>
      <c r="GM3" s="388"/>
      <c r="GN3" s="388"/>
      <c r="GO3" s="388"/>
      <c r="GP3" s="388"/>
      <c r="GQ3" s="388"/>
      <c r="GR3" s="388"/>
      <c r="GS3" s="388"/>
      <c r="GT3" s="388"/>
      <c r="GU3" s="388"/>
      <c r="GV3" s="388"/>
      <c r="GW3" s="388"/>
      <c r="GX3" s="388"/>
      <c r="GY3" s="388"/>
      <c r="GZ3" s="388"/>
      <c r="HA3" s="388"/>
      <c r="HB3" s="388"/>
      <c r="HC3" s="388"/>
      <c r="HD3" s="388"/>
      <c r="HE3" s="388"/>
      <c r="HF3" s="388"/>
      <c r="HG3" s="388"/>
      <c r="HH3" s="388"/>
      <c r="HI3" s="388"/>
      <c r="HJ3" s="388"/>
      <c r="HK3" s="388"/>
      <c r="HL3" s="388"/>
      <c r="HM3" s="388"/>
      <c r="HN3" s="388"/>
      <c r="HO3" s="388"/>
      <c r="HP3" s="388"/>
      <c r="HQ3" s="388"/>
      <c r="HR3" s="388"/>
      <c r="HS3" s="388"/>
      <c r="HT3" s="388"/>
      <c r="HU3" s="388"/>
      <c r="HV3" s="388"/>
      <c r="HW3" s="388"/>
      <c r="HX3" s="388"/>
      <c r="HY3" s="388"/>
      <c r="HZ3" s="388"/>
      <c r="IA3" s="388"/>
      <c r="IB3" s="388"/>
      <c r="IC3" s="388"/>
      <c r="ID3" s="388"/>
      <c r="IE3" s="388"/>
      <c r="IF3" s="388"/>
      <c r="IG3" s="388"/>
      <c r="IH3" s="388"/>
      <c r="II3" s="388"/>
      <c r="IJ3" s="388"/>
      <c r="IK3" s="388"/>
      <c r="IL3" s="388"/>
      <c r="IM3" s="388"/>
      <c r="IN3" s="388"/>
      <c r="IO3" s="388"/>
      <c r="IP3" s="388"/>
      <c r="IQ3" s="388"/>
      <c r="IR3" s="388"/>
      <c r="IS3" s="388"/>
      <c r="IT3" s="388"/>
      <c r="IU3" s="388"/>
      <c r="IV3" s="388"/>
      <c r="IW3" s="388"/>
    </row>
    <row r="4" customFormat="false" ht="12.75" hidden="false" customHeight="false" outlineLevel="0" collapsed="false">
      <c r="A4" s="403" t="str">
        <f aca="false">+OCCMarkets!A4</f>
        <v>CounterParty</v>
      </c>
      <c r="B4" s="413" t="str">
        <f aca="false">+OCCMarkets!AC4</f>
        <v>Smurfit</v>
      </c>
      <c r="C4" s="413" t="str">
        <f aca="false">+OCCMarkets!AD4</f>
        <v>9KUB/9KUC</v>
      </c>
      <c r="D4" s="413"/>
      <c r="E4" s="413"/>
      <c r="F4" s="413" t="str">
        <f aca="false">+B3</f>
        <v>S18</v>
      </c>
      <c r="G4" s="413" t="str">
        <f aca="false">+OCCMarkets!AH4</f>
        <v>Daily</v>
      </c>
      <c r="H4" s="413" t="str">
        <f aca="false">+OCCMarkets!AI4</f>
        <v>Cumulative</v>
      </c>
      <c r="I4" s="414" t="str">
        <f aca="false">+OCCMarkets!AJ4</f>
        <v>Smurfit</v>
      </c>
      <c r="J4" s="414" t="str">
        <f aca="false">+OCCMarkets!AK4</f>
        <v>9KUB/9KUC</v>
      </c>
      <c r="K4" s="414" t="n">
        <f aca="false">+OCCMarkets!AL4</f>
        <v>0</v>
      </c>
      <c r="L4" s="414"/>
      <c r="M4" s="414" t="str">
        <f aca="false">+OCCMarkets!AN4</f>
        <v>Smurfit</v>
      </c>
      <c r="N4" s="414" t="str">
        <f aca="false">+OCCMarkets!AO4</f>
        <v>Daily</v>
      </c>
      <c r="O4" s="414" t="str">
        <f aca="false">+OCCMarkets!AP4</f>
        <v>Cumulative</v>
      </c>
      <c r="P4" s="415" t="str">
        <f aca="false">+OCCMarkets!AQ4</f>
        <v>Smurfit</v>
      </c>
      <c r="Q4" s="415" t="str">
        <f aca="false">+OCCMarkets!AR4</f>
        <v>9KUB</v>
      </c>
      <c r="R4" s="415"/>
      <c r="S4" s="415"/>
      <c r="T4" s="415" t="str">
        <f aca="false">+OCCMarkets!AU4</f>
        <v>Smurfit</v>
      </c>
      <c r="U4" s="415" t="str">
        <f aca="false">+OCCMarkets!AV4</f>
        <v>Daily</v>
      </c>
      <c r="V4" s="415" t="str">
        <f aca="false">+OCCMarkets!AW4</f>
        <v>Cumulative</v>
      </c>
      <c r="W4" s="416" t="str">
        <f aca="false">+OCCMarkets!AX4</f>
        <v>Smurfit</v>
      </c>
      <c r="X4" s="416"/>
      <c r="Y4" s="416"/>
      <c r="Z4" s="416"/>
      <c r="AA4" s="416" t="str">
        <f aca="false">+OCCMarkets!BB4</f>
        <v>Smurfit</v>
      </c>
      <c r="AB4" s="416" t="str">
        <f aca="false">+OCCMarkets!BC4</f>
        <v>Daily</v>
      </c>
      <c r="AC4" s="416" t="str">
        <f aca="false">+OCCMarkets!BD4</f>
        <v>Cumulative</v>
      </c>
      <c r="AD4" s="417" t="str">
        <f aca="false">+OCCMarkets!BE4</f>
        <v>Smurfit</v>
      </c>
      <c r="AE4" s="417"/>
      <c r="AF4" s="417"/>
      <c r="AG4" s="417"/>
      <c r="AH4" s="417" t="str">
        <f aca="false">+OCCMarkets!BI4</f>
        <v>Smurfit</v>
      </c>
      <c r="AI4" s="417" t="str">
        <f aca="false">+OCCMarkets!BJ4</f>
        <v>Daily</v>
      </c>
      <c r="AJ4" s="417" t="str">
        <f aca="false">+OCCMarkets!BK4</f>
        <v>Cumulative</v>
      </c>
      <c r="AK4" s="385"/>
      <c r="AL4" s="385" t="s">
        <v>50</v>
      </c>
      <c r="AM4" s="385" t="s">
        <v>50</v>
      </c>
      <c r="AN4" s="385" t="s">
        <v>83</v>
      </c>
      <c r="AO4" s="385" t="s">
        <v>84</v>
      </c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404"/>
      <c r="BC4" s="404"/>
      <c r="BD4" s="404"/>
      <c r="BE4" s="404"/>
      <c r="BF4" s="404"/>
      <c r="BG4" s="404"/>
      <c r="BH4" s="404"/>
      <c r="BI4" s="404"/>
      <c r="BJ4" s="404"/>
      <c r="BK4" s="404"/>
      <c r="BL4" s="404"/>
      <c r="BM4" s="404"/>
      <c r="BN4" s="404"/>
      <c r="BO4" s="404"/>
      <c r="BP4" s="404"/>
      <c r="BQ4" s="404"/>
      <c r="BR4" s="404"/>
      <c r="BS4" s="404"/>
      <c r="BT4" s="404"/>
      <c r="BU4" s="404"/>
      <c r="BV4" s="404"/>
      <c r="BW4" s="404"/>
      <c r="BX4" s="404"/>
      <c r="BY4" s="404"/>
      <c r="BZ4" s="404"/>
      <c r="CA4" s="404"/>
      <c r="CB4" s="404"/>
      <c r="CC4" s="404"/>
      <c r="CD4" s="404"/>
      <c r="CE4" s="404"/>
      <c r="CF4" s="404"/>
      <c r="CG4" s="404"/>
      <c r="CH4" s="404"/>
      <c r="CI4" s="404"/>
      <c r="CJ4" s="404"/>
      <c r="CK4" s="404"/>
      <c r="CL4" s="404"/>
      <c r="CM4" s="404"/>
      <c r="CN4" s="404"/>
      <c r="CO4" s="404"/>
      <c r="CP4" s="404"/>
      <c r="CQ4" s="404"/>
      <c r="CR4" s="404"/>
      <c r="CS4" s="404"/>
      <c r="CT4" s="404"/>
      <c r="CU4" s="404"/>
      <c r="CV4" s="404"/>
      <c r="CW4" s="404"/>
      <c r="CX4" s="404"/>
      <c r="CY4" s="404"/>
      <c r="CZ4" s="404"/>
      <c r="DA4" s="404"/>
      <c r="DB4" s="404"/>
      <c r="DC4" s="404"/>
      <c r="DD4" s="404"/>
      <c r="DE4" s="388"/>
      <c r="DF4" s="388"/>
      <c r="DG4" s="388"/>
      <c r="DH4" s="388"/>
      <c r="DI4" s="388"/>
      <c r="DJ4" s="388"/>
      <c r="DK4" s="388"/>
      <c r="DL4" s="388"/>
      <c r="DM4" s="388"/>
      <c r="DN4" s="388"/>
      <c r="DO4" s="388"/>
      <c r="DP4" s="388"/>
      <c r="DQ4" s="388"/>
      <c r="DR4" s="388"/>
      <c r="DS4" s="388"/>
      <c r="DT4" s="388"/>
      <c r="DU4" s="388"/>
      <c r="DV4" s="388"/>
      <c r="DW4" s="388"/>
      <c r="DX4" s="388"/>
      <c r="DY4" s="388"/>
      <c r="DZ4" s="388"/>
      <c r="EA4" s="388"/>
      <c r="EB4" s="388"/>
      <c r="EC4" s="388"/>
      <c r="ED4" s="388"/>
      <c r="EE4" s="388"/>
      <c r="EF4" s="388"/>
      <c r="EG4" s="388"/>
      <c r="EH4" s="388"/>
      <c r="EI4" s="388"/>
      <c r="EJ4" s="388"/>
      <c r="EK4" s="388"/>
      <c r="EL4" s="388"/>
      <c r="EM4" s="388"/>
      <c r="EN4" s="388"/>
      <c r="EO4" s="388"/>
      <c r="EP4" s="388"/>
      <c r="EQ4" s="388"/>
      <c r="ER4" s="388"/>
      <c r="ES4" s="388"/>
      <c r="ET4" s="388"/>
      <c r="EU4" s="388"/>
      <c r="EV4" s="388"/>
      <c r="EW4" s="388"/>
      <c r="EX4" s="388"/>
      <c r="EY4" s="388"/>
      <c r="EZ4" s="388"/>
      <c r="FA4" s="388"/>
      <c r="FB4" s="388"/>
      <c r="FC4" s="388"/>
      <c r="FD4" s="388"/>
      <c r="FE4" s="388"/>
      <c r="FF4" s="388"/>
      <c r="FG4" s="388"/>
      <c r="FH4" s="388"/>
      <c r="FI4" s="388"/>
      <c r="FJ4" s="388"/>
      <c r="FK4" s="388"/>
      <c r="FL4" s="388"/>
      <c r="FM4" s="388"/>
      <c r="FN4" s="388"/>
      <c r="FO4" s="388"/>
      <c r="FP4" s="388"/>
      <c r="FQ4" s="388"/>
      <c r="FR4" s="388"/>
      <c r="FS4" s="388"/>
      <c r="FT4" s="388"/>
      <c r="FU4" s="388"/>
      <c r="FV4" s="388"/>
      <c r="FW4" s="388"/>
      <c r="FX4" s="388"/>
      <c r="FY4" s="388"/>
      <c r="FZ4" s="388"/>
      <c r="GA4" s="388"/>
      <c r="GB4" s="388"/>
      <c r="GC4" s="388"/>
      <c r="GD4" s="388"/>
      <c r="GE4" s="388"/>
      <c r="GF4" s="388"/>
      <c r="GG4" s="388"/>
      <c r="GH4" s="388"/>
      <c r="GI4" s="388"/>
      <c r="GJ4" s="388"/>
      <c r="GK4" s="388"/>
      <c r="GL4" s="388"/>
      <c r="GM4" s="388"/>
      <c r="GN4" s="388"/>
      <c r="GO4" s="388"/>
      <c r="GP4" s="388"/>
      <c r="GQ4" s="388"/>
      <c r="GR4" s="388"/>
      <c r="GS4" s="388"/>
      <c r="GT4" s="388"/>
      <c r="GU4" s="388"/>
      <c r="GV4" s="388"/>
      <c r="GW4" s="388"/>
      <c r="GX4" s="388"/>
      <c r="GY4" s="388"/>
      <c r="GZ4" s="388"/>
      <c r="HA4" s="388"/>
      <c r="HB4" s="388"/>
      <c r="HC4" s="388"/>
      <c r="HD4" s="388"/>
      <c r="HE4" s="388"/>
      <c r="HF4" s="388"/>
      <c r="HG4" s="388"/>
      <c r="HH4" s="388"/>
      <c r="HI4" s="388"/>
      <c r="HJ4" s="388"/>
      <c r="HK4" s="388"/>
      <c r="HL4" s="388"/>
      <c r="HM4" s="388"/>
      <c r="HN4" s="388"/>
      <c r="HO4" s="388"/>
      <c r="HP4" s="388"/>
      <c r="HQ4" s="388"/>
      <c r="HR4" s="388"/>
      <c r="HS4" s="388"/>
      <c r="HT4" s="388"/>
      <c r="HU4" s="388"/>
      <c r="HV4" s="388"/>
      <c r="HW4" s="388"/>
      <c r="HX4" s="388"/>
      <c r="HY4" s="388"/>
      <c r="HZ4" s="388"/>
      <c r="IA4" s="388"/>
      <c r="IB4" s="388"/>
      <c r="IC4" s="388"/>
      <c r="ID4" s="388"/>
      <c r="IE4" s="388"/>
      <c r="IF4" s="388"/>
      <c r="IG4" s="388"/>
      <c r="IH4" s="388"/>
      <c r="II4" s="388"/>
      <c r="IJ4" s="388"/>
      <c r="IK4" s="388"/>
      <c r="IL4" s="388"/>
      <c r="IM4" s="388"/>
      <c r="IN4" s="388"/>
      <c r="IO4" s="388"/>
      <c r="IP4" s="388"/>
      <c r="IQ4" s="388"/>
      <c r="IR4" s="388"/>
      <c r="IS4" s="388"/>
      <c r="IT4" s="388"/>
      <c r="IU4" s="388"/>
      <c r="IV4" s="388"/>
      <c r="IW4" s="388"/>
    </row>
    <row r="5" customFormat="false" ht="12.75" hidden="false" customHeight="false" outlineLevel="0" collapsed="false">
      <c r="A5" s="403" t="str">
        <f aca="false">+OCCMarkets!A5</f>
        <v>Pipeline</v>
      </c>
      <c r="B5" s="413" t="str">
        <f aca="false">+OCCMarkets!AC5</f>
        <v>Demand</v>
      </c>
      <c r="C5" s="413" t="str">
        <f aca="false">+OCCMarkets!AD5</f>
        <v>Top/Ehr</v>
      </c>
      <c r="D5" s="413" t="str">
        <f aca="false">+OCCMarkets!AE5</f>
        <v>KRS</v>
      </c>
      <c r="E5" s="413" t="n">
        <f aca="false">+OCCMarkets!AF5</f>
        <v>0</v>
      </c>
      <c r="F5" s="413" t="str">
        <f aca="false">+OCCMarkets!AG5</f>
        <v>Scheduled</v>
      </c>
      <c r="G5" s="413" t="str">
        <f aca="false">+OCCMarkets!AH5</f>
        <v>Long/(Short)</v>
      </c>
      <c r="H5" s="413" t="str">
        <f aca="false">+OCCMarkets!AI5</f>
        <v>Imbalance</v>
      </c>
      <c r="I5" s="414" t="str">
        <f aca="false">+OCCMarkets!AJ5</f>
        <v>Demand</v>
      </c>
      <c r="J5" s="414" t="str">
        <f aca="false">+OCCMarkets!AK5</f>
        <v>Top/Ehr</v>
      </c>
      <c r="K5" s="414" t="str">
        <f aca="false">+OCCMarkets!AL5</f>
        <v>KS0202DD</v>
      </c>
      <c r="L5" s="414"/>
      <c r="M5" s="414" t="str">
        <f aca="false">+OCCMarkets!AN5</f>
        <v>Scheduled</v>
      </c>
      <c r="N5" s="414" t="str">
        <f aca="false">+OCCMarkets!AO5</f>
        <v>Long/(Short)</v>
      </c>
      <c r="O5" s="414" t="str">
        <f aca="false">+OCCMarkets!AP5</f>
        <v>Imbalance</v>
      </c>
      <c r="P5" s="415" t="str">
        <f aca="false">+OCCMarkets!AQ5</f>
        <v>Demand</v>
      </c>
      <c r="Q5" s="415" t="str">
        <f aca="false">+OCCMarkets!AR5</f>
        <v>TOP</v>
      </c>
      <c r="R5" s="415" t="n">
        <f aca="false">+OCCMarkets!AS5</f>
        <v>0</v>
      </c>
      <c r="S5" s="415"/>
      <c r="T5" s="415" t="str">
        <f aca="false">+OCCMarkets!AU5</f>
        <v>Scheduled</v>
      </c>
      <c r="U5" s="415" t="str">
        <f aca="false">+OCCMarkets!AV5</f>
        <v>Long/(Short)</v>
      </c>
      <c r="V5" s="415" t="str">
        <f aca="false">+OCCMarkets!AW5</f>
        <v>Imbalance</v>
      </c>
      <c r="W5" s="416" t="str">
        <f aca="false">+OCCMarkets!AX5</f>
        <v>Demand</v>
      </c>
      <c r="X5" s="416" t="str">
        <f aca="false">+OCCMarkets!AY5</f>
        <v>Top/Ehr</v>
      </c>
      <c r="Y5" s="416"/>
      <c r="Z5" s="416"/>
      <c r="AA5" s="416" t="str">
        <f aca="false">+OCCMarkets!BB5</f>
        <v>Scheduled</v>
      </c>
      <c r="AB5" s="416" t="str">
        <f aca="false">+OCCMarkets!BC5</f>
        <v>Long/(Short)</v>
      </c>
      <c r="AC5" s="416" t="str">
        <f aca="false">+OCCMarkets!BD5</f>
        <v>Imbalance</v>
      </c>
      <c r="AD5" s="417" t="str">
        <f aca="false">+OCCMarkets!BE5</f>
        <v>Demand</v>
      </c>
      <c r="AE5" s="417" t="str">
        <f aca="false">+OCCMarkets!BF5</f>
        <v>Top/Ehr</v>
      </c>
      <c r="AF5" s="417"/>
      <c r="AG5" s="417"/>
      <c r="AH5" s="417" t="str">
        <f aca="false">+OCCMarkets!BI5</f>
        <v>Scheduled</v>
      </c>
      <c r="AI5" s="417" t="str">
        <f aca="false">+OCCMarkets!BJ5</f>
        <v>Long/(Short)</v>
      </c>
      <c r="AJ5" s="417" t="str">
        <f aca="false">+OCCMarkets!BK5</f>
        <v>Imbalance</v>
      </c>
      <c r="AK5" s="385"/>
      <c r="AL5" s="385" t="s">
        <v>153</v>
      </c>
      <c r="AM5" s="385" t="s">
        <v>156</v>
      </c>
      <c r="AN5" s="385" t="s">
        <v>94</v>
      </c>
      <c r="AO5" s="385" t="s">
        <v>157</v>
      </c>
      <c r="AP5" s="385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404"/>
      <c r="BC5" s="404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4"/>
      <c r="BO5" s="404"/>
      <c r="BP5" s="404"/>
      <c r="BQ5" s="404"/>
      <c r="BR5" s="404"/>
      <c r="BS5" s="404"/>
      <c r="BT5" s="404"/>
      <c r="BU5" s="404"/>
      <c r="BV5" s="404"/>
      <c r="BW5" s="404"/>
      <c r="BX5" s="404"/>
      <c r="BY5" s="404"/>
      <c r="BZ5" s="404"/>
      <c r="CA5" s="404"/>
      <c r="CB5" s="404"/>
      <c r="CC5" s="404"/>
      <c r="CD5" s="404"/>
      <c r="CE5" s="404"/>
      <c r="CF5" s="404"/>
      <c r="CG5" s="404"/>
      <c r="CH5" s="404"/>
      <c r="CI5" s="404"/>
      <c r="CJ5" s="404"/>
      <c r="CK5" s="404"/>
      <c r="CL5" s="404"/>
      <c r="CM5" s="404"/>
      <c r="CN5" s="404"/>
      <c r="CO5" s="404"/>
      <c r="CP5" s="404"/>
      <c r="CQ5" s="404"/>
      <c r="CR5" s="404"/>
      <c r="CS5" s="404"/>
      <c r="CT5" s="404"/>
      <c r="CU5" s="404"/>
      <c r="CV5" s="404"/>
      <c r="CW5" s="404"/>
      <c r="CX5" s="404"/>
      <c r="CY5" s="404"/>
      <c r="CZ5" s="404"/>
      <c r="DA5" s="404"/>
      <c r="DB5" s="404"/>
      <c r="DC5" s="404"/>
      <c r="DD5" s="404"/>
      <c r="DE5" s="388"/>
      <c r="DF5" s="388"/>
      <c r="DG5" s="388"/>
      <c r="DH5" s="388"/>
      <c r="DI5" s="388"/>
      <c r="DJ5" s="388"/>
      <c r="DK5" s="388"/>
      <c r="DL5" s="388"/>
      <c r="DM5" s="388"/>
      <c r="DN5" s="388"/>
      <c r="DO5" s="388"/>
      <c r="DP5" s="388"/>
      <c r="DQ5" s="388"/>
      <c r="DR5" s="388"/>
      <c r="DS5" s="388"/>
      <c r="DT5" s="388"/>
      <c r="DU5" s="388"/>
      <c r="DV5" s="388"/>
      <c r="DW5" s="388"/>
      <c r="DX5" s="388"/>
      <c r="DY5" s="388"/>
      <c r="DZ5" s="388"/>
      <c r="EA5" s="388"/>
      <c r="EB5" s="388"/>
      <c r="EC5" s="388"/>
      <c r="ED5" s="388"/>
      <c r="EE5" s="388"/>
      <c r="EF5" s="388"/>
      <c r="EG5" s="388"/>
      <c r="EH5" s="388"/>
      <c r="EI5" s="388"/>
      <c r="EJ5" s="388"/>
      <c r="EK5" s="388"/>
      <c r="EL5" s="388"/>
      <c r="EM5" s="388"/>
      <c r="EN5" s="388"/>
      <c r="EO5" s="388"/>
      <c r="EP5" s="388"/>
      <c r="EQ5" s="388"/>
      <c r="ER5" s="388"/>
      <c r="ES5" s="388"/>
      <c r="ET5" s="388"/>
      <c r="EU5" s="388"/>
      <c r="EV5" s="388"/>
      <c r="EW5" s="388"/>
      <c r="EX5" s="388"/>
      <c r="EY5" s="388"/>
      <c r="EZ5" s="388"/>
      <c r="FA5" s="388"/>
      <c r="FB5" s="388"/>
      <c r="FC5" s="388"/>
      <c r="FD5" s="388"/>
      <c r="FE5" s="388"/>
      <c r="FF5" s="388"/>
      <c r="FG5" s="388"/>
      <c r="FH5" s="388"/>
      <c r="FI5" s="388"/>
      <c r="FJ5" s="388"/>
      <c r="FK5" s="388"/>
      <c r="FL5" s="388"/>
      <c r="FM5" s="388"/>
      <c r="FN5" s="388"/>
      <c r="FO5" s="388"/>
      <c r="FP5" s="388"/>
      <c r="FQ5" s="388"/>
      <c r="FR5" s="388"/>
      <c r="FS5" s="388"/>
      <c r="FT5" s="388"/>
      <c r="FU5" s="388"/>
      <c r="FV5" s="388"/>
      <c r="FW5" s="388"/>
      <c r="FX5" s="388"/>
      <c r="FY5" s="388"/>
      <c r="FZ5" s="388"/>
      <c r="GA5" s="388"/>
      <c r="GB5" s="388"/>
      <c r="GC5" s="388"/>
      <c r="GD5" s="388"/>
      <c r="GE5" s="388"/>
      <c r="GF5" s="388"/>
      <c r="GG5" s="388"/>
      <c r="GH5" s="388"/>
      <c r="GI5" s="388"/>
      <c r="GJ5" s="388"/>
      <c r="GK5" s="388"/>
      <c r="GL5" s="388"/>
      <c r="GM5" s="388"/>
      <c r="GN5" s="388"/>
      <c r="GO5" s="388"/>
      <c r="GP5" s="388"/>
      <c r="GQ5" s="388"/>
      <c r="GR5" s="388"/>
      <c r="GS5" s="388"/>
      <c r="GT5" s="388"/>
      <c r="GU5" s="388"/>
      <c r="GV5" s="388"/>
      <c r="GW5" s="388"/>
      <c r="GX5" s="388"/>
      <c r="GY5" s="388"/>
      <c r="GZ5" s="388"/>
      <c r="HA5" s="388"/>
      <c r="HB5" s="388"/>
      <c r="HC5" s="388"/>
      <c r="HD5" s="388"/>
      <c r="HE5" s="388"/>
      <c r="HF5" s="388"/>
      <c r="HG5" s="388"/>
      <c r="HH5" s="388"/>
      <c r="HI5" s="388"/>
      <c r="HJ5" s="388"/>
      <c r="HK5" s="388"/>
      <c r="HL5" s="388"/>
      <c r="HM5" s="388"/>
      <c r="HN5" s="388"/>
      <c r="HO5" s="388"/>
      <c r="HP5" s="388"/>
      <c r="HQ5" s="388"/>
      <c r="HR5" s="388"/>
      <c r="HS5" s="388"/>
      <c r="HT5" s="388"/>
      <c r="HU5" s="388"/>
      <c r="HV5" s="388"/>
      <c r="HW5" s="388"/>
      <c r="HX5" s="388"/>
      <c r="HY5" s="388"/>
      <c r="HZ5" s="388"/>
      <c r="IA5" s="388"/>
      <c r="IB5" s="388"/>
      <c r="IC5" s="388"/>
      <c r="ID5" s="388"/>
      <c r="IE5" s="388"/>
      <c r="IF5" s="388"/>
      <c r="IG5" s="388"/>
      <c r="IH5" s="388"/>
      <c r="II5" s="388"/>
      <c r="IJ5" s="388"/>
      <c r="IK5" s="388"/>
      <c r="IL5" s="388"/>
      <c r="IM5" s="388"/>
      <c r="IN5" s="388"/>
      <c r="IO5" s="388"/>
      <c r="IP5" s="388"/>
      <c r="IQ5" s="388"/>
      <c r="IR5" s="388"/>
      <c r="IS5" s="388"/>
      <c r="IT5" s="388"/>
      <c r="IU5" s="388"/>
      <c r="IV5" s="388"/>
      <c r="IW5" s="388"/>
    </row>
    <row r="6" customFormat="false" ht="12.75" hidden="false" customHeight="false" outlineLevel="0" collapsed="false">
      <c r="A6" s="346" t="n">
        <f aca="false">+BaseloadMarkets!A6</f>
        <v>36678</v>
      </c>
      <c r="B6" s="413" t="n">
        <f aca="false">+OCCMarkets!AC6</f>
        <v>157</v>
      </c>
      <c r="C6" s="413" t="n">
        <f aca="false">+OCCMarkets!AD6</f>
        <v>1757</v>
      </c>
      <c r="D6" s="413" t="n">
        <f aca="false">+OCCMarkets!AE6</f>
        <v>0</v>
      </c>
      <c r="E6" s="413" t="n">
        <f aca="false">+OCCMarkets!AF6</f>
        <v>0</v>
      </c>
      <c r="F6" s="413" t="n">
        <f aca="false">+OCCMarkets!AG6</f>
        <v>1757</v>
      </c>
      <c r="G6" s="413" t="n">
        <f aca="false">+OCCMarkets!AH6</f>
        <v>1600</v>
      </c>
      <c r="H6" s="413" t="n">
        <f aca="false">+OCCMarkets!AI6</f>
        <v>1600</v>
      </c>
      <c r="I6" s="414" t="n">
        <f aca="false">+OCCMarkets!AJ6</f>
        <v>9487</v>
      </c>
      <c r="J6" s="414" t="n">
        <f aca="false">+OCCMarkets!AK6</f>
        <v>7375</v>
      </c>
      <c r="K6" s="414" t="n">
        <f aca="false">+OCCMarkets!AL6</f>
        <v>10299</v>
      </c>
      <c r="L6" s="414" t="n">
        <f aca="false">+OCCMarkets!AM6</f>
        <v>3600</v>
      </c>
      <c r="M6" s="414" t="n">
        <f aca="false">+OCCMarkets!AN6</f>
        <v>21274</v>
      </c>
      <c r="N6" s="414" t="n">
        <f aca="false">+OCCMarkets!AO6</f>
        <v>11787</v>
      </c>
      <c r="O6" s="414" t="n">
        <f aca="false">+OCCMarkets!AP6</f>
        <v>11787</v>
      </c>
      <c r="P6" s="415" t="n">
        <f aca="false">+OCCMarkets!AQ6</f>
        <v>0</v>
      </c>
      <c r="Q6" s="415" t="n">
        <f aca="false">+OCCMarkets!AR6</f>
        <v>0</v>
      </c>
      <c r="R6" s="415" t="n">
        <f aca="false">+OCCMarkets!AS6</f>
        <v>0</v>
      </c>
      <c r="S6" s="415" t="n">
        <f aca="false">+OCCMarkets!AT6</f>
        <v>0</v>
      </c>
      <c r="T6" s="415" t="n">
        <f aca="false">+OCCMarkets!AU6</f>
        <v>0</v>
      </c>
      <c r="U6" s="415" t="n">
        <f aca="false">+OCCMarkets!AV6</f>
        <v>0</v>
      </c>
      <c r="V6" s="415" t="n">
        <f aca="false">+OCCMarkets!AW6</f>
        <v>0</v>
      </c>
      <c r="W6" s="416" t="n">
        <f aca="false">+OCCMarkets!AX6</f>
        <v>195</v>
      </c>
      <c r="X6" s="416" t="n">
        <f aca="false">+OCCMarkets!AY6</f>
        <v>1757</v>
      </c>
      <c r="Y6" s="416" t="n">
        <f aca="false">+OCCMarkets!AZ6</f>
        <v>0</v>
      </c>
      <c r="Z6" s="416" t="n">
        <f aca="false">+OCCMarkets!BA6</f>
        <v>0</v>
      </c>
      <c r="AA6" s="416" t="n">
        <f aca="false">+OCCMarkets!BB6</f>
        <v>1757</v>
      </c>
      <c r="AB6" s="416" t="n">
        <f aca="false">+OCCMarkets!BC6</f>
        <v>1562</v>
      </c>
      <c r="AC6" s="416" t="n">
        <f aca="false">+OCCMarkets!BD6</f>
        <v>1562</v>
      </c>
      <c r="AD6" s="417" t="n">
        <f aca="false">+OCCMarkets!BE6</f>
        <v>321</v>
      </c>
      <c r="AE6" s="417" t="n">
        <f aca="false">+OCCMarkets!BF6</f>
        <v>2343</v>
      </c>
      <c r="AF6" s="417" t="n">
        <f aca="false">+OCCMarkets!BG6</f>
        <v>0</v>
      </c>
      <c r="AG6" s="417" t="n">
        <f aca="false">+OCCMarkets!BH6</f>
        <v>0</v>
      </c>
      <c r="AH6" s="417" t="n">
        <f aca="false">+OCCMarkets!BI6</f>
        <v>2343</v>
      </c>
      <c r="AI6" s="417" t="n">
        <f aca="false">+OCCMarkets!BJ6</f>
        <v>2022</v>
      </c>
      <c r="AJ6" s="417" t="n">
        <f aca="false">+OCCMarkets!BK6</f>
        <v>2022</v>
      </c>
      <c r="AL6" s="399" t="n">
        <f aca="false">+B6+I6+P6+W6+AD6</f>
        <v>10160</v>
      </c>
      <c r="AM6" s="399" t="n">
        <f aca="false">+F6+M6+T6+AA6+AH6</f>
        <v>27131</v>
      </c>
      <c r="AN6" s="399" t="n">
        <f aca="false">+AM6-AL6</f>
        <v>16971</v>
      </c>
      <c r="AO6" s="399" t="n">
        <f aca="false">+H6+O6+V6+AC6+AJ6</f>
        <v>16971</v>
      </c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09"/>
      <c r="DD6" s="409"/>
    </row>
    <row r="7" customFormat="false" ht="12.75" hidden="false" customHeight="false" outlineLevel="0" collapsed="false">
      <c r="A7" s="346" t="n">
        <f aca="false">+BaseloadMarkets!A7</f>
        <v>36679</v>
      </c>
      <c r="B7" s="413" t="n">
        <f aca="false">+OCCMarkets!AC7</f>
        <v>184</v>
      </c>
      <c r="C7" s="413" t="n">
        <f aca="false">+OCCMarkets!AD7</f>
        <v>934</v>
      </c>
      <c r="D7" s="413" t="n">
        <f aca="false">+OCCMarkets!AE7</f>
        <v>0</v>
      </c>
      <c r="E7" s="413" t="n">
        <f aca="false">+OCCMarkets!AF7</f>
        <v>0</v>
      </c>
      <c r="F7" s="413" t="n">
        <f aca="false">+OCCMarkets!AG7</f>
        <v>934</v>
      </c>
      <c r="G7" s="413" t="n">
        <f aca="false">+OCCMarkets!AH7</f>
        <v>750</v>
      </c>
      <c r="H7" s="413" t="n">
        <f aca="false">+OCCMarkets!AI7</f>
        <v>2350</v>
      </c>
      <c r="I7" s="414" t="n">
        <f aca="false">+OCCMarkets!AJ7</f>
        <v>8354</v>
      </c>
      <c r="J7" s="414" t="n">
        <f aca="false">+OCCMarkets!AK7</f>
        <v>15230</v>
      </c>
      <c r="K7" s="414" t="n">
        <f aca="false">+OCCMarkets!AL7</f>
        <v>3783</v>
      </c>
      <c r="L7" s="414" t="n">
        <f aca="false">+OCCMarkets!AM7</f>
        <v>3600</v>
      </c>
      <c r="M7" s="414" t="n">
        <f aca="false">+OCCMarkets!AN7</f>
        <v>22613</v>
      </c>
      <c r="N7" s="414" t="n">
        <f aca="false">+OCCMarkets!AO7</f>
        <v>14259</v>
      </c>
      <c r="O7" s="414" t="n">
        <f aca="false">+OCCMarkets!AP7</f>
        <v>26046</v>
      </c>
      <c r="P7" s="415" t="n">
        <f aca="false">+OCCMarkets!AQ7</f>
        <v>0</v>
      </c>
      <c r="Q7" s="415" t="n">
        <f aca="false">+OCCMarkets!AR7</f>
        <v>0</v>
      </c>
      <c r="R7" s="415" t="n">
        <f aca="false">+OCCMarkets!AS7</f>
        <v>0</v>
      </c>
      <c r="S7" s="415" t="n">
        <f aca="false">+OCCMarkets!AT7</f>
        <v>0</v>
      </c>
      <c r="T7" s="415" t="n">
        <f aca="false">+OCCMarkets!AU7</f>
        <v>0</v>
      </c>
      <c r="U7" s="415" t="n">
        <f aca="false">+OCCMarkets!AV7</f>
        <v>0</v>
      </c>
      <c r="V7" s="415" t="n">
        <f aca="false">+OCCMarkets!AW7</f>
        <v>0</v>
      </c>
      <c r="W7" s="416" t="n">
        <f aca="false">+OCCMarkets!AX7</f>
        <v>199</v>
      </c>
      <c r="X7" s="416" t="n">
        <f aca="false">+OCCMarkets!AY7</f>
        <v>934</v>
      </c>
      <c r="Y7" s="416" t="n">
        <f aca="false">+OCCMarkets!AZ7</f>
        <v>0</v>
      </c>
      <c r="Z7" s="416" t="n">
        <f aca="false">+OCCMarkets!BA7</f>
        <v>0</v>
      </c>
      <c r="AA7" s="416" t="n">
        <f aca="false">+OCCMarkets!BB7</f>
        <v>934</v>
      </c>
      <c r="AB7" s="416" t="n">
        <f aca="false">+OCCMarkets!BC7</f>
        <v>735</v>
      </c>
      <c r="AC7" s="416" t="n">
        <f aca="false">+OCCMarkets!BD7</f>
        <v>2297</v>
      </c>
      <c r="AD7" s="417" t="n">
        <f aca="false">+OCCMarkets!BE7</f>
        <v>326</v>
      </c>
      <c r="AE7" s="417" t="n">
        <f aca="false">+OCCMarkets!BF7</f>
        <v>934</v>
      </c>
      <c r="AF7" s="417" t="n">
        <f aca="false">+OCCMarkets!BG7</f>
        <v>0</v>
      </c>
      <c r="AG7" s="417" t="n">
        <f aca="false">+OCCMarkets!BH7</f>
        <v>0</v>
      </c>
      <c r="AH7" s="417" t="n">
        <f aca="false">+OCCMarkets!BI7</f>
        <v>934</v>
      </c>
      <c r="AI7" s="417" t="n">
        <f aca="false">+OCCMarkets!BJ7</f>
        <v>608</v>
      </c>
      <c r="AJ7" s="417" t="n">
        <f aca="false">+OCCMarkets!BK7</f>
        <v>2630</v>
      </c>
      <c r="AL7" s="399" t="n">
        <f aca="false">+B7+I7+P7+W7+AD7</f>
        <v>9063</v>
      </c>
      <c r="AM7" s="399" t="n">
        <f aca="false">+F7+M7+T7+AA7+AH7</f>
        <v>25415</v>
      </c>
      <c r="AN7" s="399" t="n">
        <f aca="false">+AM7-AL7</f>
        <v>16352</v>
      </c>
      <c r="AO7" s="399" t="n">
        <f aca="false">+H7+O7+V7+AC7+AJ7</f>
        <v>33323</v>
      </c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09"/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09"/>
      <c r="CJ7" s="409"/>
      <c r="CK7" s="409"/>
      <c r="CL7" s="409"/>
      <c r="CM7" s="409"/>
      <c r="CN7" s="409"/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</row>
    <row r="8" customFormat="false" ht="12.75" hidden="false" customHeight="false" outlineLevel="0" collapsed="false">
      <c r="A8" s="346" t="n">
        <f aca="false">+BaseloadMarkets!A8</f>
        <v>36680</v>
      </c>
      <c r="B8" s="413" t="n">
        <f aca="false">+OCCMarkets!AC8</f>
        <v>196</v>
      </c>
      <c r="C8" s="413" t="n">
        <f aca="false">+OCCMarkets!AD8</f>
        <v>0</v>
      </c>
      <c r="D8" s="413" t="n">
        <f aca="false">+OCCMarkets!AE8</f>
        <v>0</v>
      </c>
      <c r="E8" s="413" t="n">
        <f aca="false">+OCCMarkets!AF8</f>
        <v>0</v>
      </c>
      <c r="F8" s="413" t="n">
        <f aca="false">+OCCMarkets!AG8</f>
        <v>0</v>
      </c>
      <c r="G8" s="413" t="n">
        <f aca="false">+OCCMarkets!AH8</f>
        <v>-196</v>
      </c>
      <c r="H8" s="413" t="n">
        <f aca="false">+OCCMarkets!AI8</f>
        <v>2154</v>
      </c>
      <c r="I8" s="414" t="n">
        <f aca="false">+OCCMarkets!AJ8</f>
        <v>6487</v>
      </c>
      <c r="J8" s="414" t="n">
        <f aca="false">+OCCMarkets!AK8</f>
        <v>2620</v>
      </c>
      <c r="K8" s="414" t="n">
        <f aca="false">+OCCMarkets!AL8</f>
        <v>988</v>
      </c>
      <c r="L8" s="414" t="n">
        <f aca="false">+OCCMarkets!AM8</f>
        <v>2600</v>
      </c>
      <c r="M8" s="414" t="n">
        <f aca="false">+OCCMarkets!AN8</f>
        <v>6208</v>
      </c>
      <c r="N8" s="414" t="n">
        <f aca="false">+OCCMarkets!AO8</f>
        <v>-279</v>
      </c>
      <c r="O8" s="414" t="n">
        <f aca="false">+OCCMarkets!AP8</f>
        <v>25767</v>
      </c>
      <c r="P8" s="415" t="n">
        <f aca="false">+OCCMarkets!AQ8</f>
        <v>0</v>
      </c>
      <c r="Q8" s="415" t="n">
        <f aca="false">+OCCMarkets!AR8</f>
        <v>0</v>
      </c>
      <c r="R8" s="415" t="n">
        <f aca="false">+OCCMarkets!AS8</f>
        <v>0</v>
      </c>
      <c r="S8" s="415" t="n">
        <f aca="false">+OCCMarkets!AT8</f>
        <v>0</v>
      </c>
      <c r="T8" s="415" t="n">
        <f aca="false">+OCCMarkets!AU8</f>
        <v>0</v>
      </c>
      <c r="U8" s="415" t="n">
        <f aca="false">+OCCMarkets!AV8</f>
        <v>0</v>
      </c>
      <c r="V8" s="415" t="n">
        <f aca="false">+OCCMarkets!AW8</f>
        <v>0</v>
      </c>
      <c r="W8" s="416" t="n">
        <f aca="false">+OCCMarkets!AX8</f>
        <v>27</v>
      </c>
      <c r="X8" s="416" t="n">
        <f aca="false">+OCCMarkets!AY8</f>
        <v>0</v>
      </c>
      <c r="Y8" s="416" t="n">
        <f aca="false">+OCCMarkets!AZ8</f>
        <v>0</v>
      </c>
      <c r="Z8" s="416" t="n">
        <f aca="false">+OCCMarkets!BA8</f>
        <v>0</v>
      </c>
      <c r="AA8" s="416" t="n">
        <f aca="false">+OCCMarkets!BB8</f>
        <v>0</v>
      </c>
      <c r="AB8" s="416" t="n">
        <f aca="false">+OCCMarkets!BC8</f>
        <v>-27</v>
      </c>
      <c r="AC8" s="416" t="n">
        <f aca="false">+OCCMarkets!BD8</f>
        <v>2270</v>
      </c>
      <c r="AD8" s="417" t="n">
        <f aca="false">+OCCMarkets!BE8</f>
        <v>184</v>
      </c>
      <c r="AE8" s="417" t="n">
        <f aca="false">+OCCMarkets!BF8</f>
        <v>0</v>
      </c>
      <c r="AF8" s="417" t="n">
        <f aca="false">+OCCMarkets!BG8</f>
        <v>0</v>
      </c>
      <c r="AG8" s="417" t="n">
        <f aca="false">+OCCMarkets!BH8</f>
        <v>0</v>
      </c>
      <c r="AH8" s="417" t="n">
        <f aca="false">+OCCMarkets!BI8</f>
        <v>0</v>
      </c>
      <c r="AI8" s="417" t="n">
        <f aca="false">+OCCMarkets!BJ8</f>
        <v>-184</v>
      </c>
      <c r="AJ8" s="417" t="n">
        <f aca="false">+OCCMarkets!BK8</f>
        <v>2446</v>
      </c>
      <c r="AL8" s="399" t="n">
        <f aca="false">+B8+I8+P8+W8+AD8</f>
        <v>6894</v>
      </c>
      <c r="AM8" s="399" t="n">
        <f aca="false">+F8+M8+T8+AA8+AH8</f>
        <v>6208</v>
      </c>
      <c r="AN8" s="399" t="n">
        <f aca="false">+AM8-AL8</f>
        <v>-686</v>
      </c>
      <c r="AO8" s="399" t="n">
        <f aca="false">+H8+O8+V8+AC8+AJ8</f>
        <v>32637</v>
      </c>
      <c r="BB8" s="409"/>
      <c r="BC8" s="409"/>
      <c r="BD8" s="409"/>
      <c r="BE8" s="409"/>
      <c r="BF8" s="409"/>
      <c r="BG8" s="409"/>
      <c r="BH8" s="409"/>
      <c r="BI8" s="409"/>
      <c r="BJ8" s="409"/>
      <c r="BK8" s="409"/>
      <c r="BL8" s="409"/>
      <c r="BM8" s="409"/>
      <c r="BN8" s="409"/>
      <c r="BO8" s="409"/>
      <c r="BP8" s="409"/>
      <c r="BQ8" s="409"/>
      <c r="BR8" s="409"/>
      <c r="BS8" s="409"/>
      <c r="BT8" s="409"/>
      <c r="BU8" s="409"/>
      <c r="BV8" s="409"/>
      <c r="BW8" s="409"/>
      <c r="BX8" s="409"/>
      <c r="BY8" s="409"/>
      <c r="BZ8" s="409"/>
      <c r="CA8" s="409"/>
      <c r="CB8" s="409"/>
      <c r="CC8" s="409"/>
      <c r="CD8" s="409"/>
      <c r="CE8" s="409"/>
      <c r="CF8" s="409"/>
      <c r="CG8" s="409"/>
      <c r="CH8" s="409"/>
      <c r="CI8" s="409"/>
      <c r="CJ8" s="409"/>
      <c r="CK8" s="409"/>
      <c r="CL8" s="409"/>
      <c r="CM8" s="409"/>
      <c r="CN8" s="409"/>
      <c r="CO8" s="409"/>
      <c r="CP8" s="409"/>
      <c r="CQ8" s="409"/>
      <c r="CR8" s="409"/>
      <c r="CS8" s="409"/>
      <c r="CT8" s="409"/>
      <c r="CU8" s="409"/>
      <c r="CV8" s="409"/>
      <c r="CW8" s="409"/>
      <c r="CX8" s="409"/>
      <c r="CY8" s="409"/>
      <c r="CZ8" s="409"/>
      <c r="DA8" s="409"/>
      <c r="DB8" s="409"/>
      <c r="DC8" s="409"/>
      <c r="DD8" s="409"/>
    </row>
    <row r="9" customFormat="false" ht="12.75" hidden="false" customHeight="false" outlineLevel="0" collapsed="false">
      <c r="A9" s="346" t="n">
        <f aca="false">+BaseloadMarkets!A9</f>
        <v>36681</v>
      </c>
      <c r="B9" s="413" t="n">
        <f aca="false">+OCCMarkets!AC9</f>
        <v>29</v>
      </c>
      <c r="C9" s="413" t="n">
        <f aca="false">+OCCMarkets!AD9</f>
        <v>0</v>
      </c>
      <c r="D9" s="413" t="n">
        <f aca="false">+OCCMarkets!AE9</f>
        <v>0</v>
      </c>
      <c r="E9" s="413" t="n">
        <f aca="false">+OCCMarkets!AF9</f>
        <v>0</v>
      </c>
      <c r="F9" s="413" t="n">
        <f aca="false">+OCCMarkets!AG9</f>
        <v>0</v>
      </c>
      <c r="G9" s="413" t="n">
        <f aca="false">+OCCMarkets!AH9</f>
        <v>-29</v>
      </c>
      <c r="H9" s="413" t="n">
        <f aca="false">+OCCMarkets!AI9</f>
        <v>2125</v>
      </c>
      <c r="I9" s="414" t="n">
        <f aca="false">+OCCMarkets!AJ9</f>
        <v>8902</v>
      </c>
      <c r="J9" s="414" t="n">
        <f aca="false">+OCCMarkets!AK9</f>
        <v>1622</v>
      </c>
      <c r="K9" s="414" t="n">
        <f aca="false">+OCCMarkets!AL9</f>
        <v>987</v>
      </c>
      <c r="L9" s="414" t="n">
        <f aca="false">+OCCMarkets!AM9</f>
        <v>2600</v>
      </c>
      <c r="M9" s="414" t="n">
        <f aca="false">+OCCMarkets!AN9</f>
        <v>5209</v>
      </c>
      <c r="N9" s="414" t="n">
        <f aca="false">+OCCMarkets!AO9</f>
        <v>-3693</v>
      </c>
      <c r="O9" s="414" t="n">
        <f aca="false">+OCCMarkets!AP9</f>
        <v>22074</v>
      </c>
      <c r="P9" s="415" t="n">
        <f aca="false">+OCCMarkets!AQ9</f>
        <v>0</v>
      </c>
      <c r="Q9" s="415" t="n">
        <f aca="false">+OCCMarkets!AR9</f>
        <v>0</v>
      </c>
      <c r="R9" s="415" t="n">
        <f aca="false">+OCCMarkets!AS9</f>
        <v>0</v>
      </c>
      <c r="S9" s="415" t="n">
        <f aca="false">+OCCMarkets!AT9</f>
        <v>0</v>
      </c>
      <c r="T9" s="415" t="n">
        <f aca="false">+OCCMarkets!AU9</f>
        <v>0</v>
      </c>
      <c r="U9" s="415" t="n">
        <f aca="false">+OCCMarkets!AV9</f>
        <v>0</v>
      </c>
      <c r="V9" s="415" t="n">
        <f aca="false">+OCCMarkets!AW9</f>
        <v>0</v>
      </c>
      <c r="W9" s="416" t="n">
        <f aca="false">+OCCMarkets!AX9</f>
        <v>0</v>
      </c>
      <c r="X9" s="416" t="n">
        <f aca="false">+OCCMarkets!AY9</f>
        <v>0</v>
      </c>
      <c r="Y9" s="416" t="n">
        <f aca="false">+OCCMarkets!AZ9</f>
        <v>0</v>
      </c>
      <c r="Z9" s="416" t="n">
        <f aca="false">+OCCMarkets!BA9</f>
        <v>0</v>
      </c>
      <c r="AA9" s="416" t="n">
        <f aca="false">+OCCMarkets!BB9</f>
        <v>0</v>
      </c>
      <c r="AB9" s="416" t="n">
        <f aca="false">+OCCMarkets!BC9</f>
        <v>0</v>
      </c>
      <c r="AC9" s="416" t="n">
        <f aca="false">+OCCMarkets!BD9</f>
        <v>2270</v>
      </c>
      <c r="AD9" s="417" t="n">
        <f aca="false">+OCCMarkets!BE9</f>
        <v>0</v>
      </c>
      <c r="AE9" s="417" t="n">
        <f aca="false">+OCCMarkets!BF9</f>
        <v>0</v>
      </c>
      <c r="AF9" s="417" t="n">
        <f aca="false">+OCCMarkets!BG9</f>
        <v>0</v>
      </c>
      <c r="AG9" s="417" t="n">
        <f aca="false">+OCCMarkets!BH9</f>
        <v>0</v>
      </c>
      <c r="AH9" s="417" t="n">
        <f aca="false">+OCCMarkets!BI9</f>
        <v>0</v>
      </c>
      <c r="AI9" s="417" t="n">
        <f aca="false">+OCCMarkets!BJ9</f>
        <v>0</v>
      </c>
      <c r="AJ9" s="417" t="n">
        <f aca="false">+OCCMarkets!BK9</f>
        <v>2446</v>
      </c>
      <c r="AL9" s="399" t="n">
        <f aca="false">+B9+I9+P9+W9+AD9</f>
        <v>8931</v>
      </c>
      <c r="AM9" s="399" t="n">
        <f aca="false">+F9+M9+T9+AA9+AH9</f>
        <v>5209</v>
      </c>
      <c r="AN9" s="399" t="n">
        <f aca="false">+AM9-AL9</f>
        <v>-3722</v>
      </c>
      <c r="AO9" s="399" t="n">
        <f aca="false">+H9+O9+V9+AC9+AJ9</f>
        <v>28915</v>
      </c>
      <c r="BB9" s="409"/>
      <c r="BC9" s="409"/>
      <c r="BD9" s="409"/>
      <c r="BE9" s="409"/>
      <c r="BF9" s="409"/>
      <c r="BG9" s="409"/>
      <c r="BH9" s="409"/>
      <c r="BI9" s="409"/>
      <c r="BJ9" s="409"/>
      <c r="BK9" s="409"/>
      <c r="BL9" s="409"/>
      <c r="BM9" s="409"/>
      <c r="BN9" s="409"/>
      <c r="BO9" s="409"/>
      <c r="BP9" s="409"/>
      <c r="BQ9" s="409"/>
      <c r="BR9" s="409"/>
      <c r="BS9" s="409"/>
      <c r="BT9" s="409"/>
      <c r="BU9" s="409"/>
      <c r="BV9" s="409"/>
      <c r="BW9" s="409"/>
      <c r="BX9" s="409"/>
      <c r="BY9" s="409"/>
      <c r="BZ9" s="409"/>
      <c r="CA9" s="409"/>
      <c r="CB9" s="409"/>
      <c r="CC9" s="409"/>
      <c r="CD9" s="409"/>
      <c r="CE9" s="409"/>
      <c r="CF9" s="409"/>
      <c r="CG9" s="409"/>
      <c r="CH9" s="409"/>
      <c r="CI9" s="409"/>
      <c r="CJ9" s="409"/>
      <c r="CK9" s="409"/>
      <c r="CL9" s="409"/>
      <c r="CM9" s="409"/>
      <c r="CN9" s="409"/>
      <c r="CO9" s="409"/>
      <c r="CP9" s="409"/>
      <c r="CQ9" s="409"/>
      <c r="CR9" s="409"/>
      <c r="CS9" s="409"/>
      <c r="CT9" s="409"/>
      <c r="CU9" s="409"/>
      <c r="CV9" s="409"/>
      <c r="CW9" s="409"/>
      <c r="CX9" s="409"/>
      <c r="CY9" s="409"/>
      <c r="CZ9" s="409"/>
      <c r="DA9" s="409"/>
      <c r="DB9" s="409"/>
      <c r="DC9" s="409"/>
      <c r="DD9" s="409"/>
    </row>
    <row r="10" customFormat="false" ht="12.75" hidden="false" customHeight="false" outlineLevel="0" collapsed="false">
      <c r="A10" s="346" t="n">
        <f aca="false">+BaseloadMarkets!A10</f>
        <v>36682</v>
      </c>
      <c r="B10" s="413" t="n">
        <f aca="false">+OCCMarkets!AC10</f>
        <v>99</v>
      </c>
      <c r="C10" s="413" t="n">
        <f aca="false">+OCCMarkets!AD10</f>
        <v>0</v>
      </c>
      <c r="D10" s="413" t="n">
        <f aca="false">+OCCMarkets!AE10</f>
        <v>0</v>
      </c>
      <c r="E10" s="413" t="n">
        <f aca="false">+OCCMarkets!AF10</f>
        <v>0</v>
      </c>
      <c r="F10" s="413" t="n">
        <f aca="false">+OCCMarkets!AG10</f>
        <v>0</v>
      </c>
      <c r="G10" s="413" t="n">
        <f aca="false">+OCCMarkets!AH10</f>
        <v>-99</v>
      </c>
      <c r="H10" s="413" t="n">
        <f aca="false">+OCCMarkets!AI10</f>
        <v>2026</v>
      </c>
      <c r="I10" s="414" t="n">
        <f aca="false">+OCCMarkets!AJ10</f>
        <v>9253</v>
      </c>
      <c r="J10" s="414" t="n">
        <f aca="false">+OCCMarkets!AK10</f>
        <v>2351</v>
      </c>
      <c r="K10" s="414" t="n">
        <f aca="false">+OCCMarkets!AL10</f>
        <v>987</v>
      </c>
      <c r="L10" s="414" t="n">
        <f aca="false">+OCCMarkets!AM10</f>
        <v>2600</v>
      </c>
      <c r="M10" s="414" t="n">
        <f aca="false">+OCCMarkets!AN10</f>
        <v>5938</v>
      </c>
      <c r="N10" s="414" t="n">
        <f aca="false">+OCCMarkets!AO10</f>
        <v>-3315</v>
      </c>
      <c r="O10" s="414" t="n">
        <f aca="false">+OCCMarkets!AP10</f>
        <v>18759</v>
      </c>
      <c r="P10" s="415" t="n">
        <f aca="false">+OCCMarkets!AQ10</f>
        <v>0</v>
      </c>
      <c r="Q10" s="415" t="n">
        <f aca="false">+OCCMarkets!AR10</f>
        <v>0</v>
      </c>
      <c r="R10" s="415" t="n">
        <f aca="false">+OCCMarkets!AS10</f>
        <v>0</v>
      </c>
      <c r="S10" s="415" t="n">
        <f aca="false">+OCCMarkets!AT10</f>
        <v>0</v>
      </c>
      <c r="T10" s="415" t="n">
        <f aca="false">+OCCMarkets!AU10</f>
        <v>0</v>
      </c>
      <c r="U10" s="415" t="n">
        <f aca="false">+OCCMarkets!AV10</f>
        <v>0</v>
      </c>
      <c r="V10" s="415" t="n">
        <f aca="false">+OCCMarkets!AW10</f>
        <v>0</v>
      </c>
      <c r="W10" s="416" t="n">
        <f aca="false">+OCCMarkets!AX10</f>
        <v>172</v>
      </c>
      <c r="X10" s="416" t="n">
        <f aca="false">+OCCMarkets!AY10</f>
        <v>0</v>
      </c>
      <c r="Y10" s="416" t="n">
        <f aca="false">+OCCMarkets!AZ10</f>
        <v>0</v>
      </c>
      <c r="Z10" s="416" t="n">
        <f aca="false">+OCCMarkets!BA10</f>
        <v>0</v>
      </c>
      <c r="AA10" s="416" t="n">
        <f aca="false">+OCCMarkets!BB10</f>
        <v>0</v>
      </c>
      <c r="AB10" s="416" t="n">
        <f aca="false">+OCCMarkets!BC10</f>
        <v>-172</v>
      </c>
      <c r="AC10" s="416" t="n">
        <f aca="false">+OCCMarkets!BD10</f>
        <v>2098</v>
      </c>
      <c r="AD10" s="417" t="n">
        <f aca="false">+OCCMarkets!BE10</f>
        <v>271</v>
      </c>
      <c r="AE10" s="417" t="n">
        <f aca="false">+OCCMarkets!BF10</f>
        <v>0</v>
      </c>
      <c r="AF10" s="417" t="n">
        <f aca="false">+OCCMarkets!BG10</f>
        <v>0</v>
      </c>
      <c r="AG10" s="417" t="n">
        <f aca="false">+OCCMarkets!BH10</f>
        <v>0</v>
      </c>
      <c r="AH10" s="417" t="n">
        <f aca="false">+OCCMarkets!BI10</f>
        <v>0</v>
      </c>
      <c r="AI10" s="417" t="n">
        <f aca="false">+OCCMarkets!BJ10</f>
        <v>-271</v>
      </c>
      <c r="AJ10" s="417" t="n">
        <f aca="false">+OCCMarkets!BK10</f>
        <v>2175</v>
      </c>
      <c r="AL10" s="399" t="n">
        <f aca="false">+B10+I10+P10+W10+AD10</f>
        <v>9795</v>
      </c>
      <c r="AM10" s="399" t="n">
        <f aca="false">+F10+M10+T10+AA10+AH10</f>
        <v>5938</v>
      </c>
      <c r="AN10" s="399" t="n">
        <f aca="false">+AM10-AL10</f>
        <v>-3857</v>
      </c>
      <c r="AO10" s="399" t="n">
        <f aca="false">+H10+O10+V10+AC10+AJ10</f>
        <v>25058</v>
      </c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  <c r="BR10" s="409"/>
      <c r="BS10" s="409"/>
      <c r="BT10" s="409"/>
      <c r="BU10" s="409"/>
      <c r="BV10" s="409"/>
      <c r="BW10" s="409"/>
      <c r="BX10" s="409"/>
      <c r="BY10" s="409"/>
      <c r="BZ10" s="409"/>
      <c r="CA10" s="409"/>
      <c r="CB10" s="409"/>
      <c r="CC10" s="409"/>
      <c r="CD10" s="409"/>
      <c r="CE10" s="409"/>
      <c r="CF10" s="409"/>
      <c r="CG10" s="409"/>
      <c r="CH10" s="409"/>
      <c r="CI10" s="409"/>
      <c r="CJ10" s="409"/>
      <c r="CK10" s="409"/>
      <c r="CL10" s="409"/>
      <c r="CM10" s="409"/>
      <c r="CN10" s="409"/>
      <c r="CO10" s="409"/>
      <c r="CP10" s="409"/>
      <c r="CQ10" s="409"/>
      <c r="CR10" s="409"/>
      <c r="CS10" s="409"/>
      <c r="CT10" s="409"/>
      <c r="CU10" s="409"/>
      <c r="CV10" s="409"/>
      <c r="CW10" s="409"/>
      <c r="CX10" s="409"/>
      <c r="CY10" s="409"/>
      <c r="CZ10" s="409"/>
      <c r="DA10" s="409"/>
      <c r="DB10" s="409"/>
      <c r="DC10" s="409"/>
      <c r="DD10" s="409"/>
    </row>
    <row r="11" customFormat="false" ht="12.75" hidden="false" customHeight="false" outlineLevel="0" collapsed="false">
      <c r="A11" s="346" t="n">
        <f aca="false">+BaseloadMarkets!A11</f>
        <v>36683</v>
      </c>
      <c r="B11" s="413" t="n">
        <f aca="false">+OCCMarkets!AC11</f>
        <v>211</v>
      </c>
      <c r="C11" s="413" t="n">
        <f aca="false">+OCCMarkets!AD11</f>
        <v>361</v>
      </c>
      <c r="D11" s="413" t="n">
        <f aca="false">+OCCMarkets!AE11</f>
        <v>0</v>
      </c>
      <c r="E11" s="413" t="n">
        <f aca="false">+OCCMarkets!AF11</f>
        <v>0</v>
      </c>
      <c r="F11" s="413" t="n">
        <f aca="false">+OCCMarkets!AG11</f>
        <v>361</v>
      </c>
      <c r="G11" s="413" t="n">
        <f aca="false">+OCCMarkets!AH11</f>
        <v>150</v>
      </c>
      <c r="H11" s="413" t="n">
        <f aca="false">+OCCMarkets!AI11</f>
        <v>2176</v>
      </c>
      <c r="I11" s="414" t="n">
        <f aca="false">+OCCMarkets!AJ11</f>
        <v>9307</v>
      </c>
      <c r="J11" s="414" t="n">
        <f aca="false">+OCCMarkets!AK11</f>
        <v>12261</v>
      </c>
      <c r="K11" s="414" t="n">
        <f aca="false">+OCCMarkets!AL11</f>
        <v>987</v>
      </c>
      <c r="L11" s="414" t="n">
        <f aca="false">+OCCMarkets!AM11</f>
        <v>9000</v>
      </c>
      <c r="M11" s="414" t="n">
        <f aca="false">+OCCMarkets!AN11</f>
        <v>22248</v>
      </c>
      <c r="N11" s="414" t="n">
        <f aca="false">+OCCMarkets!AO11</f>
        <v>12941</v>
      </c>
      <c r="O11" s="414" t="n">
        <f aca="false">+OCCMarkets!AP11</f>
        <v>31700</v>
      </c>
      <c r="P11" s="415" t="n">
        <f aca="false">+OCCMarkets!AQ11</f>
        <v>0</v>
      </c>
      <c r="Q11" s="415" t="n">
        <f aca="false">+OCCMarkets!AR11</f>
        <v>0</v>
      </c>
      <c r="R11" s="415" t="n">
        <f aca="false">+OCCMarkets!AS11</f>
        <v>0</v>
      </c>
      <c r="S11" s="415" t="n">
        <f aca="false">+OCCMarkets!AT11</f>
        <v>0</v>
      </c>
      <c r="T11" s="415" t="n">
        <f aca="false">+OCCMarkets!AU11</f>
        <v>0</v>
      </c>
      <c r="U11" s="415" t="n">
        <f aca="false">+OCCMarkets!AV11</f>
        <v>0</v>
      </c>
      <c r="V11" s="415" t="n">
        <f aca="false">+OCCMarkets!AW11</f>
        <v>0</v>
      </c>
      <c r="W11" s="416" t="n">
        <f aca="false">+OCCMarkets!AX11</f>
        <v>199</v>
      </c>
      <c r="X11" s="416" t="n">
        <f aca="false">+OCCMarkets!AY11</f>
        <v>361</v>
      </c>
      <c r="Y11" s="416" t="n">
        <f aca="false">+OCCMarkets!AZ11</f>
        <v>0</v>
      </c>
      <c r="Z11" s="416" t="n">
        <f aca="false">+OCCMarkets!BA11</f>
        <v>0</v>
      </c>
      <c r="AA11" s="416" t="n">
        <f aca="false">+OCCMarkets!BB11</f>
        <v>361</v>
      </c>
      <c r="AB11" s="416" t="n">
        <f aca="false">+OCCMarkets!BC11</f>
        <v>162</v>
      </c>
      <c r="AC11" s="416" t="n">
        <f aca="false">+OCCMarkets!BD11</f>
        <v>2260</v>
      </c>
      <c r="AD11" s="417" t="n">
        <f aca="false">+OCCMarkets!BE11</f>
        <v>327</v>
      </c>
      <c r="AE11" s="417" t="n">
        <f aca="false">+OCCMarkets!BF11</f>
        <v>361</v>
      </c>
      <c r="AF11" s="417" t="n">
        <f aca="false">+OCCMarkets!BG11</f>
        <v>0</v>
      </c>
      <c r="AG11" s="417" t="n">
        <f aca="false">+OCCMarkets!BH11</f>
        <v>0</v>
      </c>
      <c r="AH11" s="417" t="n">
        <f aca="false">+OCCMarkets!BI11</f>
        <v>361</v>
      </c>
      <c r="AI11" s="417" t="n">
        <f aca="false">+OCCMarkets!BJ11</f>
        <v>34</v>
      </c>
      <c r="AJ11" s="417" t="n">
        <f aca="false">+OCCMarkets!BK11</f>
        <v>2209</v>
      </c>
      <c r="AL11" s="399" t="n">
        <f aca="false">+B11+I11+P11+W11+AD11</f>
        <v>10044</v>
      </c>
      <c r="AM11" s="399" t="n">
        <f aca="false">+F11+M11+T11+AA11+AH11</f>
        <v>23331</v>
      </c>
      <c r="AN11" s="399" t="n">
        <f aca="false">+AM11-AL11</f>
        <v>13287</v>
      </c>
      <c r="AO11" s="399" t="n">
        <f aca="false">+H11+O11+V11+AC11+AJ11</f>
        <v>38345</v>
      </c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  <c r="BR11" s="409"/>
      <c r="BS11" s="409"/>
      <c r="BT11" s="409"/>
      <c r="BU11" s="409"/>
      <c r="BV11" s="409"/>
      <c r="BW11" s="409"/>
      <c r="BX11" s="409"/>
      <c r="BY11" s="409"/>
      <c r="BZ11" s="409"/>
      <c r="CA11" s="409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409"/>
      <c r="CN11" s="409"/>
      <c r="CO11" s="409"/>
      <c r="CP11" s="409"/>
      <c r="CQ11" s="409"/>
      <c r="CR11" s="409"/>
      <c r="CS11" s="409"/>
      <c r="CT11" s="409"/>
      <c r="CU11" s="409"/>
      <c r="CV11" s="409"/>
      <c r="CW11" s="409"/>
      <c r="CX11" s="409"/>
      <c r="CY11" s="409"/>
      <c r="CZ11" s="409"/>
      <c r="DA11" s="409"/>
      <c r="DB11" s="409"/>
      <c r="DC11" s="409"/>
      <c r="DD11" s="409"/>
    </row>
    <row r="12" customFormat="false" ht="12.75" hidden="false" customHeight="false" outlineLevel="0" collapsed="false">
      <c r="A12" s="346" t="n">
        <f aca="false">+BaseloadMarkets!A12</f>
        <v>36684</v>
      </c>
      <c r="B12" s="413" t="n">
        <f aca="false">+OCCMarkets!AC12</f>
        <v>190</v>
      </c>
      <c r="C12" s="413" t="n">
        <f aca="false">+OCCMarkets!AD12</f>
        <v>204</v>
      </c>
      <c r="D12" s="413" t="n">
        <f aca="false">+OCCMarkets!AE12</f>
        <v>0</v>
      </c>
      <c r="E12" s="413" t="n">
        <f aca="false">+OCCMarkets!AF12</f>
        <v>0</v>
      </c>
      <c r="F12" s="413" t="n">
        <f aca="false">+OCCMarkets!AG12</f>
        <v>204</v>
      </c>
      <c r="G12" s="413" t="n">
        <f aca="false">+OCCMarkets!AH12</f>
        <v>14</v>
      </c>
      <c r="H12" s="413" t="n">
        <f aca="false">+OCCMarkets!AI12</f>
        <v>2190</v>
      </c>
      <c r="I12" s="414" t="n">
        <f aca="false">+OCCMarkets!AJ12</f>
        <v>9274</v>
      </c>
      <c r="J12" s="414" t="n">
        <f aca="false">+OCCMarkets!AK12</f>
        <v>17254</v>
      </c>
      <c r="K12" s="414" t="n">
        <f aca="false">+OCCMarkets!AL12</f>
        <v>988</v>
      </c>
      <c r="L12" s="414" t="n">
        <f aca="false">+OCCMarkets!AM12</f>
        <v>52165</v>
      </c>
      <c r="M12" s="414" t="n">
        <f aca="false">+OCCMarkets!AN12</f>
        <v>70407</v>
      </c>
      <c r="N12" s="414" t="n">
        <f aca="false">+OCCMarkets!AO12</f>
        <v>61133</v>
      </c>
      <c r="O12" s="414" t="n">
        <f aca="false">+OCCMarkets!AP12</f>
        <v>92833</v>
      </c>
      <c r="P12" s="415" t="n">
        <f aca="false">+OCCMarkets!AQ12</f>
        <v>0</v>
      </c>
      <c r="Q12" s="415" t="n">
        <f aca="false">+OCCMarkets!AR12</f>
        <v>0</v>
      </c>
      <c r="R12" s="415" t="n">
        <f aca="false">+OCCMarkets!AS12</f>
        <v>0</v>
      </c>
      <c r="S12" s="415" t="n">
        <f aca="false">+OCCMarkets!AT12</f>
        <v>0</v>
      </c>
      <c r="T12" s="415" t="n">
        <f aca="false">+OCCMarkets!AU12</f>
        <v>0</v>
      </c>
      <c r="U12" s="415" t="n">
        <f aca="false">+OCCMarkets!AV12</f>
        <v>0</v>
      </c>
      <c r="V12" s="415" t="n">
        <f aca="false">+OCCMarkets!AW12</f>
        <v>0</v>
      </c>
      <c r="W12" s="416" t="n">
        <f aca="false">+OCCMarkets!AX12</f>
        <v>192</v>
      </c>
      <c r="X12" s="416" t="n">
        <f aca="false">+OCCMarkets!AY12</f>
        <v>204</v>
      </c>
      <c r="Y12" s="416" t="n">
        <f aca="false">+OCCMarkets!AZ12</f>
        <v>0</v>
      </c>
      <c r="Z12" s="416" t="n">
        <f aca="false">+OCCMarkets!BA12</f>
        <v>0</v>
      </c>
      <c r="AA12" s="416" t="n">
        <f aca="false">+OCCMarkets!BB12</f>
        <v>204</v>
      </c>
      <c r="AB12" s="416" t="n">
        <f aca="false">+OCCMarkets!BC12</f>
        <v>12</v>
      </c>
      <c r="AC12" s="416" t="n">
        <f aca="false">+OCCMarkets!BD12</f>
        <v>2272</v>
      </c>
      <c r="AD12" s="417" t="n">
        <f aca="false">+OCCMarkets!BE12</f>
        <v>323</v>
      </c>
      <c r="AE12" s="417" t="n">
        <f aca="false">+OCCMarkets!BF12</f>
        <v>656</v>
      </c>
      <c r="AF12" s="417" t="n">
        <f aca="false">+OCCMarkets!BG12</f>
        <v>0</v>
      </c>
      <c r="AG12" s="417" t="n">
        <f aca="false">+OCCMarkets!BH12</f>
        <v>0</v>
      </c>
      <c r="AH12" s="417" t="n">
        <f aca="false">+OCCMarkets!BI12</f>
        <v>656</v>
      </c>
      <c r="AI12" s="417" t="n">
        <f aca="false">+OCCMarkets!BJ12</f>
        <v>333</v>
      </c>
      <c r="AJ12" s="417" t="n">
        <f aca="false">+OCCMarkets!BK12</f>
        <v>2542</v>
      </c>
      <c r="AL12" s="399" t="n">
        <f aca="false">+B12+I12+P12+W12+AD12</f>
        <v>9979</v>
      </c>
      <c r="AM12" s="399" t="n">
        <f aca="false">+F12+M12+T12+AA12+AH12</f>
        <v>71471</v>
      </c>
      <c r="AN12" s="399" t="n">
        <f aca="false">+AM12-AL12</f>
        <v>61492</v>
      </c>
      <c r="AO12" s="399" t="n">
        <f aca="false">+H12+O12+V12+AC12+AJ12</f>
        <v>99837</v>
      </c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  <c r="BR12" s="409"/>
      <c r="BS12" s="409"/>
      <c r="BT12" s="409"/>
      <c r="BU12" s="409"/>
      <c r="BV12" s="409"/>
      <c r="BW12" s="409"/>
      <c r="BX12" s="409"/>
      <c r="BY12" s="409"/>
      <c r="BZ12" s="409"/>
      <c r="CA12" s="409"/>
      <c r="CB12" s="409"/>
      <c r="CC12" s="409"/>
      <c r="CD12" s="409"/>
      <c r="CE12" s="409"/>
      <c r="CF12" s="409"/>
      <c r="CG12" s="409"/>
      <c r="CH12" s="409"/>
      <c r="CI12" s="409"/>
      <c r="CJ12" s="409"/>
      <c r="CK12" s="409"/>
      <c r="CL12" s="409"/>
      <c r="CM12" s="409"/>
      <c r="CN12" s="409"/>
      <c r="CO12" s="409"/>
      <c r="CP12" s="409"/>
      <c r="CQ12" s="409"/>
      <c r="CR12" s="409"/>
      <c r="CS12" s="409"/>
      <c r="CT12" s="409"/>
      <c r="CU12" s="409"/>
      <c r="CV12" s="409"/>
      <c r="CW12" s="409"/>
      <c r="CX12" s="409"/>
      <c r="CY12" s="409"/>
      <c r="CZ12" s="409"/>
      <c r="DA12" s="409"/>
      <c r="DB12" s="409"/>
      <c r="DC12" s="409"/>
      <c r="DD12" s="409"/>
    </row>
    <row r="13" customFormat="false" ht="12.75" hidden="false" customHeight="false" outlineLevel="0" collapsed="false">
      <c r="A13" s="346" t="n">
        <f aca="false">+BaseloadMarkets!A13</f>
        <v>36685</v>
      </c>
      <c r="B13" s="413" t="n">
        <f aca="false">+OCCMarkets!AC13</f>
        <v>200</v>
      </c>
      <c r="C13" s="413" t="n">
        <f aca="false">+OCCMarkets!AD13</f>
        <v>418</v>
      </c>
      <c r="D13" s="413" t="n">
        <f aca="false">+OCCMarkets!AE13</f>
        <v>0</v>
      </c>
      <c r="E13" s="413" t="n">
        <f aca="false">+OCCMarkets!AF13</f>
        <v>0</v>
      </c>
      <c r="F13" s="413" t="n">
        <f aca="false">+OCCMarkets!AG13</f>
        <v>418</v>
      </c>
      <c r="G13" s="413" t="n">
        <f aca="false">+OCCMarkets!AH13</f>
        <v>218</v>
      </c>
      <c r="H13" s="413" t="n">
        <f aca="false">+OCCMarkets!AI13</f>
        <v>2408</v>
      </c>
      <c r="I13" s="414" t="n">
        <f aca="false">+OCCMarkets!AJ13</f>
        <v>9399</v>
      </c>
      <c r="J13" s="414" t="n">
        <f aca="false">+OCCMarkets!AK13</f>
        <v>9468</v>
      </c>
      <c r="K13" s="414" t="n">
        <f aca="false">+OCCMarkets!AL13</f>
        <v>988</v>
      </c>
      <c r="L13" s="414" t="n">
        <f aca="false">+OCCMarkets!AM13</f>
        <v>18100</v>
      </c>
      <c r="M13" s="414" t="n">
        <f aca="false">+OCCMarkets!AN13</f>
        <v>28556</v>
      </c>
      <c r="N13" s="414" t="n">
        <f aca="false">+OCCMarkets!AO13</f>
        <v>19157</v>
      </c>
      <c r="O13" s="414" t="n">
        <f aca="false">+OCCMarkets!AP13</f>
        <v>111990</v>
      </c>
      <c r="P13" s="415" t="n">
        <f aca="false">+OCCMarkets!AQ13</f>
        <v>0</v>
      </c>
      <c r="Q13" s="415" t="n">
        <f aca="false">+OCCMarkets!AR13</f>
        <v>0</v>
      </c>
      <c r="R13" s="415" t="n">
        <f aca="false">+OCCMarkets!AS13</f>
        <v>0</v>
      </c>
      <c r="S13" s="415" t="n">
        <f aca="false">+OCCMarkets!AT13</f>
        <v>0</v>
      </c>
      <c r="T13" s="415" t="n">
        <f aca="false">+OCCMarkets!AU13</f>
        <v>0</v>
      </c>
      <c r="U13" s="415" t="n">
        <f aca="false">+OCCMarkets!AV13</f>
        <v>0</v>
      </c>
      <c r="V13" s="415" t="n">
        <f aca="false">+OCCMarkets!AW13</f>
        <v>0</v>
      </c>
      <c r="W13" s="416" t="n">
        <f aca="false">+OCCMarkets!AX13</f>
        <v>200</v>
      </c>
      <c r="X13" s="416" t="n">
        <f aca="false">+OCCMarkets!AY13</f>
        <v>418</v>
      </c>
      <c r="Y13" s="416" t="n">
        <f aca="false">+OCCMarkets!AZ13</f>
        <v>0</v>
      </c>
      <c r="Z13" s="416" t="n">
        <f aca="false">+OCCMarkets!BA13</f>
        <v>0</v>
      </c>
      <c r="AA13" s="416" t="n">
        <f aca="false">+OCCMarkets!BB13</f>
        <v>418</v>
      </c>
      <c r="AB13" s="416" t="n">
        <f aca="false">+OCCMarkets!BC13</f>
        <v>218</v>
      </c>
      <c r="AC13" s="416" t="n">
        <f aca="false">+OCCMarkets!BD13</f>
        <v>2490</v>
      </c>
      <c r="AD13" s="417" t="n">
        <f aca="false">+OCCMarkets!BE13</f>
        <v>307</v>
      </c>
      <c r="AE13" s="417" t="n">
        <f aca="false">+OCCMarkets!BF13</f>
        <v>878</v>
      </c>
      <c r="AF13" s="417" t="n">
        <f aca="false">+OCCMarkets!BG13</f>
        <v>0</v>
      </c>
      <c r="AG13" s="417" t="n">
        <f aca="false">+OCCMarkets!BH13</f>
        <v>0</v>
      </c>
      <c r="AH13" s="417" t="n">
        <f aca="false">+OCCMarkets!BI13</f>
        <v>878</v>
      </c>
      <c r="AI13" s="417" t="n">
        <f aca="false">+OCCMarkets!BJ13</f>
        <v>571</v>
      </c>
      <c r="AJ13" s="417" t="n">
        <f aca="false">+OCCMarkets!BK13</f>
        <v>3113</v>
      </c>
      <c r="AL13" s="399" t="n">
        <f aca="false">+B13+I13+P13+W13+AD13</f>
        <v>10106</v>
      </c>
      <c r="AM13" s="399" t="n">
        <f aca="false">+F13+M13+T13+AA13+AH13</f>
        <v>30270</v>
      </c>
      <c r="AN13" s="399" t="n">
        <f aca="false">+AM13-AL13</f>
        <v>20164</v>
      </c>
      <c r="AO13" s="399" t="n">
        <f aca="false">+H13+O13+V13+AC13+AJ13</f>
        <v>120001</v>
      </c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  <c r="BR13" s="409"/>
      <c r="BS13" s="409"/>
      <c r="BT13" s="409"/>
      <c r="BU13" s="409"/>
      <c r="BV13" s="409"/>
      <c r="BW13" s="409"/>
      <c r="BX13" s="409"/>
      <c r="BY13" s="409"/>
      <c r="BZ13" s="409"/>
      <c r="CA13" s="409"/>
      <c r="CB13" s="409"/>
      <c r="CC13" s="409"/>
      <c r="CD13" s="409"/>
      <c r="CE13" s="409"/>
      <c r="CF13" s="409"/>
      <c r="CG13" s="409"/>
      <c r="CH13" s="409"/>
      <c r="CI13" s="409"/>
      <c r="CJ13" s="409"/>
      <c r="CK13" s="409"/>
      <c r="CL13" s="409"/>
      <c r="CM13" s="409"/>
      <c r="CN13" s="409"/>
      <c r="CO13" s="409"/>
      <c r="CP13" s="409"/>
      <c r="CQ13" s="409"/>
      <c r="CR13" s="409"/>
      <c r="CS13" s="409"/>
      <c r="CT13" s="409"/>
      <c r="CU13" s="409"/>
      <c r="CV13" s="409"/>
      <c r="CW13" s="409"/>
      <c r="CX13" s="409"/>
      <c r="CY13" s="409"/>
      <c r="CZ13" s="409"/>
      <c r="DA13" s="409"/>
      <c r="DB13" s="409"/>
      <c r="DC13" s="409"/>
      <c r="DD13" s="409"/>
    </row>
    <row r="14" customFormat="false" ht="12.75" hidden="false" customHeight="false" outlineLevel="0" collapsed="false">
      <c r="A14" s="346" t="n">
        <f aca="false">+BaseloadMarkets!A14</f>
        <v>36686</v>
      </c>
      <c r="B14" s="413" t="n">
        <f aca="false">+OCCMarkets!AC14</f>
        <v>208</v>
      </c>
      <c r="C14" s="413" t="n">
        <f aca="false">+OCCMarkets!AD14</f>
        <v>420</v>
      </c>
      <c r="D14" s="413" t="n">
        <f aca="false">+OCCMarkets!AE14</f>
        <v>0</v>
      </c>
      <c r="E14" s="413" t="n">
        <f aca="false">+OCCMarkets!AF14</f>
        <v>0</v>
      </c>
      <c r="F14" s="413" t="n">
        <f aca="false">+OCCMarkets!AG14</f>
        <v>420</v>
      </c>
      <c r="G14" s="413" t="n">
        <f aca="false">+OCCMarkets!AH14</f>
        <v>212</v>
      </c>
      <c r="H14" s="413" t="n">
        <f aca="false">+OCCMarkets!AI14</f>
        <v>2620</v>
      </c>
      <c r="I14" s="414" t="n">
        <f aca="false">+OCCMarkets!AJ14</f>
        <v>9156</v>
      </c>
      <c r="J14" s="414" t="n">
        <f aca="false">+OCCMarkets!AK14</f>
        <v>12702</v>
      </c>
      <c r="K14" s="414" t="n">
        <f aca="false">+OCCMarkets!AL14</f>
        <v>987</v>
      </c>
      <c r="L14" s="414" t="n">
        <f aca="false">+OCCMarkets!AM14</f>
        <v>9000</v>
      </c>
      <c r="M14" s="414" t="n">
        <f aca="false">+OCCMarkets!AN14</f>
        <v>22689</v>
      </c>
      <c r="N14" s="414" t="n">
        <f aca="false">+OCCMarkets!AO14</f>
        <v>13533</v>
      </c>
      <c r="O14" s="414" t="n">
        <f aca="false">+OCCMarkets!AP14</f>
        <v>125523</v>
      </c>
      <c r="P14" s="415" t="n">
        <f aca="false">+OCCMarkets!AQ14</f>
        <v>0</v>
      </c>
      <c r="Q14" s="415" t="n">
        <f aca="false">+OCCMarkets!AR14</f>
        <v>0</v>
      </c>
      <c r="R14" s="415" t="n">
        <f aca="false">+OCCMarkets!AS14</f>
        <v>0</v>
      </c>
      <c r="S14" s="415" t="n">
        <f aca="false">+OCCMarkets!AT14</f>
        <v>0</v>
      </c>
      <c r="T14" s="415" t="n">
        <f aca="false">+OCCMarkets!AU14</f>
        <v>0</v>
      </c>
      <c r="U14" s="415" t="n">
        <f aca="false">+OCCMarkets!AV14</f>
        <v>0</v>
      </c>
      <c r="V14" s="415" t="n">
        <f aca="false">+OCCMarkets!AW14</f>
        <v>0</v>
      </c>
      <c r="W14" s="416" t="n">
        <f aca="false">+OCCMarkets!AX14</f>
        <v>207</v>
      </c>
      <c r="X14" s="416" t="n">
        <f aca="false">+OCCMarkets!AY14</f>
        <v>546</v>
      </c>
      <c r="Y14" s="416" t="n">
        <f aca="false">+OCCMarkets!AZ14</f>
        <v>0</v>
      </c>
      <c r="Z14" s="416" t="n">
        <f aca="false">+OCCMarkets!BA14</f>
        <v>0</v>
      </c>
      <c r="AA14" s="416" t="n">
        <f aca="false">+OCCMarkets!BB14</f>
        <v>546</v>
      </c>
      <c r="AB14" s="416" t="n">
        <f aca="false">+OCCMarkets!BC14</f>
        <v>339</v>
      </c>
      <c r="AC14" s="416" t="n">
        <f aca="false">+OCCMarkets!BD14</f>
        <v>2829</v>
      </c>
      <c r="AD14" s="417" t="n">
        <f aca="false">+OCCMarkets!BE14</f>
        <v>312</v>
      </c>
      <c r="AE14" s="417" t="n">
        <f aca="false">+OCCMarkets!BF14</f>
        <v>884</v>
      </c>
      <c r="AF14" s="417" t="n">
        <f aca="false">+OCCMarkets!BG14</f>
        <v>0</v>
      </c>
      <c r="AG14" s="417" t="n">
        <f aca="false">+OCCMarkets!BH14</f>
        <v>0</v>
      </c>
      <c r="AH14" s="417" t="n">
        <f aca="false">+OCCMarkets!BI14</f>
        <v>884</v>
      </c>
      <c r="AI14" s="417" t="n">
        <f aca="false">+OCCMarkets!BJ14</f>
        <v>572</v>
      </c>
      <c r="AJ14" s="417" t="n">
        <f aca="false">+OCCMarkets!BK14</f>
        <v>3685</v>
      </c>
      <c r="AL14" s="399" t="n">
        <f aca="false">+B14+I14+P14+W14+AD14</f>
        <v>9883</v>
      </c>
      <c r="AM14" s="399" t="n">
        <f aca="false">+F14+M14+T14+AA14+AH14</f>
        <v>24539</v>
      </c>
      <c r="AN14" s="399" t="n">
        <f aca="false">+AM14-AL14</f>
        <v>14656</v>
      </c>
      <c r="AO14" s="399" t="n">
        <f aca="false">+H14+O14+V14+AC14+AJ14</f>
        <v>134657</v>
      </c>
      <c r="BB14" s="409"/>
      <c r="BC14" s="409"/>
      <c r="BD14" s="409"/>
      <c r="BE14" s="409"/>
      <c r="BF14" s="409"/>
      <c r="BG14" s="409"/>
      <c r="BH14" s="409"/>
      <c r="BI14" s="409"/>
      <c r="BJ14" s="409"/>
      <c r="BK14" s="409"/>
      <c r="BL14" s="409"/>
      <c r="BM14" s="409"/>
      <c r="BN14" s="409"/>
      <c r="BO14" s="409"/>
      <c r="BP14" s="409"/>
      <c r="BQ14" s="409"/>
      <c r="BR14" s="409"/>
      <c r="BS14" s="409"/>
      <c r="BT14" s="409"/>
      <c r="BU14" s="409"/>
      <c r="BV14" s="409"/>
      <c r="BW14" s="409"/>
      <c r="BX14" s="409"/>
      <c r="BY14" s="409"/>
      <c r="BZ14" s="409"/>
      <c r="CA14" s="409"/>
      <c r="CB14" s="409"/>
      <c r="CC14" s="409"/>
      <c r="CD14" s="409"/>
      <c r="CE14" s="409"/>
      <c r="CF14" s="409"/>
      <c r="CG14" s="409"/>
      <c r="CH14" s="409"/>
      <c r="CI14" s="409"/>
      <c r="CJ14" s="409"/>
      <c r="CK14" s="409"/>
      <c r="CL14" s="409"/>
      <c r="CM14" s="409"/>
      <c r="CN14" s="409"/>
      <c r="CO14" s="409"/>
      <c r="CP14" s="409"/>
      <c r="CQ14" s="409"/>
      <c r="CR14" s="409"/>
      <c r="CS14" s="409"/>
      <c r="CT14" s="409"/>
      <c r="CU14" s="409"/>
      <c r="CV14" s="409"/>
      <c r="CW14" s="409"/>
      <c r="CX14" s="409"/>
      <c r="CY14" s="409"/>
      <c r="CZ14" s="409"/>
      <c r="DA14" s="409"/>
      <c r="DB14" s="409"/>
      <c r="DC14" s="409"/>
      <c r="DD14" s="409"/>
    </row>
    <row r="15" customFormat="false" ht="12.75" hidden="false" customHeight="false" outlineLevel="0" collapsed="false">
      <c r="A15" s="346" t="n">
        <f aca="false">+BaseloadMarkets!A15</f>
        <v>36687</v>
      </c>
      <c r="B15" s="413" t="n">
        <f aca="false">+OCCMarkets!AC15</f>
        <v>202</v>
      </c>
      <c r="C15" s="413" t="n">
        <f aca="false">+OCCMarkets!AD15</f>
        <v>0</v>
      </c>
      <c r="D15" s="413" t="n">
        <f aca="false">+OCCMarkets!AE15</f>
        <v>0</v>
      </c>
      <c r="E15" s="413" t="n">
        <f aca="false">+OCCMarkets!AF15</f>
        <v>0</v>
      </c>
      <c r="F15" s="413" t="n">
        <f aca="false">+OCCMarkets!AG15</f>
        <v>0</v>
      </c>
      <c r="G15" s="413" t="n">
        <f aca="false">+OCCMarkets!AH15</f>
        <v>-202</v>
      </c>
      <c r="H15" s="413" t="n">
        <f aca="false">+OCCMarkets!AI15</f>
        <v>2418</v>
      </c>
      <c r="I15" s="414" t="n">
        <f aca="false">+OCCMarkets!AJ15</f>
        <v>9387</v>
      </c>
      <c r="J15" s="414" t="n">
        <f aca="false">+OCCMarkets!AK15</f>
        <v>2651</v>
      </c>
      <c r="K15" s="414" t="n">
        <f aca="false">+OCCMarkets!AL15</f>
        <v>987</v>
      </c>
      <c r="L15" s="414" t="n">
        <f aca="false">+OCCMarkets!AM15</f>
        <v>9000</v>
      </c>
      <c r="M15" s="414" t="n">
        <f aca="false">+OCCMarkets!AN15</f>
        <v>12638</v>
      </c>
      <c r="N15" s="414" t="n">
        <f aca="false">+OCCMarkets!AO15</f>
        <v>3251</v>
      </c>
      <c r="O15" s="414" t="n">
        <f aca="false">+OCCMarkets!AP15</f>
        <v>128774</v>
      </c>
      <c r="P15" s="415" t="n">
        <f aca="false">+OCCMarkets!AQ15</f>
        <v>0</v>
      </c>
      <c r="Q15" s="415" t="n">
        <f aca="false">+OCCMarkets!AR15</f>
        <v>0</v>
      </c>
      <c r="R15" s="415" t="n">
        <f aca="false">+OCCMarkets!AS15</f>
        <v>0</v>
      </c>
      <c r="S15" s="415" t="n">
        <f aca="false">+OCCMarkets!AT15</f>
        <v>0</v>
      </c>
      <c r="T15" s="415" t="n">
        <f aca="false">+OCCMarkets!AU15</f>
        <v>0</v>
      </c>
      <c r="U15" s="415" t="n">
        <f aca="false">+OCCMarkets!AV15</f>
        <v>0</v>
      </c>
      <c r="V15" s="415" t="n">
        <f aca="false">+OCCMarkets!AW15</f>
        <v>0</v>
      </c>
      <c r="W15" s="416" t="n">
        <f aca="false">+OCCMarkets!AX15</f>
        <v>28</v>
      </c>
      <c r="X15" s="416" t="n">
        <f aca="false">+OCCMarkets!AY15</f>
        <v>0</v>
      </c>
      <c r="Y15" s="416" t="n">
        <f aca="false">+OCCMarkets!AZ15</f>
        <v>0</v>
      </c>
      <c r="Z15" s="416" t="n">
        <f aca="false">+OCCMarkets!BA15</f>
        <v>0</v>
      </c>
      <c r="AA15" s="416" t="n">
        <f aca="false">+OCCMarkets!BB15</f>
        <v>0</v>
      </c>
      <c r="AB15" s="416" t="n">
        <f aca="false">+OCCMarkets!BC15</f>
        <v>-28</v>
      </c>
      <c r="AC15" s="416" t="n">
        <f aca="false">+OCCMarkets!BD15</f>
        <v>2801</v>
      </c>
      <c r="AD15" s="417" t="n">
        <f aca="false">+OCCMarkets!BE15</f>
        <v>163</v>
      </c>
      <c r="AE15" s="417" t="n">
        <f aca="false">+OCCMarkets!BF15</f>
        <v>0</v>
      </c>
      <c r="AF15" s="417" t="n">
        <f aca="false">+OCCMarkets!BG15</f>
        <v>0</v>
      </c>
      <c r="AG15" s="417" t="n">
        <f aca="false">+OCCMarkets!BH15</f>
        <v>0</v>
      </c>
      <c r="AH15" s="417" t="n">
        <f aca="false">+OCCMarkets!BI15</f>
        <v>0</v>
      </c>
      <c r="AI15" s="417" t="n">
        <f aca="false">+OCCMarkets!BJ15</f>
        <v>-163</v>
      </c>
      <c r="AJ15" s="417" t="n">
        <f aca="false">+OCCMarkets!BK15</f>
        <v>3522</v>
      </c>
      <c r="AL15" s="399" t="n">
        <f aca="false">+B15+I15+P15+W15+AD15</f>
        <v>9780</v>
      </c>
      <c r="AM15" s="399" t="n">
        <f aca="false">+F15+M15+T15+AA15+AH15</f>
        <v>12638</v>
      </c>
      <c r="AN15" s="399" t="n">
        <f aca="false">+AM15-AL15</f>
        <v>2858</v>
      </c>
      <c r="AO15" s="399" t="n">
        <f aca="false">+H15+O15+V15+AC15+AJ15</f>
        <v>137515</v>
      </c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  <c r="BR15" s="409"/>
      <c r="BS15" s="409"/>
      <c r="BT15" s="409"/>
      <c r="BU15" s="409"/>
      <c r="BV15" s="409"/>
      <c r="BW15" s="409"/>
      <c r="BX15" s="409"/>
      <c r="BY15" s="409"/>
      <c r="BZ15" s="409"/>
      <c r="CA15" s="409"/>
      <c r="CB15" s="409"/>
      <c r="CC15" s="409"/>
      <c r="CD15" s="409"/>
      <c r="CE15" s="409"/>
      <c r="CF15" s="409"/>
      <c r="CG15" s="409"/>
      <c r="CH15" s="409"/>
      <c r="CI15" s="409"/>
      <c r="CJ15" s="409"/>
      <c r="CK15" s="409"/>
      <c r="CL15" s="409"/>
      <c r="CM15" s="409"/>
      <c r="CN15" s="409"/>
      <c r="CO15" s="409"/>
      <c r="CP15" s="409"/>
      <c r="CQ15" s="409"/>
      <c r="CR15" s="409"/>
      <c r="CS15" s="409"/>
      <c r="CT15" s="409"/>
      <c r="CU15" s="409"/>
      <c r="CV15" s="409"/>
      <c r="CW15" s="409"/>
      <c r="CX15" s="409"/>
      <c r="CY15" s="409"/>
      <c r="CZ15" s="409"/>
      <c r="DA15" s="409"/>
      <c r="DB15" s="409"/>
      <c r="DC15" s="409"/>
      <c r="DD15" s="409"/>
    </row>
    <row r="16" customFormat="false" ht="12.75" hidden="false" customHeight="false" outlineLevel="0" collapsed="false">
      <c r="A16" s="346" t="n">
        <f aca="false">+BaseloadMarkets!A16</f>
        <v>36688</v>
      </c>
      <c r="B16" s="413" t="n">
        <f aca="false">+OCCMarkets!AC16</f>
        <v>22</v>
      </c>
      <c r="C16" s="413" t="n">
        <f aca="false">+OCCMarkets!AD16</f>
        <v>0</v>
      </c>
      <c r="D16" s="413" t="n">
        <f aca="false">+OCCMarkets!AE16</f>
        <v>0</v>
      </c>
      <c r="E16" s="413" t="n">
        <f aca="false">+OCCMarkets!AF16</f>
        <v>0</v>
      </c>
      <c r="F16" s="413" t="n">
        <f aca="false">+OCCMarkets!AG16</f>
        <v>0</v>
      </c>
      <c r="G16" s="413" t="n">
        <f aca="false">+OCCMarkets!AH16</f>
        <v>-22</v>
      </c>
      <c r="H16" s="413" t="n">
        <f aca="false">+OCCMarkets!AI16</f>
        <v>2396</v>
      </c>
      <c r="I16" s="414" t="n">
        <f aca="false">+OCCMarkets!AJ16</f>
        <v>9165</v>
      </c>
      <c r="J16" s="414" t="n">
        <f aca="false">+OCCMarkets!AK16</f>
        <v>2620</v>
      </c>
      <c r="K16" s="414" t="n">
        <f aca="false">+OCCMarkets!AL16</f>
        <v>987</v>
      </c>
      <c r="L16" s="414" t="n">
        <f aca="false">+OCCMarkets!AM16</f>
        <v>9000</v>
      </c>
      <c r="M16" s="414" t="n">
        <f aca="false">+OCCMarkets!AN16</f>
        <v>12607</v>
      </c>
      <c r="N16" s="414" t="n">
        <f aca="false">+OCCMarkets!AO16</f>
        <v>3442</v>
      </c>
      <c r="O16" s="414" t="n">
        <f aca="false">+OCCMarkets!AP16</f>
        <v>132216</v>
      </c>
      <c r="P16" s="415" t="n">
        <f aca="false">+OCCMarkets!AQ16</f>
        <v>0</v>
      </c>
      <c r="Q16" s="415" t="n">
        <f aca="false">+OCCMarkets!AR16</f>
        <v>0</v>
      </c>
      <c r="R16" s="415" t="n">
        <f aca="false">+OCCMarkets!AS16</f>
        <v>0</v>
      </c>
      <c r="S16" s="415" t="n">
        <f aca="false">+OCCMarkets!AT16</f>
        <v>0</v>
      </c>
      <c r="T16" s="415" t="n">
        <f aca="false">+OCCMarkets!AU16</f>
        <v>0</v>
      </c>
      <c r="U16" s="415" t="n">
        <f aca="false">+OCCMarkets!AV16</f>
        <v>0</v>
      </c>
      <c r="V16" s="415" t="n">
        <f aca="false">+OCCMarkets!AW16</f>
        <v>0</v>
      </c>
      <c r="W16" s="416" t="n">
        <f aca="false">+OCCMarkets!AX16</f>
        <v>0</v>
      </c>
      <c r="X16" s="416" t="n">
        <f aca="false">+OCCMarkets!AY16</f>
        <v>0</v>
      </c>
      <c r="Y16" s="416" t="n">
        <f aca="false">+OCCMarkets!AZ16</f>
        <v>0</v>
      </c>
      <c r="Z16" s="416" t="n">
        <f aca="false">+OCCMarkets!BA16</f>
        <v>0</v>
      </c>
      <c r="AA16" s="416" t="n">
        <f aca="false">+OCCMarkets!BB16</f>
        <v>0</v>
      </c>
      <c r="AB16" s="416" t="n">
        <f aca="false">+OCCMarkets!BC16</f>
        <v>0</v>
      </c>
      <c r="AC16" s="416" t="n">
        <f aca="false">+OCCMarkets!BD16</f>
        <v>2801</v>
      </c>
      <c r="AD16" s="417" t="n">
        <f aca="false">+OCCMarkets!BE16</f>
        <v>27</v>
      </c>
      <c r="AE16" s="417" t="n">
        <f aca="false">+OCCMarkets!BF16</f>
        <v>0</v>
      </c>
      <c r="AF16" s="417" t="n">
        <f aca="false">+OCCMarkets!BG16</f>
        <v>0</v>
      </c>
      <c r="AG16" s="417" t="n">
        <f aca="false">+OCCMarkets!BH16</f>
        <v>0</v>
      </c>
      <c r="AH16" s="417" t="n">
        <f aca="false">+OCCMarkets!BI16</f>
        <v>0</v>
      </c>
      <c r="AI16" s="417" t="n">
        <f aca="false">+OCCMarkets!BJ16</f>
        <v>-27</v>
      </c>
      <c r="AJ16" s="417" t="n">
        <f aca="false">+OCCMarkets!BK16</f>
        <v>3495</v>
      </c>
      <c r="AL16" s="399" t="n">
        <f aca="false">+B16+I16+P16+W16+AD16</f>
        <v>9214</v>
      </c>
      <c r="AM16" s="399" t="n">
        <f aca="false">+F16+M16+T16+AA16+AH16</f>
        <v>12607</v>
      </c>
      <c r="AN16" s="399" t="n">
        <f aca="false">+AM16-AL16</f>
        <v>3393</v>
      </c>
      <c r="AO16" s="399" t="n">
        <f aca="false">+H16+O16+V16+AC16+AJ16</f>
        <v>140908</v>
      </c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  <c r="BR16" s="409"/>
      <c r="BS16" s="409"/>
      <c r="BT16" s="409"/>
      <c r="BU16" s="409"/>
      <c r="BV16" s="409"/>
      <c r="BW16" s="409"/>
      <c r="BX16" s="409"/>
      <c r="BY16" s="409"/>
      <c r="BZ16" s="409"/>
      <c r="CA16" s="409"/>
      <c r="CB16" s="409"/>
      <c r="CC16" s="409"/>
      <c r="CD16" s="409"/>
      <c r="CE16" s="409"/>
      <c r="CF16" s="409"/>
      <c r="CG16" s="409"/>
      <c r="CH16" s="409"/>
      <c r="CI16" s="409"/>
      <c r="CJ16" s="409"/>
      <c r="CK16" s="409"/>
      <c r="CL16" s="409"/>
      <c r="CM16" s="409"/>
      <c r="CN16" s="409"/>
      <c r="CO16" s="409"/>
      <c r="CP16" s="409"/>
      <c r="CQ16" s="409"/>
      <c r="CR16" s="409"/>
      <c r="CS16" s="409"/>
      <c r="CT16" s="409"/>
      <c r="CU16" s="409"/>
      <c r="CV16" s="409"/>
      <c r="CW16" s="409"/>
      <c r="CX16" s="409"/>
      <c r="CY16" s="409"/>
      <c r="CZ16" s="409"/>
      <c r="DA16" s="409"/>
      <c r="DB16" s="409"/>
      <c r="DC16" s="409"/>
      <c r="DD16" s="409"/>
    </row>
    <row r="17" customFormat="false" ht="12.75" hidden="false" customHeight="false" outlineLevel="0" collapsed="false">
      <c r="A17" s="346" t="n">
        <f aca="false">+BaseloadMarkets!A17</f>
        <v>36689</v>
      </c>
      <c r="B17" s="413" t="n">
        <f aca="false">+OCCMarkets!AC17</f>
        <v>173</v>
      </c>
      <c r="C17" s="413" t="n">
        <f aca="false">+OCCMarkets!AD17</f>
        <v>0</v>
      </c>
      <c r="D17" s="413" t="n">
        <f aca="false">+OCCMarkets!AE17</f>
        <v>0</v>
      </c>
      <c r="E17" s="413" t="n">
        <f aca="false">+OCCMarkets!AF17</f>
        <v>0</v>
      </c>
      <c r="F17" s="413" t="n">
        <f aca="false">+OCCMarkets!AG17</f>
        <v>0</v>
      </c>
      <c r="G17" s="413" t="n">
        <f aca="false">+OCCMarkets!AH17</f>
        <v>-173</v>
      </c>
      <c r="H17" s="413" t="n">
        <f aca="false">+OCCMarkets!AI17</f>
        <v>2223</v>
      </c>
      <c r="I17" s="414" t="n">
        <f aca="false">+OCCMarkets!AJ17</f>
        <v>9262</v>
      </c>
      <c r="J17" s="414" t="n">
        <f aca="false">+OCCMarkets!AK17</f>
        <v>2314</v>
      </c>
      <c r="K17" s="414" t="n">
        <f aca="false">+OCCMarkets!AL17</f>
        <v>987</v>
      </c>
      <c r="L17" s="414" t="n">
        <f aca="false">+OCCMarkets!AM17</f>
        <v>9000</v>
      </c>
      <c r="M17" s="414" t="n">
        <f aca="false">+OCCMarkets!AN17</f>
        <v>12301</v>
      </c>
      <c r="N17" s="414" t="n">
        <f aca="false">+OCCMarkets!AO17</f>
        <v>3039</v>
      </c>
      <c r="O17" s="414" t="n">
        <f aca="false">+OCCMarkets!AP17</f>
        <v>135255</v>
      </c>
      <c r="P17" s="415" t="n">
        <f aca="false">+OCCMarkets!AQ17</f>
        <v>0</v>
      </c>
      <c r="Q17" s="415" t="n">
        <f aca="false">+OCCMarkets!AR17</f>
        <v>0</v>
      </c>
      <c r="R17" s="415" t="n">
        <f aca="false">+OCCMarkets!AS17</f>
        <v>0</v>
      </c>
      <c r="S17" s="415" t="n">
        <f aca="false">+OCCMarkets!AT17</f>
        <v>0</v>
      </c>
      <c r="T17" s="415" t="n">
        <f aca="false">+OCCMarkets!AU17</f>
        <v>0</v>
      </c>
      <c r="U17" s="415" t="n">
        <f aca="false">+OCCMarkets!AV17</f>
        <v>0</v>
      </c>
      <c r="V17" s="415" t="n">
        <f aca="false">+OCCMarkets!AW17</f>
        <v>0</v>
      </c>
      <c r="W17" s="416" t="n">
        <f aca="false">+OCCMarkets!AX17</f>
        <v>167</v>
      </c>
      <c r="X17" s="416" t="n">
        <f aca="false">+OCCMarkets!AY17</f>
        <v>0</v>
      </c>
      <c r="Y17" s="416" t="n">
        <f aca="false">+OCCMarkets!AZ17</f>
        <v>0</v>
      </c>
      <c r="Z17" s="416" t="n">
        <f aca="false">+OCCMarkets!BA17</f>
        <v>0</v>
      </c>
      <c r="AA17" s="416" t="n">
        <f aca="false">+OCCMarkets!BB17</f>
        <v>0</v>
      </c>
      <c r="AB17" s="416" t="n">
        <f aca="false">+OCCMarkets!BC17</f>
        <v>-167</v>
      </c>
      <c r="AC17" s="416" t="n">
        <f aca="false">+OCCMarkets!BD17</f>
        <v>2634</v>
      </c>
      <c r="AD17" s="417" t="n">
        <f aca="false">+OCCMarkets!BE17</f>
        <v>261</v>
      </c>
      <c r="AE17" s="417" t="n">
        <f aca="false">+OCCMarkets!BF17</f>
        <v>0</v>
      </c>
      <c r="AF17" s="417" t="n">
        <f aca="false">+OCCMarkets!BG17</f>
        <v>0</v>
      </c>
      <c r="AG17" s="417" t="n">
        <f aca="false">+OCCMarkets!BH17</f>
        <v>0</v>
      </c>
      <c r="AH17" s="417" t="n">
        <f aca="false">+OCCMarkets!BI17</f>
        <v>0</v>
      </c>
      <c r="AI17" s="417" t="n">
        <f aca="false">+OCCMarkets!BJ17</f>
        <v>-261</v>
      </c>
      <c r="AJ17" s="417" t="n">
        <f aca="false">+OCCMarkets!BK17</f>
        <v>3234</v>
      </c>
      <c r="AL17" s="399" t="n">
        <f aca="false">+B17+I17+P17+W17+AD17</f>
        <v>9863</v>
      </c>
      <c r="AM17" s="399" t="n">
        <f aca="false">+F17+M17+T17+AA17+AH17</f>
        <v>12301</v>
      </c>
      <c r="AN17" s="399" t="n">
        <f aca="false">+AM17-AL17</f>
        <v>2438</v>
      </c>
      <c r="AO17" s="399" t="n">
        <f aca="false">+H17+O17+V17+AC17+AJ17</f>
        <v>143346</v>
      </c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  <c r="BR17" s="409"/>
      <c r="BS17" s="409"/>
      <c r="BT17" s="409"/>
      <c r="BU17" s="409"/>
      <c r="BV17" s="409"/>
      <c r="BW17" s="409"/>
      <c r="BX17" s="409"/>
      <c r="BY17" s="409"/>
      <c r="BZ17" s="409"/>
      <c r="CA17" s="409"/>
      <c r="CB17" s="409"/>
      <c r="CC17" s="409"/>
      <c r="CD17" s="409"/>
      <c r="CE17" s="409"/>
      <c r="CF17" s="409"/>
      <c r="CG17" s="409"/>
      <c r="CH17" s="409"/>
      <c r="CI17" s="409"/>
      <c r="CJ17" s="409"/>
      <c r="CK17" s="409"/>
      <c r="CL17" s="409"/>
      <c r="CM17" s="409"/>
      <c r="CN17" s="409"/>
      <c r="CO17" s="409"/>
      <c r="CP17" s="409"/>
      <c r="CQ17" s="409"/>
      <c r="CR17" s="409"/>
      <c r="CS17" s="409"/>
      <c r="CT17" s="409"/>
      <c r="CU17" s="409"/>
      <c r="CV17" s="409"/>
      <c r="CW17" s="409"/>
      <c r="CX17" s="409"/>
      <c r="CY17" s="409"/>
      <c r="CZ17" s="409"/>
      <c r="DA17" s="409"/>
      <c r="DB17" s="409"/>
      <c r="DC17" s="409"/>
      <c r="DD17" s="409"/>
    </row>
    <row r="18" customFormat="false" ht="12.75" hidden="false" customHeight="false" outlineLevel="0" collapsed="false">
      <c r="A18" s="346" t="n">
        <f aca="false">+BaseloadMarkets!A18</f>
        <v>36690</v>
      </c>
      <c r="B18" s="413" t="n">
        <f aca="false">+OCCMarkets!AC18</f>
        <v>155</v>
      </c>
      <c r="C18" s="413" t="n">
        <f aca="false">+OCCMarkets!AD18</f>
        <v>0</v>
      </c>
      <c r="D18" s="413" t="n">
        <f aca="false">+OCCMarkets!AE18</f>
        <v>0</v>
      </c>
      <c r="E18" s="413" t="n">
        <f aca="false">+OCCMarkets!AF18</f>
        <v>0</v>
      </c>
      <c r="F18" s="413" t="n">
        <f aca="false">+OCCMarkets!AG18</f>
        <v>0</v>
      </c>
      <c r="G18" s="413" t="n">
        <f aca="false">+OCCMarkets!AH18</f>
        <v>-155</v>
      </c>
      <c r="H18" s="413" t="n">
        <f aca="false">+OCCMarkets!AI18</f>
        <v>2068</v>
      </c>
      <c r="I18" s="414" t="n">
        <f aca="false">+OCCMarkets!AJ18</f>
        <v>9192</v>
      </c>
      <c r="J18" s="414" t="n">
        <f aca="false">+OCCMarkets!AK18</f>
        <v>2693</v>
      </c>
      <c r="K18" s="414" t="n">
        <f aca="false">+OCCMarkets!AL18</f>
        <v>987</v>
      </c>
      <c r="L18" s="414" t="n">
        <f aca="false">+OCCMarkets!AM18</f>
        <v>4000</v>
      </c>
      <c r="M18" s="414" t="n">
        <f aca="false">+OCCMarkets!AN18</f>
        <v>7680</v>
      </c>
      <c r="N18" s="414" t="n">
        <f aca="false">+OCCMarkets!AO18</f>
        <v>-1512</v>
      </c>
      <c r="O18" s="414" t="n">
        <f aca="false">+OCCMarkets!AP18</f>
        <v>133743</v>
      </c>
      <c r="P18" s="415" t="n">
        <f aca="false">+OCCMarkets!AQ18</f>
        <v>0</v>
      </c>
      <c r="Q18" s="415" t="n">
        <f aca="false">+OCCMarkets!AR18</f>
        <v>0</v>
      </c>
      <c r="R18" s="415" t="n">
        <f aca="false">+OCCMarkets!AS18</f>
        <v>0</v>
      </c>
      <c r="S18" s="415" t="n">
        <f aca="false">+OCCMarkets!AT18</f>
        <v>0</v>
      </c>
      <c r="T18" s="415" t="n">
        <f aca="false">+OCCMarkets!AU18</f>
        <v>0</v>
      </c>
      <c r="U18" s="415" t="n">
        <f aca="false">+OCCMarkets!AV18</f>
        <v>0</v>
      </c>
      <c r="V18" s="415" t="n">
        <f aca="false">+OCCMarkets!AW18</f>
        <v>0</v>
      </c>
      <c r="W18" s="416" t="n">
        <f aca="false">+OCCMarkets!AX18</f>
        <v>197</v>
      </c>
      <c r="X18" s="416" t="n">
        <f aca="false">+OCCMarkets!AY18</f>
        <v>0</v>
      </c>
      <c r="Y18" s="416" t="n">
        <f aca="false">+OCCMarkets!AZ18</f>
        <v>0</v>
      </c>
      <c r="Z18" s="416" t="n">
        <f aca="false">+OCCMarkets!BA18</f>
        <v>0</v>
      </c>
      <c r="AA18" s="416" t="n">
        <f aca="false">+OCCMarkets!BB18</f>
        <v>0</v>
      </c>
      <c r="AB18" s="416" t="n">
        <f aca="false">+OCCMarkets!BC18</f>
        <v>-197</v>
      </c>
      <c r="AC18" s="416" t="n">
        <f aca="false">+OCCMarkets!BD18</f>
        <v>2437</v>
      </c>
      <c r="AD18" s="417" t="n">
        <f aca="false">+OCCMarkets!BE18</f>
        <v>309</v>
      </c>
      <c r="AE18" s="417" t="n">
        <f aca="false">+OCCMarkets!BF18</f>
        <v>0</v>
      </c>
      <c r="AF18" s="417" t="n">
        <f aca="false">+OCCMarkets!BG18</f>
        <v>0</v>
      </c>
      <c r="AG18" s="417" t="n">
        <f aca="false">+OCCMarkets!BH18</f>
        <v>0</v>
      </c>
      <c r="AH18" s="417" t="n">
        <f aca="false">+OCCMarkets!BI18</f>
        <v>0</v>
      </c>
      <c r="AI18" s="417" t="n">
        <f aca="false">+OCCMarkets!BJ18</f>
        <v>-309</v>
      </c>
      <c r="AJ18" s="417" t="n">
        <f aca="false">+OCCMarkets!BK18</f>
        <v>2925</v>
      </c>
      <c r="AL18" s="399" t="n">
        <f aca="false">+B18+I18+P18+W18+AD18</f>
        <v>9853</v>
      </c>
      <c r="AM18" s="399" t="n">
        <f aca="false">+F18+M18+T18+AA18+AH18</f>
        <v>7680</v>
      </c>
      <c r="AN18" s="399" t="n">
        <f aca="false">+AM18-AL18</f>
        <v>-2173</v>
      </c>
      <c r="AO18" s="399" t="n">
        <f aca="false">+H18+O18+V18+AC18+AJ18</f>
        <v>141173</v>
      </c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  <c r="BR18" s="409"/>
      <c r="BS18" s="409"/>
      <c r="BT18" s="409"/>
      <c r="BU18" s="409"/>
      <c r="BV18" s="409"/>
      <c r="BW18" s="409"/>
      <c r="BX18" s="409"/>
      <c r="BY18" s="409"/>
      <c r="BZ18" s="409"/>
      <c r="CA18" s="409"/>
      <c r="CB18" s="409"/>
      <c r="CC18" s="409"/>
      <c r="CD18" s="409"/>
      <c r="CE18" s="409"/>
      <c r="CF18" s="409"/>
      <c r="CG18" s="409"/>
      <c r="CH18" s="409"/>
      <c r="CI18" s="409"/>
      <c r="CJ18" s="409"/>
      <c r="CK18" s="409"/>
      <c r="CL18" s="409"/>
      <c r="CM18" s="409"/>
      <c r="CN18" s="409"/>
      <c r="CO18" s="409"/>
      <c r="CP18" s="409"/>
      <c r="CQ18" s="409"/>
      <c r="CR18" s="409"/>
      <c r="CS18" s="409"/>
      <c r="CT18" s="409"/>
      <c r="CU18" s="409"/>
      <c r="CV18" s="409"/>
      <c r="CW18" s="409"/>
      <c r="CX18" s="409"/>
      <c r="CY18" s="409"/>
      <c r="CZ18" s="409"/>
      <c r="DA18" s="409"/>
      <c r="DB18" s="409"/>
      <c r="DC18" s="409"/>
      <c r="DD18" s="409"/>
    </row>
    <row r="19" customFormat="false" ht="12.75" hidden="false" customHeight="false" outlineLevel="0" collapsed="false">
      <c r="A19" s="346" t="n">
        <f aca="false">+BaseloadMarkets!A19</f>
        <v>36691</v>
      </c>
      <c r="B19" s="413" t="n">
        <f aca="false">+OCCMarkets!AC19</f>
        <v>176</v>
      </c>
      <c r="C19" s="413" t="n">
        <f aca="false">+OCCMarkets!AD19</f>
        <v>0</v>
      </c>
      <c r="D19" s="413" t="n">
        <f aca="false">+OCCMarkets!AE19</f>
        <v>0</v>
      </c>
      <c r="E19" s="413" t="n">
        <f aca="false">+OCCMarkets!AF19</f>
        <v>0</v>
      </c>
      <c r="F19" s="413" t="n">
        <f aca="false">+OCCMarkets!AG19</f>
        <v>0</v>
      </c>
      <c r="G19" s="413" t="n">
        <f aca="false">+OCCMarkets!AH19</f>
        <v>-176</v>
      </c>
      <c r="H19" s="413" t="n">
        <f aca="false">+OCCMarkets!AI19</f>
        <v>1892</v>
      </c>
      <c r="I19" s="414" t="n">
        <f aca="false">+OCCMarkets!AJ19</f>
        <v>9556</v>
      </c>
      <c r="J19" s="414" t="n">
        <f aca="false">+OCCMarkets!AK19</f>
        <v>4316</v>
      </c>
      <c r="K19" s="414" t="n">
        <f aca="false">+OCCMarkets!AL19</f>
        <v>987</v>
      </c>
      <c r="L19" s="414" t="n">
        <f aca="false">+OCCMarkets!AM19</f>
        <v>4000</v>
      </c>
      <c r="M19" s="414" t="n">
        <f aca="false">+OCCMarkets!AN19</f>
        <v>9303</v>
      </c>
      <c r="N19" s="414" t="n">
        <f aca="false">+OCCMarkets!AO19</f>
        <v>-253</v>
      </c>
      <c r="O19" s="414" t="n">
        <f aca="false">+OCCMarkets!AP19</f>
        <v>133490</v>
      </c>
      <c r="P19" s="415" t="n">
        <f aca="false">+OCCMarkets!AQ19</f>
        <v>0</v>
      </c>
      <c r="Q19" s="415" t="n">
        <f aca="false">+OCCMarkets!AR19</f>
        <v>0</v>
      </c>
      <c r="R19" s="415" t="n">
        <f aca="false">+OCCMarkets!AS19</f>
        <v>0</v>
      </c>
      <c r="S19" s="415" t="n">
        <f aca="false">+OCCMarkets!AT19</f>
        <v>0</v>
      </c>
      <c r="T19" s="415" t="n">
        <f aca="false">+OCCMarkets!AU19</f>
        <v>0</v>
      </c>
      <c r="U19" s="415" t="n">
        <f aca="false">+OCCMarkets!AV19</f>
        <v>0</v>
      </c>
      <c r="V19" s="415" t="n">
        <f aca="false">+OCCMarkets!AW19</f>
        <v>0</v>
      </c>
      <c r="W19" s="416" t="n">
        <f aca="false">+OCCMarkets!AX19</f>
        <v>200</v>
      </c>
      <c r="X19" s="416" t="n">
        <f aca="false">+OCCMarkets!AY19</f>
        <v>0</v>
      </c>
      <c r="Y19" s="416" t="n">
        <f aca="false">+OCCMarkets!AZ19</f>
        <v>0</v>
      </c>
      <c r="Z19" s="416" t="n">
        <f aca="false">+OCCMarkets!BA19</f>
        <v>0</v>
      </c>
      <c r="AA19" s="416" t="n">
        <f aca="false">+OCCMarkets!BB19</f>
        <v>0</v>
      </c>
      <c r="AB19" s="416" t="n">
        <f aca="false">+OCCMarkets!BC19</f>
        <v>-200</v>
      </c>
      <c r="AC19" s="416" t="n">
        <f aca="false">+OCCMarkets!BD19</f>
        <v>2237</v>
      </c>
      <c r="AD19" s="417" t="n">
        <f aca="false">+OCCMarkets!BE19</f>
        <v>277</v>
      </c>
      <c r="AE19" s="417" t="n">
        <f aca="false">+OCCMarkets!BF19</f>
        <v>0</v>
      </c>
      <c r="AF19" s="417" t="n">
        <f aca="false">+OCCMarkets!BG19</f>
        <v>0</v>
      </c>
      <c r="AG19" s="417" t="n">
        <f aca="false">+OCCMarkets!BH19</f>
        <v>0</v>
      </c>
      <c r="AH19" s="417" t="n">
        <f aca="false">+OCCMarkets!BI19</f>
        <v>0</v>
      </c>
      <c r="AI19" s="417" t="n">
        <f aca="false">+OCCMarkets!BJ19</f>
        <v>-277</v>
      </c>
      <c r="AJ19" s="417" t="n">
        <f aca="false">+OCCMarkets!BK19</f>
        <v>2648</v>
      </c>
      <c r="AL19" s="399" t="n">
        <f aca="false">+B19+I19+P19+W19+AD19</f>
        <v>10209</v>
      </c>
      <c r="AM19" s="399" t="n">
        <f aca="false">+F19+M19+T19+AA19+AH19</f>
        <v>9303</v>
      </c>
      <c r="AN19" s="399" t="n">
        <f aca="false">+AM19-AL19</f>
        <v>-906</v>
      </c>
      <c r="AO19" s="399" t="n">
        <f aca="false">+H19+O19+V19+AC19+AJ19</f>
        <v>140267</v>
      </c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  <c r="BR19" s="409"/>
      <c r="BS19" s="409"/>
      <c r="BT19" s="409"/>
      <c r="BU19" s="409"/>
      <c r="BV19" s="409"/>
      <c r="BW19" s="409"/>
      <c r="BX19" s="409"/>
      <c r="BY19" s="409"/>
      <c r="BZ19" s="409"/>
      <c r="CA19" s="409"/>
      <c r="CB19" s="409"/>
      <c r="CC19" s="409"/>
      <c r="CD19" s="409"/>
      <c r="CE19" s="409"/>
      <c r="CF19" s="409"/>
      <c r="CG19" s="409"/>
      <c r="CH19" s="409"/>
      <c r="CI19" s="409"/>
      <c r="CJ19" s="409"/>
      <c r="CK19" s="409"/>
      <c r="CL19" s="409"/>
      <c r="CM19" s="409"/>
      <c r="CN19" s="409"/>
      <c r="CO19" s="409"/>
      <c r="CP19" s="409"/>
      <c r="CQ19" s="409"/>
      <c r="CR19" s="409"/>
      <c r="CS19" s="409"/>
      <c r="CT19" s="409"/>
      <c r="CU19" s="409"/>
      <c r="CV19" s="409"/>
      <c r="CW19" s="409"/>
      <c r="CX19" s="409"/>
      <c r="CY19" s="409"/>
      <c r="CZ19" s="409"/>
      <c r="DA19" s="409"/>
      <c r="DB19" s="409"/>
      <c r="DC19" s="409"/>
      <c r="DD19" s="409"/>
    </row>
    <row r="20" customFormat="false" ht="12.75" hidden="false" customHeight="false" outlineLevel="0" collapsed="false">
      <c r="A20" s="346" t="n">
        <f aca="false">+BaseloadMarkets!A20</f>
        <v>36692</v>
      </c>
      <c r="B20" s="413" t="n">
        <f aca="false">+OCCMarkets!AC20</f>
        <v>167</v>
      </c>
      <c r="C20" s="413" t="n">
        <f aca="false">+OCCMarkets!AD20</f>
        <v>0</v>
      </c>
      <c r="D20" s="413" t="n">
        <f aca="false">+OCCMarkets!AE20</f>
        <v>0</v>
      </c>
      <c r="E20" s="413" t="n">
        <f aca="false">+OCCMarkets!AF20</f>
        <v>0</v>
      </c>
      <c r="F20" s="413" t="n">
        <f aca="false">+OCCMarkets!AG20</f>
        <v>0</v>
      </c>
      <c r="G20" s="413" t="n">
        <f aca="false">+OCCMarkets!AH20</f>
        <v>-167</v>
      </c>
      <c r="H20" s="413" t="n">
        <f aca="false">+OCCMarkets!AI20</f>
        <v>1725</v>
      </c>
      <c r="I20" s="414" t="n">
        <f aca="false">+OCCMarkets!AJ20</f>
        <v>9602</v>
      </c>
      <c r="J20" s="414" t="n">
        <f aca="false">+OCCMarkets!AK20</f>
        <v>0</v>
      </c>
      <c r="K20" s="414" t="n">
        <f aca="false">+OCCMarkets!AL20</f>
        <v>987</v>
      </c>
      <c r="L20" s="414" t="n">
        <f aca="false">+OCCMarkets!AM20</f>
        <v>4000</v>
      </c>
      <c r="M20" s="414" t="n">
        <f aca="false">+OCCMarkets!AN20</f>
        <v>4987</v>
      </c>
      <c r="N20" s="414" t="n">
        <f aca="false">+OCCMarkets!AO20</f>
        <v>-4615</v>
      </c>
      <c r="O20" s="414" t="n">
        <f aca="false">+OCCMarkets!AP20</f>
        <v>128875</v>
      </c>
      <c r="P20" s="415" t="n">
        <f aca="false">+OCCMarkets!AQ20</f>
        <v>0</v>
      </c>
      <c r="Q20" s="415" t="n">
        <f aca="false">+OCCMarkets!AR20</f>
        <v>0</v>
      </c>
      <c r="R20" s="415" t="n">
        <f aca="false">+OCCMarkets!AS20</f>
        <v>0</v>
      </c>
      <c r="S20" s="415" t="n">
        <f aca="false">+OCCMarkets!AT20</f>
        <v>0</v>
      </c>
      <c r="T20" s="415" t="n">
        <f aca="false">+OCCMarkets!AU20</f>
        <v>0</v>
      </c>
      <c r="U20" s="415" t="n">
        <f aca="false">+OCCMarkets!AV20</f>
        <v>0</v>
      </c>
      <c r="V20" s="415" t="n">
        <f aca="false">+OCCMarkets!AW20</f>
        <v>0</v>
      </c>
      <c r="W20" s="416" t="n">
        <f aca="false">+OCCMarkets!AX20</f>
        <v>202</v>
      </c>
      <c r="X20" s="416" t="n">
        <f aca="false">+OCCMarkets!AY20</f>
        <v>0</v>
      </c>
      <c r="Y20" s="416" t="n">
        <f aca="false">+OCCMarkets!AZ20</f>
        <v>0</v>
      </c>
      <c r="Z20" s="416" t="n">
        <f aca="false">+OCCMarkets!BA20</f>
        <v>0</v>
      </c>
      <c r="AA20" s="416" t="n">
        <f aca="false">+OCCMarkets!BB20</f>
        <v>0</v>
      </c>
      <c r="AB20" s="416" t="n">
        <f aca="false">+OCCMarkets!BC20</f>
        <v>-202</v>
      </c>
      <c r="AC20" s="416" t="n">
        <f aca="false">+OCCMarkets!BD20</f>
        <v>2035</v>
      </c>
      <c r="AD20" s="417" t="n">
        <f aca="false">+OCCMarkets!BE20</f>
        <v>293</v>
      </c>
      <c r="AE20" s="417" t="n">
        <f aca="false">+OCCMarkets!BF20</f>
        <v>0</v>
      </c>
      <c r="AF20" s="417" t="n">
        <f aca="false">+OCCMarkets!BG20</f>
        <v>0</v>
      </c>
      <c r="AG20" s="417" t="n">
        <f aca="false">+OCCMarkets!BH20</f>
        <v>0</v>
      </c>
      <c r="AH20" s="417" t="n">
        <f aca="false">+OCCMarkets!BI20</f>
        <v>0</v>
      </c>
      <c r="AI20" s="417" t="n">
        <f aca="false">+OCCMarkets!BJ20</f>
        <v>-293</v>
      </c>
      <c r="AJ20" s="417" t="n">
        <f aca="false">+OCCMarkets!BK20</f>
        <v>2355</v>
      </c>
      <c r="AL20" s="399" t="n">
        <f aca="false">+B20+I20+P20+W20+AD20</f>
        <v>10264</v>
      </c>
      <c r="AM20" s="399" t="n">
        <f aca="false">+F20+M20+T20+AA20+AH20</f>
        <v>4987</v>
      </c>
      <c r="AN20" s="399" t="n">
        <f aca="false">+AM20-AL20</f>
        <v>-5277</v>
      </c>
      <c r="AO20" s="399" t="n">
        <f aca="false">+H20+O20+V20+AC20+AJ20</f>
        <v>134990</v>
      </c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  <c r="BR20" s="409"/>
      <c r="BS20" s="409"/>
      <c r="BT20" s="409"/>
      <c r="BU20" s="409"/>
      <c r="BV20" s="409"/>
      <c r="BW20" s="409"/>
      <c r="BX20" s="409"/>
      <c r="BY20" s="409"/>
      <c r="BZ20" s="409"/>
      <c r="CA20" s="409"/>
      <c r="CB20" s="409"/>
      <c r="CC20" s="409"/>
      <c r="CD20" s="409"/>
      <c r="CE20" s="409"/>
      <c r="CF20" s="409"/>
      <c r="CG20" s="409"/>
      <c r="CH20" s="409"/>
      <c r="CI20" s="409"/>
      <c r="CJ20" s="409"/>
      <c r="CK20" s="409"/>
      <c r="CL20" s="409"/>
      <c r="CM20" s="409"/>
      <c r="CN20" s="409"/>
      <c r="CO20" s="409"/>
      <c r="CP20" s="409"/>
      <c r="CQ20" s="409"/>
      <c r="CR20" s="409"/>
      <c r="CS20" s="409"/>
      <c r="CT20" s="409"/>
      <c r="CU20" s="409"/>
      <c r="CV20" s="409"/>
      <c r="CW20" s="409"/>
      <c r="CX20" s="409"/>
      <c r="CY20" s="409"/>
      <c r="CZ20" s="409"/>
      <c r="DA20" s="409"/>
      <c r="DB20" s="409"/>
      <c r="DC20" s="409"/>
      <c r="DD20" s="409"/>
    </row>
    <row r="21" customFormat="false" ht="12.75" hidden="false" customHeight="false" outlineLevel="0" collapsed="false">
      <c r="A21" s="346" t="n">
        <f aca="false">+BaseloadMarkets!A21</f>
        <v>36693</v>
      </c>
      <c r="B21" s="413" t="n">
        <f aca="false">+OCCMarkets!AC21</f>
        <v>165</v>
      </c>
      <c r="C21" s="413" t="n">
        <f aca="false">+OCCMarkets!AD21</f>
        <v>0</v>
      </c>
      <c r="D21" s="413" t="n">
        <f aca="false">+OCCMarkets!AE21</f>
        <v>0</v>
      </c>
      <c r="E21" s="413" t="n">
        <f aca="false">+OCCMarkets!AF21</f>
        <v>0</v>
      </c>
      <c r="F21" s="413" t="n">
        <f aca="false">+OCCMarkets!AG21</f>
        <v>0</v>
      </c>
      <c r="G21" s="413" t="n">
        <f aca="false">+OCCMarkets!AH21</f>
        <v>-165</v>
      </c>
      <c r="H21" s="413" t="n">
        <f aca="false">+OCCMarkets!AI21</f>
        <v>1560</v>
      </c>
      <c r="I21" s="414" t="n">
        <f aca="false">+OCCMarkets!AJ21</f>
        <v>9309</v>
      </c>
      <c r="J21" s="414" t="n">
        <f aca="false">+OCCMarkets!AK21</f>
        <v>0</v>
      </c>
      <c r="K21" s="414" t="n">
        <f aca="false">+OCCMarkets!AL21</f>
        <v>987</v>
      </c>
      <c r="L21" s="414" t="n">
        <f aca="false">+OCCMarkets!AM21</f>
        <v>0</v>
      </c>
      <c r="M21" s="414" t="n">
        <f aca="false">+OCCMarkets!AN21</f>
        <v>987</v>
      </c>
      <c r="N21" s="414" t="n">
        <f aca="false">+OCCMarkets!AO21</f>
        <v>-8322</v>
      </c>
      <c r="O21" s="414" t="n">
        <f aca="false">+OCCMarkets!AP21</f>
        <v>120553</v>
      </c>
      <c r="P21" s="415" t="n">
        <f aca="false">+OCCMarkets!AQ21</f>
        <v>0</v>
      </c>
      <c r="Q21" s="415" t="n">
        <f aca="false">+OCCMarkets!AR21</f>
        <v>0</v>
      </c>
      <c r="R21" s="415" t="n">
        <f aca="false">+OCCMarkets!AS21</f>
        <v>0</v>
      </c>
      <c r="S21" s="415" t="n">
        <f aca="false">+OCCMarkets!AT21</f>
        <v>0</v>
      </c>
      <c r="T21" s="415" t="n">
        <f aca="false">+OCCMarkets!AU21</f>
        <v>0</v>
      </c>
      <c r="U21" s="415" t="n">
        <f aca="false">+OCCMarkets!AV21</f>
        <v>0</v>
      </c>
      <c r="V21" s="415" t="n">
        <f aca="false">+OCCMarkets!AW21</f>
        <v>0</v>
      </c>
      <c r="W21" s="416" t="n">
        <f aca="false">+OCCMarkets!AX21</f>
        <v>205</v>
      </c>
      <c r="X21" s="416" t="n">
        <f aca="false">+OCCMarkets!AY21</f>
        <v>0</v>
      </c>
      <c r="Y21" s="416" t="n">
        <f aca="false">+OCCMarkets!AZ21</f>
        <v>0</v>
      </c>
      <c r="Z21" s="416" t="n">
        <f aca="false">+OCCMarkets!BA21</f>
        <v>0</v>
      </c>
      <c r="AA21" s="416" t="n">
        <f aca="false">+OCCMarkets!BB21</f>
        <v>0</v>
      </c>
      <c r="AB21" s="416" t="n">
        <f aca="false">+OCCMarkets!BC21</f>
        <v>-205</v>
      </c>
      <c r="AC21" s="416" t="n">
        <f aca="false">+OCCMarkets!BD21</f>
        <v>1830</v>
      </c>
      <c r="AD21" s="417" t="n">
        <f aca="false">+OCCMarkets!BE21</f>
        <v>301</v>
      </c>
      <c r="AE21" s="417" t="n">
        <f aca="false">+OCCMarkets!BF21</f>
        <v>0</v>
      </c>
      <c r="AF21" s="417" t="n">
        <f aca="false">+OCCMarkets!BG21</f>
        <v>0</v>
      </c>
      <c r="AG21" s="417" t="n">
        <f aca="false">+OCCMarkets!BH21</f>
        <v>0</v>
      </c>
      <c r="AH21" s="417" t="n">
        <f aca="false">+OCCMarkets!BI21</f>
        <v>0</v>
      </c>
      <c r="AI21" s="417" t="n">
        <f aca="false">+OCCMarkets!BJ21</f>
        <v>-301</v>
      </c>
      <c r="AJ21" s="417" t="n">
        <f aca="false">+OCCMarkets!BK21</f>
        <v>2054</v>
      </c>
      <c r="AL21" s="399" t="n">
        <f aca="false">+B21+I21+P21+W21+AD21</f>
        <v>9980</v>
      </c>
      <c r="AM21" s="399" t="n">
        <f aca="false">+F21+M21+T21+AA21+AH21</f>
        <v>987</v>
      </c>
      <c r="AN21" s="399" t="n">
        <f aca="false">+AM21-AL21</f>
        <v>-8993</v>
      </c>
      <c r="AO21" s="399" t="n">
        <f aca="false">+H21+O21+V21+AC21+AJ21</f>
        <v>125997</v>
      </c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  <c r="BR21" s="409"/>
      <c r="BS21" s="409"/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09"/>
      <c r="CG21" s="409"/>
      <c r="CH21" s="409"/>
      <c r="CI21" s="409"/>
      <c r="CJ21" s="409"/>
      <c r="CK21" s="409"/>
      <c r="CL21" s="409"/>
      <c r="CM21" s="409"/>
      <c r="CN21" s="409"/>
      <c r="CO21" s="409"/>
      <c r="CP21" s="409"/>
      <c r="CQ21" s="409"/>
      <c r="CR21" s="409"/>
      <c r="CS21" s="409"/>
      <c r="CT21" s="409"/>
      <c r="CU21" s="409"/>
      <c r="CV21" s="409"/>
      <c r="CW21" s="409"/>
      <c r="CX21" s="409"/>
      <c r="CY21" s="409"/>
      <c r="CZ21" s="409"/>
      <c r="DA21" s="409"/>
      <c r="DB21" s="409"/>
      <c r="DC21" s="409"/>
      <c r="DD21" s="409"/>
    </row>
    <row r="22" customFormat="false" ht="12.75" hidden="false" customHeight="false" outlineLevel="0" collapsed="false">
      <c r="A22" s="346" t="n">
        <f aca="false">+BaseloadMarkets!A22</f>
        <v>36694</v>
      </c>
      <c r="B22" s="413" t="n">
        <f aca="false">+OCCMarkets!AC22</f>
        <v>177</v>
      </c>
      <c r="C22" s="413" t="n">
        <f aca="false">+OCCMarkets!AD22</f>
        <v>0</v>
      </c>
      <c r="D22" s="413" t="n">
        <f aca="false">+OCCMarkets!AE22</f>
        <v>0</v>
      </c>
      <c r="E22" s="413" t="n">
        <f aca="false">+OCCMarkets!AF22</f>
        <v>0</v>
      </c>
      <c r="F22" s="413" t="n">
        <f aca="false">+OCCMarkets!AG22</f>
        <v>0</v>
      </c>
      <c r="G22" s="413" t="n">
        <f aca="false">+OCCMarkets!AH22</f>
        <v>-177</v>
      </c>
      <c r="H22" s="413" t="n">
        <f aca="false">+OCCMarkets!AI22</f>
        <v>1383</v>
      </c>
      <c r="I22" s="414" t="n">
        <f aca="false">+OCCMarkets!AJ22</f>
        <v>8922</v>
      </c>
      <c r="J22" s="414" t="n">
        <f aca="false">+OCCMarkets!AK22</f>
        <v>2000</v>
      </c>
      <c r="K22" s="414" t="n">
        <f aca="false">+OCCMarkets!AL22</f>
        <v>987</v>
      </c>
      <c r="L22" s="414" t="n">
        <f aca="false">+OCCMarkets!AM22</f>
        <v>0</v>
      </c>
      <c r="M22" s="414" t="n">
        <f aca="false">+OCCMarkets!AN22</f>
        <v>2987</v>
      </c>
      <c r="N22" s="414" t="n">
        <f aca="false">+OCCMarkets!AO22</f>
        <v>-5935</v>
      </c>
      <c r="O22" s="414" t="n">
        <f aca="false">+OCCMarkets!AP22</f>
        <v>114618</v>
      </c>
      <c r="P22" s="415" t="n">
        <f aca="false">+OCCMarkets!AQ22</f>
        <v>0</v>
      </c>
      <c r="Q22" s="415" t="n">
        <f aca="false">+OCCMarkets!AR22</f>
        <v>0</v>
      </c>
      <c r="R22" s="415" t="n">
        <f aca="false">+OCCMarkets!AS22</f>
        <v>0</v>
      </c>
      <c r="S22" s="415" t="n">
        <f aca="false">+OCCMarkets!AT22</f>
        <v>0</v>
      </c>
      <c r="T22" s="415" t="n">
        <f aca="false">+OCCMarkets!AU22</f>
        <v>0</v>
      </c>
      <c r="U22" s="415" t="n">
        <f aca="false">+OCCMarkets!AV22</f>
        <v>0</v>
      </c>
      <c r="V22" s="415" t="n">
        <f aca="false">+OCCMarkets!AW22</f>
        <v>0</v>
      </c>
      <c r="W22" s="416" t="n">
        <f aca="false">+OCCMarkets!AX22</f>
        <v>26</v>
      </c>
      <c r="X22" s="416" t="n">
        <f aca="false">+OCCMarkets!AY22</f>
        <v>0</v>
      </c>
      <c r="Y22" s="416" t="n">
        <f aca="false">+OCCMarkets!AZ22</f>
        <v>0</v>
      </c>
      <c r="Z22" s="416" t="n">
        <f aca="false">+OCCMarkets!BA22</f>
        <v>0</v>
      </c>
      <c r="AA22" s="416" t="n">
        <f aca="false">+OCCMarkets!BB22</f>
        <v>0</v>
      </c>
      <c r="AB22" s="416" t="n">
        <f aca="false">+OCCMarkets!BC22</f>
        <v>-26</v>
      </c>
      <c r="AC22" s="416" t="n">
        <f aca="false">+OCCMarkets!BD22</f>
        <v>1804</v>
      </c>
      <c r="AD22" s="417" t="n">
        <f aca="false">+OCCMarkets!BE22</f>
        <v>145</v>
      </c>
      <c r="AE22" s="417" t="n">
        <f aca="false">+OCCMarkets!BF22</f>
        <v>0</v>
      </c>
      <c r="AF22" s="417" t="n">
        <f aca="false">+OCCMarkets!BG22</f>
        <v>0</v>
      </c>
      <c r="AG22" s="417" t="n">
        <f aca="false">+OCCMarkets!BH22</f>
        <v>0</v>
      </c>
      <c r="AH22" s="417" t="n">
        <f aca="false">+OCCMarkets!BI22</f>
        <v>0</v>
      </c>
      <c r="AI22" s="417" t="n">
        <f aca="false">+OCCMarkets!BJ22</f>
        <v>-145</v>
      </c>
      <c r="AJ22" s="417" t="n">
        <f aca="false">+OCCMarkets!BK22</f>
        <v>1909</v>
      </c>
      <c r="AL22" s="399" t="n">
        <f aca="false">+B22+I22+P22+W22+AD22</f>
        <v>9270</v>
      </c>
      <c r="AM22" s="399" t="n">
        <f aca="false">+F22+M22+T22+AA22+AH22</f>
        <v>2987</v>
      </c>
      <c r="AN22" s="399" t="n">
        <f aca="false">+AM22-AL22</f>
        <v>-6283</v>
      </c>
      <c r="AO22" s="399" t="n">
        <f aca="false">+H22+O22+V22+AC22+AJ22</f>
        <v>119714</v>
      </c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  <c r="BR22" s="409"/>
      <c r="BS22" s="409"/>
      <c r="BT22" s="409"/>
      <c r="BU22" s="409"/>
      <c r="BV22" s="409"/>
      <c r="BW22" s="409"/>
      <c r="BX22" s="409"/>
      <c r="BY22" s="409"/>
      <c r="BZ22" s="409"/>
      <c r="CA22" s="409"/>
      <c r="CB22" s="409"/>
      <c r="CC22" s="409"/>
      <c r="CD22" s="409"/>
      <c r="CE22" s="409"/>
      <c r="CF22" s="409"/>
      <c r="CG22" s="409"/>
      <c r="CH22" s="409"/>
      <c r="CI22" s="409"/>
      <c r="CJ22" s="409"/>
      <c r="CK22" s="409"/>
      <c r="CL22" s="409"/>
      <c r="CM22" s="409"/>
      <c r="CN22" s="409"/>
      <c r="CO22" s="409"/>
      <c r="CP22" s="409"/>
      <c r="CQ22" s="409"/>
      <c r="CR22" s="409"/>
      <c r="CS22" s="409"/>
      <c r="CT22" s="409"/>
      <c r="CU22" s="409"/>
      <c r="CV22" s="409"/>
      <c r="CW22" s="409"/>
      <c r="CX22" s="409"/>
      <c r="CY22" s="409"/>
      <c r="CZ22" s="409"/>
      <c r="DA22" s="409"/>
      <c r="DB22" s="409"/>
      <c r="DC22" s="409"/>
      <c r="DD22" s="409"/>
    </row>
    <row r="23" customFormat="false" ht="12.75" hidden="false" customHeight="false" outlineLevel="0" collapsed="false">
      <c r="A23" s="346" t="n">
        <f aca="false">+BaseloadMarkets!A23</f>
        <v>36695</v>
      </c>
      <c r="B23" s="413" t="n">
        <f aca="false">+OCCMarkets!AC23</f>
        <v>36</v>
      </c>
      <c r="C23" s="413" t="n">
        <f aca="false">+OCCMarkets!AD23</f>
        <v>0</v>
      </c>
      <c r="D23" s="413" t="n">
        <f aca="false">+OCCMarkets!AE23</f>
        <v>0</v>
      </c>
      <c r="E23" s="413" t="n">
        <f aca="false">+OCCMarkets!AF23</f>
        <v>0</v>
      </c>
      <c r="F23" s="413" t="n">
        <f aca="false">+OCCMarkets!AG23</f>
        <v>0</v>
      </c>
      <c r="G23" s="413" t="n">
        <f aca="false">+OCCMarkets!AH23</f>
        <v>-36</v>
      </c>
      <c r="H23" s="413" t="n">
        <f aca="false">+OCCMarkets!AI23</f>
        <v>1347</v>
      </c>
      <c r="I23" s="414" t="n">
        <f aca="false">+OCCMarkets!AJ23</f>
        <v>8958</v>
      </c>
      <c r="J23" s="414" t="n">
        <f aca="false">+OCCMarkets!AK23</f>
        <v>2567</v>
      </c>
      <c r="K23" s="414" t="n">
        <f aca="false">+OCCMarkets!AL23</f>
        <v>987</v>
      </c>
      <c r="L23" s="414" t="n">
        <f aca="false">+OCCMarkets!AM23</f>
        <v>0</v>
      </c>
      <c r="M23" s="414" t="n">
        <f aca="false">+OCCMarkets!AN23</f>
        <v>3554</v>
      </c>
      <c r="N23" s="414" t="n">
        <f aca="false">+OCCMarkets!AO23</f>
        <v>-5404</v>
      </c>
      <c r="O23" s="414" t="n">
        <f aca="false">+OCCMarkets!AP23</f>
        <v>109214</v>
      </c>
      <c r="P23" s="415" t="n">
        <f aca="false">+OCCMarkets!AQ23</f>
        <v>0</v>
      </c>
      <c r="Q23" s="415" t="n">
        <f aca="false">+OCCMarkets!AR23</f>
        <v>0</v>
      </c>
      <c r="R23" s="415" t="n">
        <f aca="false">+OCCMarkets!AS23</f>
        <v>0</v>
      </c>
      <c r="S23" s="415" t="n">
        <f aca="false">+OCCMarkets!AT23</f>
        <v>0</v>
      </c>
      <c r="T23" s="415" t="n">
        <f aca="false">+OCCMarkets!AU23</f>
        <v>0</v>
      </c>
      <c r="U23" s="415" t="n">
        <f aca="false">+OCCMarkets!AV23</f>
        <v>0</v>
      </c>
      <c r="V23" s="415" t="n">
        <f aca="false">+OCCMarkets!AW23</f>
        <v>0</v>
      </c>
      <c r="W23" s="416" t="n">
        <f aca="false">+OCCMarkets!AX23</f>
        <v>0</v>
      </c>
      <c r="X23" s="416" t="n">
        <f aca="false">+OCCMarkets!AY23</f>
        <v>0</v>
      </c>
      <c r="Y23" s="416" t="n">
        <f aca="false">+OCCMarkets!AZ23</f>
        <v>0</v>
      </c>
      <c r="Z23" s="416" t="n">
        <f aca="false">+OCCMarkets!BA23</f>
        <v>0</v>
      </c>
      <c r="AA23" s="416" t="n">
        <f aca="false">+OCCMarkets!BB23</f>
        <v>0</v>
      </c>
      <c r="AB23" s="416" t="n">
        <f aca="false">+OCCMarkets!BC23</f>
        <v>0</v>
      </c>
      <c r="AC23" s="416" t="n">
        <f aca="false">+OCCMarkets!BD23</f>
        <v>1804</v>
      </c>
      <c r="AD23" s="417" t="n">
        <f aca="false">+OCCMarkets!BE23</f>
        <v>24</v>
      </c>
      <c r="AE23" s="417" t="n">
        <f aca="false">+OCCMarkets!BF23</f>
        <v>0</v>
      </c>
      <c r="AF23" s="417" t="n">
        <f aca="false">+OCCMarkets!BG23</f>
        <v>0</v>
      </c>
      <c r="AG23" s="417" t="n">
        <f aca="false">+OCCMarkets!BH23</f>
        <v>0</v>
      </c>
      <c r="AH23" s="417" t="n">
        <f aca="false">+OCCMarkets!BI23</f>
        <v>0</v>
      </c>
      <c r="AI23" s="417" t="n">
        <f aca="false">+OCCMarkets!BJ23</f>
        <v>-24</v>
      </c>
      <c r="AJ23" s="417" t="n">
        <f aca="false">+OCCMarkets!BK23</f>
        <v>1885</v>
      </c>
      <c r="AL23" s="399" t="n">
        <f aca="false">+B23+I23+P23+W23+AD23</f>
        <v>9018</v>
      </c>
      <c r="AM23" s="399" t="n">
        <f aca="false">+F23+M23+T23+AA23+AH23</f>
        <v>3554</v>
      </c>
      <c r="AN23" s="399" t="n">
        <f aca="false">+AM23-AL23</f>
        <v>-5464</v>
      </c>
      <c r="AO23" s="399" t="n">
        <f aca="false">+H23+O23+V23+AC23+AJ23</f>
        <v>114250</v>
      </c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  <c r="BR23" s="409"/>
      <c r="BS23" s="409"/>
      <c r="BT23" s="409"/>
      <c r="BU23" s="409"/>
      <c r="BV23" s="409"/>
      <c r="BW23" s="409"/>
      <c r="BX23" s="409"/>
      <c r="BY23" s="409"/>
      <c r="BZ23" s="409"/>
      <c r="CA23" s="409"/>
      <c r="CB23" s="409"/>
      <c r="CC23" s="409"/>
      <c r="CD23" s="409"/>
      <c r="CE23" s="409"/>
      <c r="CF23" s="409"/>
      <c r="CG23" s="409"/>
      <c r="CH23" s="409"/>
      <c r="CI23" s="409"/>
      <c r="CJ23" s="409"/>
      <c r="CK23" s="409"/>
      <c r="CL23" s="409"/>
      <c r="CM23" s="409"/>
      <c r="CN23" s="409"/>
      <c r="CO23" s="409"/>
      <c r="CP23" s="409"/>
      <c r="CQ23" s="409"/>
      <c r="CR23" s="409"/>
      <c r="CS23" s="409"/>
      <c r="CT23" s="409"/>
      <c r="CU23" s="409"/>
      <c r="CV23" s="409"/>
      <c r="CW23" s="409"/>
      <c r="CX23" s="409"/>
      <c r="CY23" s="409"/>
      <c r="CZ23" s="409"/>
      <c r="DA23" s="409"/>
      <c r="DB23" s="409"/>
      <c r="DC23" s="409"/>
      <c r="DD23" s="409"/>
    </row>
    <row r="24" customFormat="false" ht="12.75" hidden="false" customHeight="false" outlineLevel="0" collapsed="false">
      <c r="A24" s="346" t="n">
        <f aca="false">+BaseloadMarkets!A24</f>
        <v>36696</v>
      </c>
      <c r="B24" s="413" t="n">
        <f aca="false">+OCCMarkets!AC24</f>
        <v>98</v>
      </c>
      <c r="C24" s="413" t="n">
        <f aca="false">+OCCMarkets!AD24</f>
        <v>0</v>
      </c>
      <c r="D24" s="413" t="n">
        <f aca="false">+OCCMarkets!AE24</f>
        <v>0</v>
      </c>
      <c r="E24" s="413" t="n">
        <f aca="false">+OCCMarkets!AF24</f>
        <v>0</v>
      </c>
      <c r="F24" s="413" t="n">
        <f aca="false">+OCCMarkets!AG24</f>
        <v>0</v>
      </c>
      <c r="G24" s="413" t="n">
        <f aca="false">+OCCMarkets!AH24</f>
        <v>-98</v>
      </c>
      <c r="H24" s="413" t="n">
        <f aca="false">+OCCMarkets!AI24</f>
        <v>1249</v>
      </c>
      <c r="I24" s="414" t="n">
        <f aca="false">+OCCMarkets!AJ24</f>
        <v>9034</v>
      </c>
      <c r="J24" s="414" t="n">
        <f aca="false">+OCCMarkets!AK24</f>
        <v>2595</v>
      </c>
      <c r="K24" s="414" t="n">
        <f aca="false">+OCCMarkets!AL24</f>
        <v>987</v>
      </c>
      <c r="L24" s="414" t="n">
        <f aca="false">+OCCMarkets!AM24</f>
        <v>0</v>
      </c>
      <c r="M24" s="414" t="n">
        <f aca="false">+OCCMarkets!AN24</f>
        <v>3582</v>
      </c>
      <c r="N24" s="414" t="n">
        <f aca="false">+OCCMarkets!AO24</f>
        <v>-5452</v>
      </c>
      <c r="O24" s="414" t="n">
        <f aca="false">+OCCMarkets!AP24</f>
        <v>103762</v>
      </c>
      <c r="P24" s="415" t="n">
        <f aca="false">+OCCMarkets!AQ24</f>
        <v>0</v>
      </c>
      <c r="Q24" s="415" t="n">
        <f aca="false">+OCCMarkets!AR24</f>
        <v>0</v>
      </c>
      <c r="R24" s="415" t="n">
        <f aca="false">+OCCMarkets!AS24</f>
        <v>0</v>
      </c>
      <c r="S24" s="415" t="n">
        <f aca="false">+OCCMarkets!AT24</f>
        <v>0</v>
      </c>
      <c r="T24" s="415" t="n">
        <f aca="false">+OCCMarkets!AU24</f>
        <v>0</v>
      </c>
      <c r="U24" s="415" t="n">
        <f aca="false">+OCCMarkets!AV24</f>
        <v>0</v>
      </c>
      <c r="V24" s="415" t="n">
        <f aca="false">+OCCMarkets!AW24</f>
        <v>0</v>
      </c>
      <c r="W24" s="416" t="n">
        <f aca="false">+OCCMarkets!AX24</f>
        <v>116</v>
      </c>
      <c r="X24" s="416" t="n">
        <f aca="false">+OCCMarkets!AY24</f>
        <v>0</v>
      </c>
      <c r="Y24" s="416" t="n">
        <f aca="false">+OCCMarkets!AZ24</f>
        <v>0</v>
      </c>
      <c r="Z24" s="416" t="n">
        <f aca="false">+OCCMarkets!BA24</f>
        <v>0</v>
      </c>
      <c r="AA24" s="416" t="n">
        <f aca="false">+OCCMarkets!BB24</f>
        <v>0</v>
      </c>
      <c r="AB24" s="416" t="n">
        <f aca="false">+OCCMarkets!BC24</f>
        <v>-116</v>
      </c>
      <c r="AC24" s="416" t="n">
        <f aca="false">+OCCMarkets!BD24</f>
        <v>1688</v>
      </c>
      <c r="AD24" s="417" t="n">
        <f aca="false">+OCCMarkets!BE24</f>
        <v>269</v>
      </c>
      <c r="AE24" s="417" t="n">
        <f aca="false">+OCCMarkets!BF24</f>
        <v>0</v>
      </c>
      <c r="AF24" s="417" t="n">
        <f aca="false">+OCCMarkets!BG24</f>
        <v>0</v>
      </c>
      <c r="AG24" s="417" t="n">
        <f aca="false">+OCCMarkets!BH24</f>
        <v>0</v>
      </c>
      <c r="AH24" s="417" t="n">
        <f aca="false">+OCCMarkets!BI24</f>
        <v>0</v>
      </c>
      <c r="AI24" s="417" t="n">
        <f aca="false">+OCCMarkets!BJ24</f>
        <v>-269</v>
      </c>
      <c r="AJ24" s="417" t="n">
        <f aca="false">+OCCMarkets!BK24</f>
        <v>1616</v>
      </c>
      <c r="AL24" s="399" t="n">
        <f aca="false">+B24+I24+P24+W24+AD24</f>
        <v>9517</v>
      </c>
      <c r="AM24" s="399" t="n">
        <f aca="false">+F24+M24+T24+AA24+AH24</f>
        <v>3582</v>
      </c>
      <c r="AN24" s="399" t="n">
        <f aca="false">+AM24-AL24</f>
        <v>-5935</v>
      </c>
      <c r="AO24" s="399" t="n">
        <f aca="false">+H24+O24+V24+AC24+AJ24</f>
        <v>108315</v>
      </c>
      <c r="BB24" s="409"/>
      <c r="BC24" s="409"/>
      <c r="BD24" s="409"/>
      <c r="BE24" s="409"/>
      <c r="BF24" s="409"/>
      <c r="BG24" s="409"/>
      <c r="BH24" s="409"/>
      <c r="BI24" s="409"/>
      <c r="BJ24" s="409"/>
      <c r="BK24" s="409"/>
      <c r="BL24" s="409"/>
      <c r="BM24" s="409"/>
      <c r="BN24" s="409"/>
      <c r="BO24" s="409"/>
      <c r="BP24" s="409"/>
      <c r="BQ24" s="409"/>
      <c r="BR24" s="409"/>
      <c r="BS24" s="409"/>
      <c r="BT24" s="409"/>
      <c r="BU24" s="409"/>
      <c r="BV24" s="409"/>
      <c r="BW24" s="409"/>
      <c r="BX24" s="409"/>
      <c r="BY24" s="409"/>
      <c r="BZ24" s="409"/>
      <c r="CA24" s="409"/>
      <c r="CB24" s="409"/>
      <c r="CC24" s="409"/>
      <c r="CD24" s="409"/>
      <c r="CE24" s="409"/>
      <c r="CF24" s="409"/>
      <c r="CG24" s="409"/>
      <c r="CH24" s="409"/>
      <c r="CI24" s="409"/>
      <c r="CJ24" s="409"/>
      <c r="CK24" s="409"/>
      <c r="CL24" s="409"/>
      <c r="CM24" s="409"/>
      <c r="CN24" s="409"/>
      <c r="CO24" s="409"/>
      <c r="CP24" s="409"/>
      <c r="CQ24" s="409"/>
      <c r="CR24" s="409"/>
      <c r="CS24" s="409"/>
      <c r="CT24" s="409"/>
      <c r="CU24" s="409"/>
      <c r="CV24" s="409"/>
      <c r="CW24" s="409"/>
      <c r="CX24" s="409"/>
      <c r="CY24" s="409"/>
      <c r="CZ24" s="409"/>
      <c r="DA24" s="409"/>
      <c r="DB24" s="409"/>
      <c r="DC24" s="409"/>
      <c r="DD24" s="409"/>
    </row>
    <row r="25" customFormat="false" ht="12.75" hidden="false" customHeight="false" outlineLevel="0" collapsed="false">
      <c r="A25" s="346" t="n">
        <f aca="false">+BaseloadMarkets!A25</f>
        <v>36697</v>
      </c>
      <c r="B25" s="413" t="n">
        <f aca="false">+OCCMarkets!AC25</f>
        <v>179</v>
      </c>
      <c r="C25" s="413" t="n">
        <f aca="false">+OCCMarkets!AD25</f>
        <v>545</v>
      </c>
      <c r="D25" s="413" t="n">
        <f aca="false">+OCCMarkets!AE25</f>
        <v>0</v>
      </c>
      <c r="E25" s="413" t="n">
        <f aca="false">+OCCMarkets!AF25</f>
        <v>0</v>
      </c>
      <c r="F25" s="413" t="n">
        <f aca="false">+OCCMarkets!AG25</f>
        <v>545</v>
      </c>
      <c r="G25" s="413" t="n">
        <f aca="false">+OCCMarkets!AH25</f>
        <v>366</v>
      </c>
      <c r="H25" s="413" t="n">
        <f aca="false">+OCCMarkets!AI25</f>
        <v>1615</v>
      </c>
      <c r="I25" s="414" t="n">
        <f aca="false">+OCCMarkets!AJ25</f>
        <v>8953</v>
      </c>
      <c r="J25" s="414" t="n">
        <f aca="false">+OCCMarkets!AK25</f>
        <v>3982</v>
      </c>
      <c r="K25" s="414" t="n">
        <f aca="false">+OCCMarkets!AL25</f>
        <v>987</v>
      </c>
      <c r="L25" s="414" t="n">
        <f aca="false">+OCCMarkets!AM25</f>
        <v>0</v>
      </c>
      <c r="M25" s="414" t="n">
        <f aca="false">+OCCMarkets!AN25</f>
        <v>4969</v>
      </c>
      <c r="N25" s="414" t="n">
        <f aca="false">+OCCMarkets!AO25</f>
        <v>-3984</v>
      </c>
      <c r="O25" s="414" t="n">
        <f aca="false">+OCCMarkets!AP25</f>
        <v>99778</v>
      </c>
      <c r="P25" s="415" t="n">
        <f aca="false">+OCCMarkets!AQ25</f>
        <v>0</v>
      </c>
      <c r="Q25" s="415" t="n">
        <f aca="false">+OCCMarkets!AR25</f>
        <v>0</v>
      </c>
      <c r="R25" s="415" t="n">
        <f aca="false">+OCCMarkets!AS25</f>
        <v>0</v>
      </c>
      <c r="S25" s="415" t="n">
        <f aca="false">+OCCMarkets!AT25</f>
        <v>0</v>
      </c>
      <c r="T25" s="415" t="n">
        <f aca="false">+OCCMarkets!AU25</f>
        <v>0</v>
      </c>
      <c r="U25" s="415" t="n">
        <f aca="false">+OCCMarkets!AV25</f>
        <v>0</v>
      </c>
      <c r="V25" s="415" t="n">
        <f aca="false">+OCCMarkets!AW25</f>
        <v>0</v>
      </c>
      <c r="W25" s="416" t="n">
        <f aca="false">+OCCMarkets!AX25</f>
        <v>202</v>
      </c>
      <c r="X25" s="416" t="n">
        <f aca="false">+OCCMarkets!AY25</f>
        <v>545</v>
      </c>
      <c r="Y25" s="416" t="n">
        <f aca="false">+OCCMarkets!AZ25</f>
        <v>0</v>
      </c>
      <c r="Z25" s="416" t="n">
        <f aca="false">+OCCMarkets!BA25</f>
        <v>0</v>
      </c>
      <c r="AA25" s="416" t="n">
        <f aca="false">+OCCMarkets!BB25</f>
        <v>545</v>
      </c>
      <c r="AB25" s="416" t="n">
        <f aca="false">+OCCMarkets!BC25</f>
        <v>343</v>
      </c>
      <c r="AC25" s="416" t="n">
        <f aca="false">+OCCMarkets!BD25</f>
        <v>2031</v>
      </c>
      <c r="AD25" s="417" t="n">
        <f aca="false">+OCCMarkets!BE25</f>
        <v>320</v>
      </c>
      <c r="AE25" s="417" t="n">
        <f aca="false">+OCCMarkets!BF25</f>
        <v>545</v>
      </c>
      <c r="AF25" s="417" t="n">
        <f aca="false">+OCCMarkets!BG25</f>
        <v>0</v>
      </c>
      <c r="AG25" s="417" t="n">
        <f aca="false">+OCCMarkets!BH25</f>
        <v>0</v>
      </c>
      <c r="AH25" s="417" t="n">
        <f aca="false">+OCCMarkets!BI25</f>
        <v>545</v>
      </c>
      <c r="AI25" s="417" t="n">
        <f aca="false">+OCCMarkets!BJ25</f>
        <v>225</v>
      </c>
      <c r="AJ25" s="417" t="n">
        <f aca="false">+OCCMarkets!BK25</f>
        <v>1841</v>
      </c>
      <c r="AL25" s="399" t="n">
        <f aca="false">+B25+I25+P25+W25+AD25</f>
        <v>9654</v>
      </c>
      <c r="AM25" s="399" t="n">
        <f aca="false">+F25+M25+T25+AA25+AH25</f>
        <v>6604</v>
      </c>
      <c r="AN25" s="399" t="n">
        <f aca="false">+AM25-AL25</f>
        <v>-3050</v>
      </c>
      <c r="AO25" s="399" t="n">
        <f aca="false">+H25+O25+V25+AC25+AJ25</f>
        <v>105265</v>
      </c>
      <c r="BB25" s="409"/>
      <c r="BC25" s="409"/>
      <c r="BD25" s="409"/>
      <c r="BE25" s="409"/>
      <c r="BF25" s="409"/>
      <c r="BG25" s="409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09"/>
      <c r="CI25" s="409"/>
      <c r="CJ25" s="409"/>
      <c r="CK25" s="409"/>
      <c r="CL25" s="409"/>
      <c r="CM25" s="409"/>
      <c r="CN25" s="409"/>
      <c r="CO25" s="409"/>
      <c r="CP25" s="409"/>
      <c r="CQ25" s="409"/>
      <c r="CR25" s="409"/>
      <c r="CS25" s="409"/>
      <c r="CT25" s="409"/>
      <c r="CU25" s="409"/>
      <c r="CV25" s="409"/>
      <c r="CW25" s="409"/>
      <c r="CX25" s="409"/>
      <c r="CY25" s="409"/>
      <c r="CZ25" s="409"/>
      <c r="DA25" s="409"/>
      <c r="DB25" s="409"/>
      <c r="DC25" s="409"/>
      <c r="DD25" s="409"/>
    </row>
    <row r="26" customFormat="false" ht="12.75" hidden="false" customHeight="false" outlineLevel="0" collapsed="false">
      <c r="A26" s="346" t="n">
        <f aca="false">+BaseloadMarkets!A26</f>
        <v>36698</v>
      </c>
      <c r="B26" s="413" t="n">
        <f aca="false">+OCCMarkets!AC26</f>
        <v>178</v>
      </c>
      <c r="C26" s="413" t="n">
        <f aca="false">+OCCMarkets!AD26</f>
        <v>0</v>
      </c>
      <c r="D26" s="413" t="n">
        <f aca="false">+OCCMarkets!AE26</f>
        <v>0</v>
      </c>
      <c r="E26" s="413" t="n">
        <f aca="false">+OCCMarkets!AF26</f>
        <v>0</v>
      </c>
      <c r="F26" s="413" t="n">
        <f aca="false">+OCCMarkets!AG26</f>
        <v>0</v>
      </c>
      <c r="G26" s="413" t="n">
        <f aca="false">+OCCMarkets!AH26</f>
        <v>-178</v>
      </c>
      <c r="H26" s="413" t="n">
        <f aca="false">+OCCMarkets!AI26</f>
        <v>1437</v>
      </c>
      <c r="I26" s="414" t="n">
        <f aca="false">+OCCMarkets!AJ26</f>
        <v>9037</v>
      </c>
      <c r="J26" s="414" t="n">
        <f aca="false">+OCCMarkets!AK26</f>
        <v>479</v>
      </c>
      <c r="K26" s="414" t="n">
        <f aca="false">+OCCMarkets!AL26</f>
        <v>987</v>
      </c>
      <c r="L26" s="414" t="n">
        <f aca="false">+OCCMarkets!AM26</f>
        <v>0</v>
      </c>
      <c r="M26" s="414" t="n">
        <f aca="false">+OCCMarkets!AN26</f>
        <v>1466</v>
      </c>
      <c r="N26" s="414" t="n">
        <f aca="false">+OCCMarkets!AO26</f>
        <v>-7571</v>
      </c>
      <c r="O26" s="414" t="n">
        <f aca="false">+OCCMarkets!AP26</f>
        <v>92207</v>
      </c>
      <c r="P26" s="415" t="n">
        <f aca="false">+OCCMarkets!AQ26</f>
        <v>0</v>
      </c>
      <c r="Q26" s="415" t="n">
        <f aca="false">+OCCMarkets!AR26</f>
        <v>0</v>
      </c>
      <c r="R26" s="415" t="n">
        <f aca="false">+OCCMarkets!AS26</f>
        <v>0</v>
      </c>
      <c r="S26" s="415" t="n">
        <f aca="false">+OCCMarkets!AT26</f>
        <v>0</v>
      </c>
      <c r="T26" s="415" t="n">
        <f aca="false">+OCCMarkets!AU26</f>
        <v>0</v>
      </c>
      <c r="U26" s="415" t="n">
        <f aca="false">+OCCMarkets!AV26</f>
        <v>0</v>
      </c>
      <c r="V26" s="415" t="n">
        <f aca="false">+OCCMarkets!AW26</f>
        <v>0</v>
      </c>
      <c r="W26" s="416" t="n">
        <f aca="false">+OCCMarkets!AX26</f>
        <v>190</v>
      </c>
      <c r="X26" s="416" t="n">
        <f aca="false">+OCCMarkets!AY26</f>
        <v>0</v>
      </c>
      <c r="Y26" s="416" t="n">
        <f aca="false">+OCCMarkets!AZ26</f>
        <v>0</v>
      </c>
      <c r="Z26" s="416" t="n">
        <f aca="false">+OCCMarkets!BA26</f>
        <v>0</v>
      </c>
      <c r="AA26" s="416" t="n">
        <f aca="false">+OCCMarkets!BB26</f>
        <v>0</v>
      </c>
      <c r="AB26" s="416" t="n">
        <f aca="false">+OCCMarkets!BC26</f>
        <v>-190</v>
      </c>
      <c r="AC26" s="416" t="n">
        <f aca="false">+OCCMarkets!BD26</f>
        <v>1841</v>
      </c>
      <c r="AD26" s="417" t="n">
        <f aca="false">+OCCMarkets!BE26</f>
        <v>301</v>
      </c>
      <c r="AE26" s="417" t="n">
        <f aca="false">+OCCMarkets!BF26</f>
        <v>0</v>
      </c>
      <c r="AF26" s="417" t="n">
        <f aca="false">+OCCMarkets!BG26</f>
        <v>0</v>
      </c>
      <c r="AG26" s="417" t="n">
        <f aca="false">+OCCMarkets!BH26</f>
        <v>0</v>
      </c>
      <c r="AH26" s="417" t="n">
        <f aca="false">+OCCMarkets!BI26</f>
        <v>0</v>
      </c>
      <c r="AI26" s="417" t="n">
        <f aca="false">+OCCMarkets!BJ26</f>
        <v>-301</v>
      </c>
      <c r="AJ26" s="417" t="n">
        <f aca="false">+OCCMarkets!BK26</f>
        <v>1540</v>
      </c>
      <c r="AL26" s="399" t="n">
        <f aca="false">+B26+I26+P26+W26+AD26</f>
        <v>9706</v>
      </c>
      <c r="AM26" s="399" t="n">
        <f aca="false">+F26+M26+T26+AA26+AH26</f>
        <v>1466</v>
      </c>
      <c r="AN26" s="399" t="n">
        <f aca="false">+AM26-AL26</f>
        <v>-8240</v>
      </c>
      <c r="AO26" s="399" t="n">
        <f aca="false">+H26+O26+V26+AC26+AJ26</f>
        <v>97025</v>
      </c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  <c r="BR26" s="409"/>
      <c r="BS26" s="409"/>
      <c r="BT26" s="409"/>
      <c r="BU26" s="409"/>
      <c r="BV26" s="409"/>
      <c r="BW26" s="409"/>
      <c r="BX26" s="409"/>
      <c r="BY26" s="409"/>
      <c r="BZ26" s="409"/>
      <c r="CA26" s="409"/>
      <c r="CB26" s="409"/>
      <c r="CC26" s="409"/>
      <c r="CD26" s="409"/>
      <c r="CE26" s="409"/>
      <c r="CF26" s="409"/>
      <c r="CG26" s="409"/>
      <c r="CH26" s="409"/>
      <c r="CI26" s="409"/>
      <c r="CJ26" s="409"/>
      <c r="CK26" s="409"/>
      <c r="CL26" s="409"/>
      <c r="CM26" s="409"/>
      <c r="CN26" s="409"/>
      <c r="CO26" s="409"/>
      <c r="CP26" s="409"/>
      <c r="CQ26" s="409"/>
      <c r="CR26" s="409"/>
      <c r="CS26" s="409"/>
      <c r="CT26" s="409"/>
      <c r="CU26" s="409"/>
      <c r="CV26" s="409"/>
      <c r="CW26" s="409"/>
      <c r="CX26" s="409"/>
      <c r="CY26" s="409"/>
      <c r="CZ26" s="409"/>
      <c r="DA26" s="409"/>
      <c r="DB26" s="409"/>
      <c r="DC26" s="409"/>
      <c r="DD26" s="409"/>
    </row>
    <row r="27" customFormat="false" ht="12.75" hidden="false" customHeight="false" outlineLevel="0" collapsed="false">
      <c r="A27" s="346" t="n">
        <f aca="false">+BaseloadMarkets!A27</f>
        <v>36699</v>
      </c>
      <c r="B27" s="413" t="n">
        <f aca="false">+OCCMarkets!AC27</f>
        <v>177</v>
      </c>
      <c r="C27" s="413" t="n">
        <f aca="false">+OCCMarkets!AD27</f>
        <v>0</v>
      </c>
      <c r="D27" s="413" t="n">
        <f aca="false">+OCCMarkets!AE27</f>
        <v>0</v>
      </c>
      <c r="E27" s="413" t="n">
        <f aca="false">+OCCMarkets!AF27</f>
        <v>0</v>
      </c>
      <c r="F27" s="413" t="n">
        <f aca="false">+OCCMarkets!AG27</f>
        <v>0</v>
      </c>
      <c r="G27" s="413" t="n">
        <f aca="false">+OCCMarkets!AH27</f>
        <v>-177</v>
      </c>
      <c r="H27" s="413" t="n">
        <f aca="false">+OCCMarkets!AI27</f>
        <v>1260</v>
      </c>
      <c r="I27" s="414" t="n">
        <f aca="false">+OCCMarkets!AJ27</f>
        <v>9084</v>
      </c>
      <c r="J27" s="414" t="n">
        <f aca="false">+OCCMarkets!AK27</f>
        <v>3007</v>
      </c>
      <c r="K27" s="414" t="n">
        <f aca="false">+OCCMarkets!AL27</f>
        <v>987</v>
      </c>
      <c r="L27" s="414" t="n">
        <f aca="false">+OCCMarkets!AM27</f>
        <v>0</v>
      </c>
      <c r="M27" s="414" t="n">
        <f aca="false">+OCCMarkets!AN27</f>
        <v>3994</v>
      </c>
      <c r="N27" s="414" t="n">
        <f aca="false">+OCCMarkets!AO27</f>
        <v>-5090</v>
      </c>
      <c r="O27" s="414" t="n">
        <f aca="false">+OCCMarkets!AP27</f>
        <v>87117</v>
      </c>
      <c r="P27" s="415" t="n">
        <f aca="false">+OCCMarkets!AQ27</f>
        <v>0</v>
      </c>
      <c r="Q27" s="415" t="n">
        <f aca="false">+OCCMarkets!AR27</f>
        <v>0</v>
      </c>
      <c r="R27" s="415" t="n">
        <f aca="false">+OCCMarkets!AS27</f>
        <v>0</v>
      </c>
      <c r="S27" s="415" t="n">
        <f aca="false">+OCCMarkets!AT27</f>
        <v>0</v>
      </c>
      <c r="T27" s="415" t="n">
        <f aca="false">+OCCMarkets!AU27</f>
        <v>0</v>
      </c>
      <c r="U27" s="415" t="n">
        <f aca="false">+OCCMarkets!AV27</f>
        <v>0</v>
      </c>
      <c r="V27" s="415" t="n">
        <f aca="false">+OCCMarkets!AW27</f>
        <v>0</v>
      </c>
      <c r="W27" s="416" t="n">
        <f aca="false">+OCCMarkets!AX27</f>
        <v>206</v>
      </c>
      <c r="X27" s="416" t="n">
        <f aca="false">+OCCMarkets!AY27</f>
        <v>0</v>
      </c>
      <c r="Y27" s="416" t="n">
        <f aca="false">+OCCMarkets!AZ27</f>
        <v>0</v>
      </c>
      <c r="Z27" s="416" t="n">
        <f aca="false">+OCCMarkets!BA27</f>
        <v>0</v>
      </c>
      <c r="AA27" s="416" t="n">
        <f aca="false">+OCCMarkets!BB27</f>
        <v>0</v>
      </c>
      <c r="AB27" s="416" t="n">
        <f aca="false">+OCCMarkets!BC27</f>
        <v>-206</v>
      </c>
      <c r="AC27" s="416" t="n">
        <f aca="false">+OCCMarkets!BD27</f>
        <v>1635</v>
      </c>
      <c r="AD27" s="417" t="n">
        <f aca="false">+OCCMarkets!BE27</f>
        <v>308</v>
      </c>
      <c r="AE27" s="417" t="n">
        <f aca="false">+OCCMarkets!BF27</f>
        <v>0</v>
      </c>
      <c r="AF27" s="417" t="n">
        <f aca="false">+OCCMarkets!BG27</f>
        <v>0</v>
      </c>
      <c r="AG27" s="417" t="n">
        <f aca="false">+OCCMarkets!BH27</f>
        <v>0</v>
      </c>
      <c r="AH27" s="417" t="n">
        <f aca="false">+OCCMarkets!BI27</f>
        <v>0</v>
      </c>
      <c r="AI27" s="417" t="n">
        <f aca="false">+OCCMarkets!BJ27</f>
        <v>-308</v>
      </c>
      <c r="AJ27" s="417" t="n">
        <f aca="false">+OCCMarkets!BK27</f>
        <v>1232</v>
      </c>
      <c r="AL27" s="399" t="n">
        <f aca="false">+B27+I27+P27+W27+AD27</f>
        <v>9775</v>
      </c>
      <c r="AM27" s="399" t="n">
        <f aca="false">+F27+M27+T27+AA27+AH27</f>
        <v>3994</v>
      </c>
      <c r="AN27" s="399" t="n">
        <f aca="false">+AM27-AL27</f>
        <v>-5781</v>
      </c>
      <c r="AO27" s="399" t="n">
        <f aca="false">+H27+O27+V27+AC27+AJ27</f>
        <v>91244</v>
      </c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  <c r="BR27" s="409"/>
      <c r="BS27" s="409"/>
      <c r="BT27" s="409"/>
      <c r="BU27" s="409"/>
      <c r="BV27" s="409"/>
      <c r="BW27" s="409"/>
      <c r="BX27" s="409"/>
      <c r="BY27" s="409"/>
      <c r="BZ27" s="409"/>
      <c r="CA27" s="409"/>
      <c r="CB27" s="409"/>
      <c r="CC27" s="409"/>
      <c r="CD27" s="409"/>
      <c r="CE27" s="409"/>
      <c r="CF27" s="409"/>
      <c r="CG27" s="409"/>
      <c r="CH27" s="409"/>
      <c r="CI27" s="409"/>
      <c r="CJ27" s="409"/>
      <c r="CK27" s="409"/>
      <c r="CL27" s="409"/>
      <c r="CM27" s="409"/>
      <c r="CN27" s="409"/>
      <c r="CO27" s="409"/>
      <c r="CP27" s="409"/>
      <c r="CQ27" s="409"/>
      <c r="CR27" s="409"/>
      <c r="CS27" s="409"/>
      <c r="CT27" s="409"/>
      <c r="CU27" s="409"/>
      <c r="CV27" s="409"/>
      <c r="CW27" s="409"/>
      <c r="CX27" s="409"/>
      <c r="CY27" s="409"/>
      <c r="CZ27" s="409"/>
      <c r="DA27" s="409"/>
      <c r="DB27" s="409"/>
      <c r="DC27" s="409"/>
      <c r="DD27" s="409"/>
    </row>
    <row r="28" customFormat="false" ht="12.75" hidden="false" customHeight="false" outlineLevel="0" collapsed="false">
      <c r="A28" s="346" t="n">
        <f aca="false">+BaseloadMarkets!A28</f>
        <v>36700</v>
      </c>
      <c r="B28" s="413" t="n">
        <f aca="false">+OCCMarkets!AC28</f>
        <v>182</v>
      </c>
      <c r="C28" s="413" t="n">
        <f aca="false">+OCCMarkets!AD28</f>
        <v>0</v>
      </c>
      <c r="D28" s="413" t="n">
        <f aca="false">+OCCMarkets!AE28</f>
        <v>0</v>
      </c>
      <c r="E28" s="413" t="n">
        <f aca="false">+OCCMarkets!AF28</f>
        <v>0</v>
      </c>
      <c r="F28" s="413" t="n">
        <f aca="false">+OCCMarkets!AG28</f>
        <v>0</v>
      </c>
      <c r="G28" s="413" t="n">
        <f aca="false">+OCCMarkets!AH28</f>
        <v>-182</v>
      </c>
      <c r="H28" s="413" t="n">
        <f aca="false">+OCCMarkets!AI28</f>
        <v>1078</v>
      </c>
      <c r="I28" s="414" t="n">
        <f aca="false">+OCCMarkets!AJ28</f>
        <v>9505</v>
      </c>
      <c r="J28" s="414" t="n">
        <f aca="false">+OCCMarkets!AK28</f>
        <v>1477</v>
      </c>
      <c r="K28" s="414" t="n">
        <f aca="false">+OCCMarkets!AL28</f>
        <v>987</v>
      </c>
      <c r="L28" s="414" t="n">
        <f aca="false">+OCCMarkets!AM28</f>
        <v>0</v>
      </c>
      <c r="M28" s="414" t="n">
        <f aca="false">+OCCMarkets!AN28</f>
        <v>2464</v>
      </c>
      <c r="N28" s="414" t="n">
        <f aca="false">+OCCMarkets!AO28</f>
        <v>-7041</v>
      </c>
      <c r="O28" s="414" t="n">
        <f aca="false">+OCCMarkets!AP28</f>
        <v>80076</v>
      </c>
      <c r="P28" s="415" t="n">
        <f aca="false">+OCCMarkets!AQ28</f>
        <v>0</v>
      </c>
      <c r="Q28" s="415" t="n">
        <f aca="false">+OCCMarkets!AR28</f>
        <v>0</v>
      </c>
      <c r="R28" s="415" t="n">
        <f aca="false">+OCCMarkets!AS28</f>
        <v>0</v>
      </c>
      <c r="S28" s="415" t="n">
        <f aca="false">+OCCMarkets!AT28</f>
        <v>0</v>
      </c>
      <c r="T28" s="415" t="n">
        <f aca="false">+OCCMarkets!AU28</f>
        <v>0</v>
      </c>
      <c r="U28" s="415" t="n">
        <f aca="false">+OCCMarkets!AV28</f>
        <v>0</v>
      </c>
      <c r="V28" s="415" t="n">
        <f aca="false">+OCCMarkets!AW28</f>
        <v>0</v>
      </c>
      <c r="W28" s="416" t="n">
        <f aca="false">+OCCMarkets!AX28</f>
        <v>210</v>
      </c>
      <c r="X28" s="416" t="n">
        <f aca="false">+OCCMarkets!AY28</f>
        <v>0</v>
      </c>
      <c r="Y28" s="416" t="n">
        <f aca="false">+OCCMarkets!AZ28</f>
        <v>0</v>
      </c>
      <c r="Z28" s="416" t="n">
        <f aca="false">+OCCMarkets!BA28</f>
        <v>0</v>
      </c>
      <c r="AA28" s="416" t="n">
        <f aca="false">+OCCMarkets!BB28</f>
        <v>0</v>
      </c>
      <c r="AB28" s="416" t="n">
        <f aca="false">+OCCMarkets!BC28</f>
        <v>-210</v>
      </c>
      <c r="AC28" s="416" t="n">
        <f aca="false">+OCCMarkets!BD28</f>
        <v>1425</v>
      </c>
      <c r="AD28" s="417" t="n">
        <f aca="false">+OCCMarkets!BE28</f>
        <v>317</v>
      </c>
      <c r="AE28" s="417" t="n">
        <f aca="false">+OCCMarkets!BF28</f>
        <v>0</v>
      </c>
      <c r="AF28" s="417" t="n">
        <f aca="false">+OCCMarkets!BG28</f>
        <v>0</v>
      </c>
      <c r="AG28" s="417" t="n">
        <f aca="false">+OCCMarkets!BH28</f>
        <v>0</v>
      </c>
      <c r="AH28" s="417" t="n">
        <f aca="false">+OCCMarkets!BI28</f>
        <v>0</v>
      </c>
      <c r="AI28" s="417" t="n">
        <f aca="false">+OCCMarkets!BJ28</f>
        <v>-317</v>
      </c>
      <c r="AJ28" s="417" t="n">
        <f aca="false">+OCCMarkets!BK28</f>
        <v>915</v>
      </c>
      <c r="AL28" s="399" t="n">
        <f aca="false">+B28+I28+P28+W28+AD28</f>
        <v>10214</v>
      </c>
      <c r="AM28" s="399" t="n">
        <f aca="false">+F28+M28+T28+AA28+AH28</f>
        <v>2464</v>
      </c>
      <c r="AN28" s="399" t="n">
        <f aca="false">+AM28-AL28</f>
        <v>-7750</v>
      </c>
      <c r="AO28" s="399" t="n">
        <f aca="false">+H28+O28+V28+AC28+AJ28</f>
        <v>83494</v>
      </c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  <c r="BR28" s="409"/>
      <c r="BS28" s="409"/>
      <c r="BT28" s="409"/>
      <c r="BU28" s="409"/>
      <c r="BV28" s="409"/>
      <c r="BW28" s="409"/>
      <c r="BX28" s="409"/>
      <c r="BY28" s="409"/>
      <c r="BZ28" s="409"/>
      <c r="CA28" s="409"/>
      <c r="CB28" s="409"/>
      <c r="CC28" s="409"/>
      <c r="CD28" s="409"/>
      <c r="CE28" s="409"/>
      <c r="CF28" s="409"/>
      <c r="CG28" s="409"/>
      <c r="CH28" s="409"/>
      <c r="CI28" s="409"/>
      <c r="CJ28" s="409"/>
      <c r="CK28" s="409"/>
      <c r="CL28" s="409"/>
      <c r="CM28" s="409"/>
      <c r="CN28" s="409"/>
      <c r="CO28" s="409"/>
      <c r="CP28" s="409"/>
      <c r="CQ28" s="409"/>
      <c r="CR28" s="409"/>
      <c r="CS28" s="409"/>
      <c r="CT28" s="409"/>
      <c r="CU28" s="409"/>
      <c r="CV28" s="409"/>
      <c r="CW28" s="409"/>
      <c r="CX28" s="409"/>
      <c r="CY28" s="409"/>
      <c r="CZ28" s="409"/>
      <c r="DA28" s="409"/>
      <c r="DB28" s="409"/>
      <c r="DC28" s="409"/>
      <c r="DD28" s="409"/>
    </row>
    <row r="29" customFormat="false" ht="12.75" hidden="false" customHeight="false" outlineLevel="0" collapsed="false">
      <c r="A29" s="346" t="n">
        <f aca="false">+BaseloadMarkets!A29</f>
        <v>36701</v>
      </c>
      <c r="B29" s="413" t="n">
        <f aca="false">+OCCMarkets!AC29</f>
        <v>177</v>
      </c>
      <c r="C29" s="413" t="n">
        <f aca="false">+OCCMarkets!AD29</f>
        <v>0</v>
      </c>
      <c r="D29" s="413" t="n">
        <f aca="false">+OCCMarkets!AE29</f>
        <v>0</v>
      </c>
      <c r="E29" s="413" t="n">
        <f aca="false">+OCCMarkets!AF29</f>
        <v>0</v>
      </c>
      <c r="F29" s="413" t="n">
        <f aca="false">+OCCMarkets!AG29</f>
        <v>0</v>
      </c>
      <c r="G29" s="413" t="n">
        <f aca="false">+OCCMarkets!AH29</f>
        <v>-177</v>
      </c>
      <c r="H29" s="413" t="n">
        <f aca="false">+OCCMarkets!AI29</f>
        <v>901</v>
      </c>
      <c r="I29" s="414" t="n">
        <f aca="false">+OCCMarkets!AJ29</f>
        <v>9333</v>
      </c>
      <c r="J29" s="414" t="n">
        <f aca="false">+OCCMarkets!AK29</f>
        <v>0</v>
      </c>
      <c r="K29" s="414" t="n">
        <f aca="false">+OCCMarkets!AL29</f>
        <v>987</v>
      </c>
      <c r="L29" s="414" t="n">
        <f aca="false">+OCCMarkets!AM29</f>
        <v>0</v>
      </c>
      <c r="M29" s="414" t="n">
        <f aca="false">+OCCMarkets!AN29</f>
        <v>987</v>
      </c>
      <c r="N29" s="414" t="n">
        <f aca="false">+OCCMarkets!AO29</f>
        <v>-8346</v>
      </c>
      <c r="O29" s="414" t="n">
        <f aca="false">+OCCMarkets!AP29</f>
        <v>71730</v>
      </c>
      <c r="P29" s="415" t="n">
        <f aca="false">+OCCMarkets!AQ29</f>
        <v>0</v>
      </c>
      <c r="Q29" s="415" t="n">
        <f aca="false">+OCCMarkets!AR29</f>
        <v>0</v>
      </c>
      <c r="R29" s="415" t="n">
        <f aca="false">+OCCMarkets!AS29</f>
        <v>0</v>
      </c>
      <c r="S29" s="415" t="n">
        <f aca="false">+OCCMarkets!AT29</f>
        <v>0</v>
      </c>
      <c r="T29" s="415" t="n">
        <f aca="false">+OCCMarkets!AU29</f>
        <v>0</v>
      </c>
      <c r="U29" s="415" t="n">
        <f aca="false">+OCCMarkets!AV29</f>
        <v>0</v>
      </c>
      <c r="V29" s="415" t="n">
        <f aca="false">+OCCMarkets!AW29</f>
        <v>0</v>
      </c>
      <c r="W29" s="416" t="n">
        <f aca="false">+OCCMarkets!AX29</f>
        <v>27</v>
      </c>
      <c r="X29" s="416" t="n">
        <f aca="false">+OCCMarkets!AY29</f>
        <v>0</v>
      </c>
      <c r="Y29" s="416" t="n">
        <f aca="false">+OCCMarkets!AZ29</f>
        <v>0</v>
      </c>
      <c r="Z29" s="416" t="n">
        <f aca="false">+OCCMarkets!BA29</f>
        <v>0</v>
      </c>
      <c r="AA29" s="416" t="n">
        <f aca="false">+OCCMarkets!BB29</f>
        <v>0</v>
      </c>
      <c r="AB29" s="416" t="n">
        <f aca="false">+OCCMarkets!BC29</f>
        <v>-27</v>
      </c>
      <c r="AC29" s="416" t="n">
        <f aca="false">+OCCMarkets!BD29</f>
        <v>1398</v>
      </c>
      <c r="AD29" s="417" t="n">
        <f aca="false">+OCCMarkets!BE29</f>
        <v>28</v>
      </c>
      <c r="AE29" s="417" t="n">
        <f aca="false">+OCCMarkets!BF29</f>
        <v>0</v>
      </c>
      <c r="AF29" s="417" t="n">
        <f aca="false">+OCCMarkets!BG29</f>
        <v>0</v>
      </c>
      <c r="AG29" s="417" t="n">
        <f aca="false">+OCCMarkets!BH29</f>
        <v>0</v>
      </c>
      <c r="AH29" s="417" t="n">
        <f aca="false">+OCCMarkets!BI29</f>
        <v>0</v>
      </c>
      <c r="AI29" s="417" t="n">
        <f aca="false">+OCCMarkets!BJ29</f>
        <v>-28</v>
      </c>
      <c r="AJ29" s="417" t="n">
        <f aca="false">+OCCMarkets!BK29</f>
        <v>887</v>
      </c>
      <c r="AL29" s="399" t="n">
        <f aca="false">+B29+I29+P29+W29+AD29</f>
        <v>9565</v>
      </c>
      <c r="AM29" s="399" t="n">
        <f aca="false">+F29+M29+T29+AA29+AH29</f>
        <v>987</v>
      </c>
      <c r="AN29" s="399" t="n">
        <f aca="false">+AM29-AL29</f>
        <v>-8578</v>
      </c>
      <c r="AO29" s="399" t="n">
        <f aca="false">+H29+O29+V29+AC29+AJ29</f>
        <v>74916</v>
      </c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  <c r="BR29" s="409"/>
      <c r="BS29" s="409"/>
      <c r="BT29" s="409"/>
      <c r="BU29" s="409"/>
      <c r="BV29" s="409"/>
      <c r="BW29" s="409"/>
      <c r="BX29" s="409"/>
      <c r="BY29" s="409"/>
      <c r="BZ29" s="409"/>
      <c r="CA29" s="409"/>
      <c r="CB29" s="409"/>
      <c r="CC29" s="409"/>
      <c r="CD29" s="409"/>
      <c r="CE29" s="409"/>
      <c r="CF29" s="409"/>
      <c r="CG29" s="409"/>
      <c r="CH29" s="409"/>
      <c r="CI29" s="409"/>
      <c r="CJ29" s="409"/>
      <c r="CK29" s="409"/>
      <c r="CL29" s="409"/>
      <c r="CM29" s="409"/>
      <c r="CN29" s="409"/>
      <c r="CO29" s="409"/>
      <c r="CP29" s="409"/>
      <c r="CQ29" s="409"/>
      <c r="CR29" s="409"/>
      <c r="CS29" s="409"/>
      <c r="CT29" s="409"/>
      <c r="CU29" s="409"/>
      <c r="CV29" s="409"/>
      <c r="CW29" s="409"/>
      <c r="CX29" s="409"/>
      <c r="CY29" s="409"/>
      <c r="CZ29" s="409"/>
      <c r="DA29" s="409"/>
      <c r="DB29" s="409"/>
      <c r="DC29" s="409"/>
      <c r="DD29" s="409"/>
    </row>
    <row r="30" customFormat="false" ht="12.75" hidden="false" customHeight="false" outlineLevel="0" collapsed="false">
      <c r="A30" s="346" t="n">
        <f aca="false">+BaseloadMarkets!A30</f>
        <v>36702</v>
      </c>
      <c r="B30" s="413" t="n">
        <f aca="false">+OCCMarkets!AC30</f>
        <v>59</v>
      </c>
      <c r="C30" s="413" t="n">
        <f aca="false">+OCCMarkets!AD30</f>
        <v>0</v>
      </c>
      <c r="D30" s="413" t="n">
        <f aca="false">+OCCMarkets!AE30</f>
        <v>0</v>
      </c>
      <c r="E30" s="413" t="n">
        <f aca="false">+OCCMarkets!AF30</f>
        <v>0</v>
      </c>
      <c r="F30" s="413" t="n">
        <f aca="false">+OCCMarkets!AG30</f>
        <v>0</v>
      </c>
      <c r="G30" s="413" t="n">
        <f aca="false">+OCCMarkets!AH30</f>
        <v>-59</v>
      </c>
      <c r="H30" s="413" t="n">
        <f aca="false">+OCCMarkets!AI30</f>
        <v>842</v>
      </c>
      <c r="I30" s="414" t="n">
        <f aca="false">+OCCMarkets!AJ30</f>
        <v>7147</v>
      </c>
      <c r="J30" s="414" t="n">
        <f aca="false">+OCCMarkets!AK30</f>
        <v>0</v>
      </c>
      <c r="K30" s="414" t="n">
        <f aca="false">+OCCMarkets!AL30</f>
        <v>987</v>
      </c>
      <c r="L30" s="414" t="n">
        <f aca="false">+OCCMarkets!AM30</f>
        <v>0</v>
      </c>
      <c r="M30" s="414" t="n">
        <f aca="false">+OCCMarkets!AN30</f>
        <v>987</v>
      </c>
      <c r="N30" s="414" t="n">
        <f aca="false">+OCCMarkets!AO30</f>
        <v>-6160</v>
      </c>
      <c r="O30" s="414" t="n">
        <f aca="false">+OCCMarkets!AP30</f>
        <v>65570</v>
      </c>
      <c r="P30" s="415" t="n">
        <f aca="false">+OCCMarkets!AQ30</f>
        <v>0</v>
      </c>
      <c r="Q30" s="415" t="n">
        <f aca="false">+OCCMarkets!AR30</f>
        <v>0</v>
      </c>
      <c r="R30" s="415" t="n">
        <f aca="false">+OCCMarkets!AS30</f>
        <v>0</v>
      </c>
      <c r="S30" s="415" t="n">
        <f aca="false">+OCCMarkets!AT30</f>
        <v>0</v>
      </c>
      <c r="T30" s="415" t="n">
        <f aca="false">+OCCMarkets!AU30</f>
        <v>0</v>
      </c>
      <c r="U30" s="415" t="n">
        <f aca="false">+OCCMarkets!AV30</f>
        <v>0</v>
      </c>
      <c r="V30" s="415" t="n">
        <f aca="false">+OCCMarkets!AW30</f>
        <v>0</v>
      </c>
      <c r="W30" s="416" t="n">
        <f aca="false">+OCCMarkets!AX30</f>
        <v>35</v>
      </c>
      <c r="X30" s="416" t="n">
        <f aca="false">+OCCMarkets!AY30</f>
        <v>0</v>
      </c>
      <c r="Y30" s="416" t="n">
        <f aca="false">+OCCMarkets!AZ30</f>
        <v>0</v>
      </c>
      <c r="Z30" s="416" t="n">
        <f aca="false">+OCCMarkets!BA30</f>
        <v>0</v>
      </c>
      <c r="AA30" s="416" t="n">
        <f aca="false">+OCCMarkets!BB30</f>
        <v>0</v>
      </c>
      <c r="AB30" s="416" t="n">
        <f aca="false">+OCCMarkets!BC30</f>
        <v>-35</v>
      </c>
      <c r="AC30" s="416" t="n">
        <f aca="false">+OCCMarkets!BD30</f>
        <v>1363</v>
      </c>
      <c r="AD30" s="417" t="n">
        <f aca="false">+OCCMarkets!BE30</f>
        <v>6</v>
      </c>
      <c r="AE30" s="417" t="n">
        <f aca="false">+OCCMarkets!BF30</f>
        <v>0</v>
      </c>
      <c r="AF30" s="417" t="n">
        <f aca="false">+OCCMarkets!BG30</f>
        <v>0</v>
      </c>
      <c r="AG30" s="417" t="n">
        <f aca="false">+OCCMarkets!BH30</f>
        <v>0</v>
      </c>
      <c r="AH30" s="417" t="n">
        <f aca="false">+OCCMarkets!BI30</f>
        <v>0</v>
      </c>
      <c r="AI30" s="417" t="n">
        <f aca="false">+OCCMarkets!BJ30</f>
        <v>-6</v>
      </c>
      <c r="AJ30" s="417" t="n">
        <f aca="false">+OCCMarkets!BK30</f>
        <v>881</v>
      </c>
      <c r="AL30" s="399" t="n">
        <f aca="false">+B30+I30+P30+W30+AD30</f>
        <v>7247</v>
      </c>
      <c r="AM30" s="399" t="n">
        <f aca="false">+F30+M30+T30+AA30+AH30</f>
        <v>987</v>
      </c>
      <c r="AN30" s="399" t="n">
        <f aca="false">+AM30-AL30</f>
        <v>-6260</v>
      </c>
      <c r="AO30" s="399" t="n">
        <f aca="false">+H30+O30+V30+AC30+AJ30</f>
        <v>68656</v>
      </c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  <c r="BR30" s="409"/>
      <c r="BS30" s="409"/>
      <c r="BT30" s="409"/>
      <c r="BU30" s="409"/>
      <c r="BV30" s="409"/>
      <c r="BW30" s="409"/>
      <c r="BX30" s="409"/>
      <c r="BY30" s="409"/>
      <c r="BZ30" s="409"/>
      <c r="CA30" s="409"/>
      <c r="CB30" s="409"/>
      <c r="CC30" s="409"/>
      <c r="CD30" s="409"/>
      <c r="CE30" s="409"/>
      <c r="CF30" s="409"/>
      <c r="CG30" s="409"/>
      <c r="CH30" s="409"/>
      <c r="CI30" s="409"/>
      <c r="CJ30" s="409"/>
      <c r="CK30" s="409"/>
      <c r="CL30" s="409"/>
      <c r="CM30" s="409"/>
      <c r="CN30" s="409"/>
      <c r="CO30" s="409"/>
      <c r="CP30" s="409"/>
      <c r="CQ30" s="409"/>
      <c r="CR30" s="409"/>
      <c r="CS30" s="409"/>
      <c r="CT30" s="409"/>
      <c r="CU30" s="409"/>
      <c r="CV30" s="409"/>
      <c r="CW30" s="409"/>
      <c r="CX30" s="409"/>
      <c r="CY30" s="409"/>
      <c r="CZ30" s="409"/>
      <c r="DA30" s="409"/>
      <c r="DB30" s="409"/>
      <c r="DC30" s="409"/>
      <c r="DD30" s="409"/>
    </row>
    <row r="31" customFormat="false" ht="12.75" hidden="false" customHeight="false" outlineLevel="0" collapsed="false">
      <c r="A31" s="346" t="n">
        <f aca="false">+BaseloadMarkets!A31</f>
        <v>36703</v>
      </c>
      <c r="B31" s="413" t="n">
        <f aca="false">+OCCMarkets!AC31</f>
        <v>155</v>
      </c>
      <c r="C31" s="413" t="n">
        <f aca="false">+OCCMarkets!AD31</f>
        <v>0</v>
      </c>
      <c r="D31" s="413" t="n">
        <f aca="false">+OCCMarkets!AE31</f>
        <v>0</v>
      </c>
      <c r="E31" s="413" t="n">
        <f aca="false">+OCCMarkets!AF31</f>
        <v>0</v>
      </c>
      <c r="F31" s="413" t="n">
        <f aca="false">+OCCMarkets!AG31</f>
        <v>0</v>
      </c>
      <c r="G31" s="413" t="n">
        <f aca="false">+OCCMarkets!AH31</f>
        <v>-155</v>
      </c>
      <c r="H31" s="413" t="n">
        <f aca="false">+OCCMarkets!AI31</f>
        <v>687</v>
      </c>
      <c r="I31" s="414" t="n">
        <f aca="false">+OCCMarkets!AJ31</f>
        <v>9489</v>
      </c>
      <c r="J31" s="414" t="n">
        <f aca="false">+OCCMarkets!AK31</f>
        <v>0</v>
      </c>
      <c r="K31" s="414" t="n">
        <f aca="false">+OCCMarkets!AL31</f>
        <v>987</v>
      </c>
      <c r="L31" s="414" t="n">
        <f aca="false">+OCCMarkets!AM31</f>
        <v>0</v>
      </c>
      <c r="M31" s="414" t="n">
        <f aca="false">+OCCMarkets!AN31</f>
        <v>987</v>
      </c>
      <c r="N31" s="414" t="n">
        <f aca="false">+OCCMarkets!AO31</f>
        <v>-8502</v>
      </c>
      <c r="O31" s="414" t="n">
        <f aca="false">+OCCMarkets!AP31</f>
        <v>57068</v>
      </c>
      <c r="P31" s="415" t="n">
        <f aca="false">+OCCMarkets!AQ31</f>
        <v>0</v>
      </c>
      <c r="Q31" s="415" t="n">
        <f aca="false">+OCCMarkets!AR31</f>
        <v>0</v>
      </c>
      <c r="R31" s="415" t="n">
        <f aca="false">+OCCMarkets!AS31</f>
        <v>0</v>
      </c>
      <c r="S31" s="415" t="n">
        <f aca="false">+OCCMarkets!AT31</f>
        <v>0</v>
      </c>
      <c r="T31" s="415" t="n">
        <f aca="false">+OCCMarkets!AU31</f>
        <v>0</v>
      </c>
      <c r="U31" s="415" t="n">
        <f aca="false">+OCCMarkets!AV31</f>
        <v>0</v>
      </c>
      <c r="V31" s="415" t="n">
        <f aca="false">+OCCMarkets!AW31</f>
        <v>0</v>
      </c>
      <c r="W31" s="416" t="n">
        <f aca="false">+OCCMarkets!AX31</f>
        <v>200</v>
      </c>
      <c r="X31" s="416" t="n">
        <f aca="false">+OCCMarkets!AY31</f>
        <v>0</v>
      </c>
      <c r="Y31" s="416" t="n">
        <f aca="false">+OCCMarkets!AZ31</f>
        <v>0</v>
      </c>
      <c r="Z31" s="416" t="n">
        <f aca="false">+OCCMarkets!BA31</f>
        <v>0</v>
      </c>
      <c r="AA31" s="416" t="n">
        <f aca="false">+OCCMarkets!BB31</f>
        <v>0</v>
      </c>
      <c r="AB31" s="416" t="n">
        <f aca="false">+OCCMarkets!BC31</f>
        <v>-200</v>
      </c>
      <c r="AC31" s="416" t="n">
        <f aca="false">+OCCMarkets!BD31</f>
        <v>1163</v>
      </c>
      <c r="AD31" s="417" t="n">
        <f aca="false">+OCCMarkets!BE31</f>
        <v>241</v>
      </c>
      <c r="AE31" s="417" t="n">
        <f aca="false">+OCCMarkets!BF31</f>
        <v>0</v>
      </c>
      <c r="AF31" s="417" t="n">
        <f aca="false">+OCCMarkets!BG31</f>
        <v>0</v>
      </c>
      <c r="AG31" s="417" t="n">
        <f aca="false">+OCCMarkets!BH31</f>
        <v>0</v>
      </c>
      <c r="AH31" s="417" t="n">
        <f aca="false">+OCCMarkets!BI31</f>
        <v>0</v>
      </c>
      <c r="AI31" s="417" t="n">
        <f aca="false">+OCCMarkets!BJ31</f>
        <v>-241</v>
      </c>
      <c r="AJ31" s="417" t="n">
        <f aca="false">+OCCMarkets!BK31</f>
        <v>640</v>
      </c>
      <c r="AL31" s="399" t="n">
        <f aca="false">+B31+I31+P31+W31+AD31</f>
        <v>10085</v>
      </c>
      <c r="AM31" s="399" t="n">
        <f aca="false">+F31+M31+T31+AA31+AH31</f>
        <v>987</v>
      </c>
      <c r="AN31" s="399" t="n">
        <f aca="false">+AM31-AL31</f>
        <v>-9098</v>
      </c>
      <c r="AO31" s="399" t="n">
        <f aca="false">+H31+O31+V31+AC31+AJ31</f>
        <v>59558</v>
      </c>
      <c r="BB31" s="409"/>
      <c r="BC31" s="409"/>
      <c r="BD31" s="409"/>
      <c r="BE31" s="409"/>
      <c r="BF31" s="409"/>
      <c r="BG31" s="409"/>
      <c r="BH31" s="409"/>
      <c r="BI31" s="409"/>
      <c r="BJ31" s="409"/>
      <c r="BK31" s="409"/>
      <c r="BL31" s="409"/>
      <c r="BM31" s="409"/>
      <c r="BN31" s="409"/>
      <c r="BO31" s="409"/>
      <c r="BP31" s="409"/>
      <c r="BQ31" s="409"/>
      <c r="BR31" s="409"/>
      <c r="BS31" s="409"/>
      <c r="BT31" s="409"/>
      <c r="BU31" s="409"/>
      <c r="BV31" s="409"/>
      <c r="BW31" s="409"/>
      <c r="BX31" s="409"/>
      <c r="BY31" s="409"/>
      <c r="BZ31" s="409"/>
      <c r="CA31" s="409"/>
      <c r="CB31" s="409"/>
      <c r="CC31" s="409"/>
      <c r="CD31" s="409"/>
      <c r="CE31" s="409"/>
      <c r="CF31" s="409"/>
      <c r="CG31" s="409"/>
      <c r="CH31" s="409"/>
      <c r="CI31" s="409"/>
      <c r="CJ31" s="409"/>
      <c r="CK31" s="409"/>
      <c r="CL31" s="409"/>
      <c r="CM31" s="409"/>
      <c r="CN31" s="409"/>
      <c r="CO31" s="409"/>
      <c r="CP31" s="409"/>
      <c r="CQ31" s="409"/>
      <c r="CR31" s="409"/>
      <c r="CS31" s="409"/>
      <c r="CT31" s="409"/>
      <c r="CU31" s="409"/>
      <c r="CV31" s="409"/>
      <c r="CW31" s="409"/>
      <c r="CX31" s="409"/>
      <c r="CY31" s="409"/>
      <c r="CZ31" s="409"/>
      <c r="DA31" s="409"/>
      <c r="DB31" s="409"/>
      <c r="DC31" s="409"/>
      <c r="DD31" s="409"/>
    </row>
    <row r="32" customFormat="false" ht="12.75" hidden="false" customHeight="false" outlineLevel="0" collapsed="false">
      <c r="A32" s="346" t="n">
        <f aca="false">+BaseloadMarkets!A32</f>
        <v>36704</v>
      </c>
      <c r="B32" s="413" t="n">
        <f aca="false">+OCCMarkets!AC32</f>
        <v>149</v>
      </c>
      <c r="C32" s="413" t="n">
        <f aca="false">+OCCMarkets!AD32</f>
        <v>0</v>
      </c>
      <c r="D32" s="413" t="n">
        <f aca="false">+OCCMarkets!AE32</f>
        <v>0</v>
      </c>
      <c r="E32" s="413" t="n">
        <f aca="false">+OCCMarkets!AF32</f>
        <v>0</v>
      </c>
      <c r="F32" s="413" t="n">
        <f aca="false">+OCCMarkets!AG32</f>
        <v>0</v>
      </c>
      <c r="G32" s="413" t="n">
        <f aca="false">+OCCMarkets!AH32</f>
        <v>-149</v>
      </c>
      <c r="H32" s="413" t="n">
        <f aca="false">+OCCMarkets!AI32</f>
        <v>538</v>
      </c>
      <c r="I32" s="414" t="n">
        <f aca="false">+OCCMarkets!AJ32</f>
        <v>9954</v>
      </c>
      <c r="J32" s="414" t="n">
        <f aca="false">+OCCMarkets!AK32</f>
        <v>2389</v>
      </c>
      <c r="K32" s="414" t="n">
        <f aca="false">+OCCMarkets!AL32</f>
        <v>987</v>
      </c>
      <c r="L32" s="414" t="n">
        <f aca="false">+OCCMarkets!AM32</f>
        <v>0</v>
      </c>
      <c r="M32" s="414" t="n">
        <f aca="false">+OCCMarkets!AN32</f>
        <v>3376</v>
      </c>
      <c r="N32" s="414" t="n">
        <f aca="false">+OCCMarkets!AO32</f>
        <v>-6578</v>
      </c>
      <c r="O32" s="414" t="n">
        <f aca="false">+OCCMarkets!AP32</f>
        <v>50490</v>
      </c>
      <c r="P32" s="415" t="n">
        <f aca="false">+OCCMarkets!AQ32</f>
        <v>0</v>
      </c>
      <c r="Q32" s="415" t="n">
        <f aca="false">+OCCMarkets!AR32</f>
        <v>0</v>
      </c>
      <c r="R32" s="415" t="n">
        <f aca="false">+OCCMarkets!AS32</f>
        <v>0</v>
      </c>
      <c r="S32" s="415" t="n">
        <f aca="false">+OCCMarkets!AT32</f>
        <v>0</v>
      </c>
      <c r="T32" s="415" t="n">
        <f aca="false">+OCCMarkets!AU32</f>
        <v>0</v>
      </c>
      <c r="U32" s="415" t="n">
        <f aca="false">+OCCMarkets!AV32</f>
        <v>0</v>
      </c>
      <c r="V32" s="415" t="n">
        <f aca="false">+OCCMarkets!AW32</f>
        <v>0</v>
      </c>
      <c r="W32" s="416" t="n">
        <f aca="false">+OCCMarkets!AX32</f>
        <v>198</v>
      </c>
      <c r="X32" s="416" t="n">
        <f aca="false">+OCCMarkets!AY32</f>
        <v>0</v>
      </c>
      <c r="Y32" s="416" t="n">
        <f aca="false">+OCCMarkets!AZ32</f>
        <v>0</v>
      </c>
      <c r="Z32" s="416" t="n">
        <f aca="false">+OCCMarkets!BA32</f>
        <v>0</v>
      </c>
      <c r="AA32" s="416" t="n">
        <f aca="false">+OCCMarkets!BB32</f>
        <v>0</v>
      </c>
      <c r="AB32" s="416" t="n">
        <f aca="false">+OCCMarkets!BC32</f>
        <v>-198</v>
      </c>
      <c r="AC32" s="416" t="n">
        <f aca="false">+OCCMarkets!BD32</f>
        <v>965</v>
      </c>
      <c r="AD32" s="417" t="n">
        <f aca="false">+OCCMarkets!BE32</f>
        <v>307</v>
      </c>
      <c r="AE32" s="417" t="n">
        <f aca="false">+OCCMarkets!BF32</f>
        <v>0</v>
      </c>
      <c r="AF32" s="417" t="n">
        <f aca="false">+OCCMarkets!BG32</f>
        <v>0</v>
      </c>
      <c r="AG32" s="417" t="n">
        <f aca="false">+OCCMarkets!BH32</f>
        <v>0</v>
      </c>
      <c r="AH32" s="417" t="n">
        <f aca="false">+OCCMarkets!BI32</f>
        <v>0</v>
      </c>
      <c r="AI32" s="417" t="n">
        <f aca="false">+OCCMarkets!BJ32</f>
        <v>-307</v>
      </c>
      <c r="AJ32" s="417" t="n">
        <f aca="false">+OCCMarkets!BK32</f>
        <v>333</v>
      </c>
      <c r="AL32" s="399" t="n">
        <f aca="false">+B32+I32+P32+W32+AD32</f>
        <v>10608</v>
      </c>
      <c r="AM32" s="399" t="n">
        <f aca="false">+F32+M32+T32+AA32+AH32</f>
        <v>3376</v>
      </c>
      <c r="AN32" s="399" t="n">
        <f aca="false">+AM32-AL32</f>
        <v>-7232</v>
      </c>
      <c r="AO32" s="399" t="n">
        <f aca="false">+H32+O32+V32+AC32+AJ32</f>
        <v>52326</v>
      </c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  <c r="BR32" s="409"/>
      <c r="BS32" s="409"/>
      <c r="BT32" s="409"/>
      <c r="BU32" s="409"/>
      <c r="BV32" s="409"/>
      <c r="BW32" s="409"/>
      <c r="BX32" s="409"/>
      <c r="BY32" s="409"/>
      <c r="BZ32" s="409"/>
      <c r="CA32" s="409"/>
      <c r="CB32" s="409"/>
      <c r="CC32" s="409"/>
      <c r="CD32" s="409"/>
      <c r="CE32" s="409"/>
      <c r="CF32" s="409"/>
      <c r="CG32" s="409"/>
      <c r="CH32" s="409"/>
      <c r="CI32" s="409"/>
      <c r="CJ32" s="409"/>
      <c r="CK32" s="409"/>
      <c r="CL32" s="409"/>
      <c r="CM32" s="409"/>
      <c r="CN32" s="409"/>
      <c r="CO32" s="409"/>
      <c r="CP32" s="409"/>
      <c r="CQ32" s="409"/>
      <c r="CR32" s="409"/>
      <c r="CS32" s="409"/>
      <c r="CT32" s="409"/>
      <c r="CU32" s="409"/>
      <c r="CV32" s="409"/>
      <c r="CW32" s="409"/>
      <c r="CX32" s="409"/>
      <c r="CY32" s="409"/>
      <c r="CZ32" s="409"/>
      <c r="DA32" s="409"/>
      <c r="DB32" s="409"/>
      <c r="DC32" s="409"/>
      <c r="DD32" s="409"/>
    </row>
    <row r="33" customFormat="false" ht="12.75" hidden="false" customHeight="false" outlineLevel="0" collapsed="false">
      <c r="A33" s="346" t="n">
        <f aca="false">+BaseloadMarkets!A33</f>
        <v>36705</v>
      </c>
      <c r="B33" s="413" t="n">
        <f aca="false">+OCCMarkets!AC33</f>
        <v>173</v>
      </c>
      <c r="C33" s="413" t="n">
        <f aca="false">+OCCMarkets!AD33</f>
        <v>0</v>
      </c>
      <c r="D33" s="413" t="n">
        <f aca="false">+OCCMarkets!AE33</f>
        <v>0</v>
      </c>
      <c r="E33" s="413" t="n">
        <f aca="false">+OCCMarkets!AF33</f>
        <v>0</v>
      </c>
      <c r="F33" s="413" t="n">
        <f aca="false">+OCCMarkets!AG33</f>
        <v>0</v>
      </c>
      <c r="G33" s="413" t="n">
        <f aca="false">+OCCMarkets!AH33</f>
        <v>-173</v>
      </c>
      <c r="H33" s="413" t="n">
        <f aca="false">+OCCMarkets!AI33</f>
        <v>365</v>
      </c>
      <c r="I33" s="414" t="n">
        <f aca="false">+OCCMarkets!AJ33</f>
        <v>9576</v>
      </c>
      <c r="J33" s="414" t="n">
        <f aca="false">+OCCMarkets!AK33</f>
        <v>8319</v>
      </c>
      <c r="K33" s="414" t="n">
        <f aca="false">+OCCMarkets!AL33</f>
        <v>954</v>
      </c>
      <c r="L33" s="414" t="n">
        <f aca="false">+OCCMarkets!AM33</f>
        <v>16943</v>
      </c>
      <c r="M33" s="414" t="n">
        <f aca="false">+OCCMarkets!AN33</f>
        <v>26216</v>
      </c>
      <c r="N33" s="414" t="n">
        <f aca="false">+OCCMarkets!AO33</f>
        <v>16640</v>
      </c>
      <c r="O33" s="414" t="n">
        <f aca="false">+OCCMarkets!AP33</f>
        <v>67130</v>
      </c>
      <c r="P33" s="415" t="n">
        <f aca="false">+OCCMarkets!AQ33</f>
        <v>0</v>
      </c>
      <c r="Q33" s="415" t="n">
        <f aca="false">+OCCMarkets!AR33</f>
        <v>0</v>
      </c>
      <c r="R33" s="415" t="n">
        <f aca="false">+OCCMarkets!AS33</f>
        <v>0</v>
      </c>
      <c r="S33" s="415" t="n">
        <f aca="false">+OCCMarkets!AT33</f>
        <v>0</v>
      </c>
      <c r="T33" s="415" t="n">
        <f aca="false">+OCCMarkets!AU33</f>
        <v>0</v>
      </c>
      <c r="U33" s="415" t="n">
        <f aca="false">+OCCMarkets!AV33</f>
        <v>0</v>
      </c>
      <c r="V33" s="415" t="n">
        <f aca="false">+OCCMarkets!AW33</f>
        <v>0</v>
      </c>
      <c r="W33" s="416" t="n">
        <f aca="false">+OCCMarkets!AX33</f>
        <v>206</v>
      </c>
      <c r="X33" s="416" t="n">
        <f aca="false">+OCCMarkets!AY33</f>
        <v>0</v>
      </c>
      <c r="Y33" s="416" t="n">
        <f aca="false">+OCCMarkets!AZ33</f>
        <v>0</v>
      </c>
      <c r="Z33" s="416" t="n">
        <f aca="false">+OCCMarkets!BA33</f>
        <v>0</v>
      </c>
      <c r="AA33" s="416" t="n">
        <f aca="false">+OCCMarkets!BB33</f>
        <v>0</v>
      </c>
      <c r="AB33" s="416" t="n">
        <f aca="false">+OCCMarkets!BC33</f>
        <v>-206</v>
      </c>
      <c r="AC33" s="416" t="n">
        <f aca="false">+OCCMarkets!BD33</f>
        <v>759</v>
      </c>
      <c r="AD33" s="417" t="n">
        <f aca="false">+OCCMarkets!BE33</f>
        <v>277</v>
      </c>
      <c r="AE33" s="417" t="n">
        <f aca="false">+OCCMarkets!BF33</f>
        <v>0</v>
      </c>
      <c r="AF33" s="417" t="n">
        <f aca="false">+OCCMarkets!BG33</f>
        <v>0</v>
      </c>
      <c r="AG33" s="417" t="n">
        <f aca="false">+OCCMarkets!BH33</f>
        <v>0</v>
      </c>
      <c r="AH33" s="417" t="n">
        <f aca="false">+OCCMarkets!BI33</f>
        <v>0</v>
      </c>
      <c r="AI33" s="417" t="n">
        <f aca="false">+OCCMarkets!BJ33</f>
        <v>-277</v>
      </c>
      <c r="AJ33" s="417" t="n">
        <f aca="false">+OCCMarkets!BK33</f>
        <v>56</v>
      </c>
      <c r="AL33" s="399" t="n">
        <f aca="false">+B33+I33+P33+W33+AD33</f>
        <v>10232</v>
      </c>
      <c r="AM33" s="399" t="n">
        <f aca="false">+F33+M33+T33+AA33+AH33</f>
        <v>26216</v>
      </c>
      <c r="AN33" s="399" t="n">
        <f aca="false">+AM33-AL33</f>
        <v>15984</v>
      </c>
      <c r="AO33" s="399" t="n">
        <f aca="false">+H33+O33+V33+AC33+AJ33</f>
        <v>68310</v>
      </c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09"/>
      <c r="BT33" s="409"/>
      <c r="BU33" s="409"/>
      <c r="BV33" s="409"/>
      <c r="BW33" s="409"/>
      <c r="BX33" s="409"/>
      <c r="BY33" s="409"/>
      <c r="BZ33" s="409"/>
      <c r="CA33" s="409"/>
      <c r="CB33" s="409"/>
      <c r="CC33" s="409"/>
      <c r="CD33" s="409"/>
      <c r="CE33" s="409"/>
      <c r="CF33" s="409"/>
      <c r="CG33" s="409"/>
      <c r="CH33" s="409"/>
      <c r="CI33" s="409"/>
      <c r="CJ33" s="409"/>
      <c r="CK33" s="409"/>
      <c r="CL33" s="409"/>
      <c r="CM33" s="409"/>
      <c r="CN33" s="409"/>
      <c r="CO33" s="409"/>
      <c r="CP33" s="409"/>
      <c r="CQ33" s="409"/>
      <c r="CR33" s="409"/>
      <c r="CS33" s="409"/>
      <c r="CT33" s="409"/>
      <c r="CU33" s="409"/>
      <c r="CV33" s="409"/>
      <c r="CW33" s="409"/>
      <c r="CX33" s="409"/>
      <c r="CY33" s="409"/>
      <c r="CZ33" s="409"/>
      <c r="DA33" s="409"/>
      <c r="DB33" s="409"/>
      <c r="DC33" s="409"/>
      <c r="DD33" s="409"/>
    </row>
    <row r="34" customFormat="false" ht="12.75" hidden="false" customHeight="false" outlineLevel="0" collapsed="false">
      <c r="A34" s="346" t="n">
        <f aca="false">+BaseloadMarkets!A34</f>
        <v>36706</v>
      </c>
      <c r="B34" s="413" t="n">
        <f aca="false">+OCCMarkets!AC34</f>
        <v>147</v>
      </c>
      <c r="C34" s="413" t="n">
        <f aca="false">+OCCMarkets!AD34</f>
        <v>0</v>
      </c>
      <c r="D34" s="413" t="n">
        <f aca="false">+OCCMarkets!AE34</f>
        <v>0</v>
      </c>
      <c r="E34" s="413" t="n">
        <f aca="false">+OCCMarkets!AF34</f>
        <v>0</v>
      </c>
      <c r="F34" s="413" t="n">
        <f aca="false">+OCCMarkets!AG34</f>
        <v>0</v>
      </c>
      <c r="G34" s="413" t="n">
        <f aca="false">+OCCMarkets!AH34</f>
        <v>-147</v>
      </c>
      <c r="H34" s="413" t="n">
        <f aca="false">+OCCMarkets!AI34</f>
        <v>218</v>
      </c>
      <c r="I34" s="414" t="n">
        <f aca="false">+OCCMarkets!AJ34</f>
        <v>9468</v>
      </c>
      <c r="J34" s="414" t="n">
        <f aca="false">+OCCMarkets!AK34</f>
        <v>4294</v>
      </c>
      <c r="K34" s="414" t="n">
        <f aca="false">+OCCMarkets!AL34</f>
        <v>987</v>
      </c>
      <c r="L34" s="414" t="n">
        <f aca="false">+OCCMarkets!AM34</f>
        <v>0</v>
      </c>
      <c r="M34" s="414" t="n">
        <f aca="false">+OCCMarkets!AN34</f>
        <v>5281</v>
      </c>
      <c r="N34" s="414" t="n">
        <f aca="false">+OCCMarkets!AO34</f>
        <v>-4187</v>
      </c>
      <c r="O34" s="414" t="n">
        <f aca="false">+OCCMarkets!AP34</f>
        <v>62943</v>
      </c>
      <c r="P34" s="415" t="n">
        <f aca="false">+OCCMarkets!AQ34</f>
        <v>0</v>
      </c>
      <c r="Q34" s="415" t="n">
        <f aca="false">+OCCMarkets!AR34</f>
        <v>0</v>
      </c>
      <c r="R34" s="415" t="n">
        <f aca="false">+OCCMarkets!AS34</f>
        <v>0</v>
      </c>
      <c r="S34" s="415" t="n">
        <f aca="false">+OCCMarkets!AT34</f>
        <v>0</v>
      </c>
      <c r="T34" s="415" t="n">
        <f aca="false">+OCCMarkets!AU34</f>
        <v>0</v>
      </c>
      <c r="U34" s="415" t="n">
        <f aca="false">+OCCMarkets!AV34</f>
        <v>0</v>
      </c>
      <c r="V34" s="415" t="n">
        <f aca="false">+OCCMarkets!AW34</f>
        <v>0</v>
      </c>
      <c r="W34" s="416" t="n">
        <f aca="false">+OCCMarkets!AX34</f>
        <v>197</v>
      </c>
      <c r="X34" s="416" t="n">
        <f aca="false">+OCCMarkets!AY34</f>
        <v>0</v>
      </c>
      <c r="Y34" s="416" t="n">
        <f aca="false">+OCCMarkets!AZ34</f>
        <v>0</v>
      </c>
      <c r="Z34" s="416" t="n">
        <f aca="false">+OCCMarkets!BA34</f>
        <v>0</v>
      </c>
      <c r="AA34" s="416" t="n">
        <f aca="false">+OCCMarkets!BB34</f>
        <v>0</v>
      </c>
      <c r="AB34" s="416" t="n">
        <f aca="false">+OCCMarkets!BC34</f>
        <v>-197</v>
      </c>
      <c r="AC34" s="416" t="n">
        <f aca="false">+OCCMarkets!BD34</f>
        <v>562</v>
      </c>
      <c r="AD34" s="417" t="n">
        <f aca="false">+OCCMarkets!BE34</f>
        <v>305</v>
      </c>
      <c r="AE34" s="417" t="n">
        <f aca="false">+OCCMarkets!BF34</f>
        <v>0</v>
      </c>
      <c r="AF34" s="417" t="n">
        <f aca="false">+OCCMarkets!BG34</f>
        <v>0</v>
      </c>
      <c r="AG34" s="417" t="n">
        <f aca="false">+OCCMarkets!BH34</f>
        <v>0</v>
      </c>
      <c r="AH34" s="417" t="n">
        <f aca="false">+OCCMarkets!BI34</f>
        <v>0</v>
      </c>
      <c r="AI34" s="417" t="n">
        <f aca="false">+OCCMarkets!BJ34</f>
        <v>-305</v>
      </c>
      <c r="AJ34" s="417" t="n">
        <f aca="false">+OCCMarkets!BK34</f>
        <v>-249</v>
      </c>
      <c r="AL34" s="399" t="n">
        <f aca="false">+B34+I34+P34+W34+AD34</f>
        <v>10117</v>
      </c>
      <c r="AM34" s="399" t="n">
        <f aca="false">+F34+M34+T34+AA34+AH34</f>
        <v>5281</v>
      </c>
      <c r="AN34" s="399" t="n">
        <f aca="false">+AM34-AL34</f>
        <v>-4836</v>
      </c>
      <c r="AO34" s="399" t="n">
        <f aca="false">+H34+O34+V34+AC34+AJ34</f>
        <v>63474</v>
      </c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  <c r="BR34" s="409"/>
      <c r="BS34" s="409"/>
      <c r="BT34" s="409"/>
      <c r="BU34" s="409"/>
      <c r="BV34" s="409"/>
      <c r="BW34" s="409"/>
      <c r="BX34" s="409"/>
      <c r="BY34" s="409"/>
      <c r="BZ34" s="409"/>
      <c r="CA34" s="409"/>
      <c r="CB34" s="409"/>
      <c r="CC34" s="409"/>
      <c r="CD34" s="409"/>
      <c r="CE34" s="409"/>
      <c r="CF34" s="409"/>
      <c r="CG34" s="409"/>
      <c r="CH34" s="409"/>
      <c r="CI34" s="409"/>
      <c r="CJ34" s="409"/>
      <c r="CK34" s="409"/>
      <c r="CL34" s="409"/>
      <c r="CM34" s="409"/>
      <c r="CN34" s="409"/>
      <c r="CO34" s="409"/>
      <c r="CP34" s="409"/>
      <c r="CQ34" s="409"/>
      <c r="CR34" s="409"/>
      <c r="CS34" s="409"/>
      <c r="CT34" s="409"/>
      <c r="CU34" s="409"/>
      <c r="CV34" s="409"/>
      <c r="CW34" s="409"/>
      <c r="CX34" s="409"/>
      <c r="CY34" s="409"/>
      <c r="CZ34" s="409"/>
      <c r="DA34" s="409"/>
      <c r="DB34" s="409"/>
      <c r="DC34" s="409"/>
      <c r="DD34" s="409"/>
    </row>
    <row r="35" customFormat="false" ht="12.75" hidden="false" customHeight="false" outlineLevel="0" collapsed="false">
      <c r="A35" s="346" t="n">
        <f aca="false">+BaseloadMarkets!A35</f>
        <v>36707</v>
      </c>
      <c r="B35" s="413" t="n">
        <f aca="false">+OCCMarkets!AC35</f>
        <v>186</v>
      </c>
      <c r="C35" s="413" t="n">
        <f aca="false">+OCCMarkets!AD35</f>
        <v>0</v>
      </c>
      <c r="D35" s="413" t="n">
        <f aca="false">+OCCMarkets!AE35</f>
        <v>0</v>
      </c>
      <c r="E35" s="413" t="n">
        <f aca="false">+OCCMarkets!AF35</f>
        <v>0</v>
      </c>
      <c r="F35" s="413" t="n">
        <f aca="false">+OCCMarkets!AG35</f>
        <v>0</v>
      </c>
      <c r="G35" s="413" t="n">
        <f aca="false">+OCCMarkets!AH35</f>
        <v>-186</v>
      </c>
      <c r="H35" s="413" t="n">
        <f aca="false">+OCCMarkets!AI35</f>
        <v>32</v>
      </c>
      <c r="I35" s="414" t="n">
        <f aca="false">+OCCMarkets!AJ35</f>
        <v>9915</v>
      </c>
      <c r="J35" s="414" t="n">
        <f aca="false">+OCCMarkets!AK35</f>
        <v>17427</v>
      </c>
      <c r="K35" s="414" t="n">
        <f aca="false">+OCCMarkets!AL35</f>
        <v>988</v>
      </c>
      <c r="L35" s="414" t="n">
        <f aca="false">+OCCMarkets!AM35</f>
        <v>7024</v>
      </c>
      <c r="M35" s="414" t="n">
        <f aca="false">+OCCMarkets!AN35</f>
        <v>25439</v>
      </c>
      <c r="N35" s="414" t="n">
        <f aca="false">+OCCMarkets!AO35</f>
        <v>15524</v>
      </c>
      <c r="O35" s="414" t="n">
        <f aca="false">+OCCMarkets!AP35</f>
        <v>78467</v>
      </c>
      <c r="P35" s="415" t="n">
        <f aca="false">+OCCMarkets!AQ35</f>
        <v>0</v>
      </c>
      <c r="Q35" s="415" t="n">
        <f aca="false">+OCCMarkets!AR35</f>
        <v>0</v>
      </c>
      <c r="R35" s="415" t="n">
        <f aca="false">+OCCMarkets!AS35</f>
        <v>0</v>
      </c>
      <c r="S35" s="415" t="n">
        <f aca="false">+OCCMarkets!AT35</f>
        <v>0</v>
      </c>
      <c r="T35" s="415" t="n">
        <f aca="false">+OCCMarkets!AU35</f>
        <v>0</v>
      </c>
      <c r="U35" s="415" t="n">
        <f aca="false">+OCCMarkets!AV35</f>
        <v>0</v>
      </c>
      <c r="V35" s="415" t="n">
        <f aca="false">+OCCMarkets!AW35</f>
        <v>0</v>
      </c>
      <c r="W35" s="416" t="n">
        <f aca="false">+OCCMarkets!AX35</f>
        <v>195</v>
      </c>
      <c r="X35" s="416" t="n">
        <f aca="false">+OCCMarkets!AY35</f>
        <v>551</v>
      </c>
      <c r="Y35" s="416" t="n">
        <f aca="false">+OCCMarkets!AZ35</f>
        <v>0</v>
      </c>
      <c r="Z35" s="416" t="n">
        <f aca="false">+OCCMarkets!BA35</f>
        <v>0</v>
      </c>
      <c r="AA35" s="416" t="n">
        <f aca="false">+OCCMarkets!BB35</f>
        <v>551</v>
      </c>
      <c r="AB35" s="416" t="n">
        <f aca="false">+OCCMarkets!BC35</f>
        <v>356</v>
      </c>
      <c r="AC35" s="416" t="n">
        <f aca="false">+OCCMarkets!BD35</f>
        <v>918</v>
      </c>
      <c r="AD35" s="417" t="n">
        <f aca="false">+OCCMarkets!BE35</f>
        <v>286</v>
      </c>
      <c r="AE35" s="417" t="n">
        <f aca="false">+OCCMarkets!BF35</f>
        <v>551</v>
      </c>
      <c r="AF35" s="417" t="n">
        <f aca="false">+OCCMarkets!BG35</f>
        <v>0</v>
      </c>
      <c r="AG35" s="417" t="n">
        <f aca="false">+OCCMarkets!BH35</f>
        <v>0</v>
      </c>
      <c r="AH35" s="417" t="n">
        <f aca="false">+OCCMarkets!BI35</f>
        <v>551</v>
      </c>
      <c r="AI35" s="417" t="n">
        <f aca="false">+OCCMarkets!BJ35</f>
        <v>265</v>
      </c>
      <c r="AJ35" s="417" t="n">
        <f aca="false">+OCCMarkets!BK35</f>
        <v>16</v>
      </c>
      <c r="AL35" s="399" t="n">
        <f aca="false">+B35+I35+P35+W35+AD35</f>
        <v>10582</v>
      </c>
      <c r="AM35" s="399" t="n">
        <f aca="false">+F35+M35+T35+AA35+AH35</f>
        <v>26541</v>
      </c>
      <c r="AN35" s="399" t="n">
        <f aca="false">+AM35-AL35</f>
        <v>15959</v>
      </c>
      <c r="AO35" s="399" t="n">
        <f aca="false">+H35+O35+V35+AC35+AJ35</f>
        <v>79433</v>
      </c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  <c r="BR35" s="409"/>
      <c r="BS35" s="409"/>
      <c r="BT35" s="409"/>
      <c r="BU35" s="409"/>
      <c r="BV35" s="409"/>
      <c r="BW35" s="409"/>
      <c r="BX35" s="409"/>
      <c r="BY35" s="409"/>
      <c r="BZ35" s="409"/>
      <c r="CA35" s="409"/>
      <c r="CB35" s="409"/>
      <c r="CC35" s="409"/>
      <c r="CD35" s="409"/>
      <c r="CE35" s="409"/>
      <c r="CF35" s="409"/>
      <c r="CG35" s="409"/>
      <c r="CH35" s="409"/>
      <c r="CI35" s="409"/>
      <c r="CJ35" s="409"/>
      <c r="CK35" s="409"/>
      <c r="CL35" s="409"/>
      <c r="CM35" s="409"/>
      <c r="CN35" s="409"/>
      <c r="CO35" s="409"/>
      <c r="CP35" s="409"/>
      <c r="CQ35" s="409"/>
      <c r="CR35" s="409"/>
      <c r="CS35" s="409"/>
      <c r="CT35" s="409"/>
      <c r="CU35" s="409"/>
      <c r="CV35" s="409"/>
      <c r="CW35" s="409"/>
      <c r="CX35" s="409"/>
      <c r="CY35" s="409"/>
      <c r="CZ35" s="409"/>
      <c r="DA35" s="409"/>
      <c r="DB35" s="409"/>
      <c r="DC35" s="409"/>
      <c r="DD35" s="409"/>
    </row>
    <row r="36" customFormat="false" ht="12.75" hidden="false" customHeight="false" outlineLevel="0" collapsed="false">
      <c r="A36" s="346"/>
      <c r="B36" s="413"/>
      <c r="C36" s="413"/>
      <c r="D36" s="413"/>
      <c r="E36" s="413"/>
      <c r="F36" s="413"/>
      <c r="G36" s="413"/>
      <c r="H36" s="413"/>
      <c r="I36" s="414"/>
      <c r="J36" s="414"/>
      <c r="K36" s="414"/>
      <c r="L36" s="414"/>
      <c r="M36" s="414"/>
      <c r="N36" s="414"/>
      <c r="O36" s="414"/>
      <c r="P36" s="415"/>
      <c r="Q36" s="415"/>
      <c r="R36" s="415"/>
      <c r="S36" s="415"/>
      <c r="T36" s="415"/>
      <c r="U36" s="415"/>
      <c r="V36" s="415"/>
      <c r="W36" s="416"/>
      <c r="X36" s="416"/>
      <c r="Y36" s="416"/>
      <c r="Z36" s="416"/>
      <c r="AA36" s="416"/>
      <c r="AB36" s="416"/>
      <c r="AC36" s="416"/>
      <c r="AD36" s="417"/>
      <c r="AE36" s="417"/>
      <c r="AF36" s="417"/>
      <c r="AG36" s="417"/>
      <c r="AH36" s="417"/>
      <c r="AI36" s="417"/>
      <c r="AJ36" s="417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  <c r="BR36" s="409"/>
      <c r="BS36" s="409"/>
      <c r="BT36" s="409"/>
      <c r="BU36" s="409"/>
      <c r="BV36" s="409"/>
      <c r="BW36" s="409"/>
      <c r="BX36" s="409"/>
      <c r="BY36" s="409"/>
      <c r="BZ36" s="409"/>
      <c r="CA36" s="409"/>
      <c r="CB36" s="409"/>
      <c r="CC36" s="409"/>
      <c r="CD36" s="409"/>
      <c r="CE36" s="409"/>
      <c r="CF36" s="409"/>
      <c r="CG36" s="409"/>
      <c r="CH36" s="409"/>
      <c r="CI36" s="409"/>
      <c r="CJ36" s="409"/>
      <c r="CK36" s="409"/>
      <c r="CL36" s="409"/>
      <c r="CM36" s="409"/>
      <c r="CN36" s="409"/>
      <c r="CO36" s="409"/>
      <c r="CP36" s="409"/>
      <c r="CQ36" s="409"/>
      <c r="CR36" s="409"/>
      <c r="CS36" s="409"/>
      <c r="CT36" s="409"/>
      <c r="CU36" s="409"/>
      <c r="CV36" s="409"/>
      <c r="CW36" s="409"/>
      <c r="CX36" s="409"/>
      <c r="CY36" s="409"/>
      <c r="CZ36" s="409"/>
      <c r="DA36" s="409"/>
      <c r="DB36" s="409"/>
      <c r="DC36" s="409"/>
      <c r="DD36" s="409"/>
    </row>
    <row r="37" customFormat="false" ht="13.5" hidden="false" customHeight="false" outlineLevel="0" collapsed="false">
      <c r="B37" s="418"/>
      <c r="C37" s="418"/>
      <c r="D37" s="418"/>
      <c r="E37" s="418"/>
      <c r="F37" s="418"/>
      <c r="G37" s="418"/>
      <c r="H37" s="418"/>
      <c r="I37" s="419"/>
      <c r="J37" s="419"/>
      <c r="K37" s="419"/>
      <c r="L37" s="419"/>
      <c r="M37" s="419"/>
      <c r="N37" s="419"/>
      <c r="O37" s="419"/>
      <c r="P37" s="415" t="n">
        <f aca="false">+OCCMarkets!AQ37</f>
        <v>0</v>
      </c>
      <c r="Q37" s="415" t="n">
        <f aca="false">+OCCMarkets!AR37</f>
        <v>0</v>
      </c>
      <c r="R37" s="415" t="n">
        <f aca="false">+OCCMarkets!AS37</f>
        <v>0</v>
      </c>
      <c r="S37" s="415" t="n">
        <f aca="false">+OCCMarkets!AT37</f>
        <v>0</v>
      </c>
      <c r="T37" s="415" t="n">
        <f aca="false">+OCCMarkets!AU37</f>
        <v>0</v>
      </c>
      <c r="U37" s="415" t="n">
        <f aca="false">+OCCMarkets!AV37</f>
        <v>0</v>
      </c>
      <c r="V37" s="415" t="n">
        <f aca="false">+OCCMarkets!AW37</f>
        <v>0</v>
      </c>
      <c r="W37" s="420"/>
      <c r="X37" s="420"/>
      <c r="Y37" s="420"/>
      <c r="Z37" s="420"/>
      <c r="AA37" s="420"/>
      <c r="AB37" s="420"/>
      <c r="AC37" s="420"/>
      <c r="AD37" s="421"/>
      <c r="AE37" s="421"/>
      <c r="AF37" s="421"/>
      <c r="AG37" s="421"/>
      <c r="AH37" s="421"/>
      <c r="AI37" s="421"/>
      <c r="AJ37" s="421"/>
    </row>
    <row r="38" customFormat="false" ht="13.5" hidden="false" customHeight="false" outlineLevel="0" collapsed="false">
      <c r="B38" s="422" t="n">
        <f aca="false">SUM(B6:B36)</f>
        <v>4607</v>
      </c>
      <c r="C38" s="422" t="n">
        <f aca="false">SUM(C6:C36)</f>
        <v>4639</v>
      </c>
      <c r="D38" s="422" t="n">
        <f aca="false">SUM(D6:D36)</f>
        <v>0</v>
      </c>
      <c r="E38" s="422" t="n">
        <f aca="false">SUM(E6:E36)</f>
        <v>0</v>
      </c>
      <c r="F38" s="422" t="n">
        <f aca="false">SUM(F6:F36)</f>
        <v>4639</v>
      </c>
      <c r="G38" s="422" t="n">
        <f aca="false">SUM(G6:G36)</f>
        <v>32</v>
      </c>
      <c r="H38" s="418"/>
      <c r="I38" s="423" t="n">
        <f aca="false">SUM(I6:I36)</f>
        <v>273467</v>
      </c>
      <c r="J38" s="423" t="n">
        <f aca="false">SUM(J6:J36)</f>
        <v>144013</v>
      </c>
      <c r="K38" s="423" t="n">
        <f aca="false">SUM(K6:K36)</f>
        <v>41689</v>
      </c>
      <c r="L38" s="423" t="n">
        <f aca="false">SUM(L6:L36)</f>
        <v>166232</v>
      </c>
      <c r="M38" s="423" t="n">
        <f aca="false">SUM(M6:M36)</f>
        <v>351934</v>
      </c>
      <c r="N38" s="423" t="n">
        <f aca="false">SUM(N6:N36)</f>
        <v>78467</v>
      </c>
      <c r="O38" s="419"/>
      <c r="P38" s="424" t="n">
        <f aca="false">SUM(P6:P36)</f>
        <v>0</v>
      </c>
      <c r="Q38" s="424" t="n">
        <f aca="false">SUM(Q6:Q36)</f>
        <v>0</v>
      </c>
      <c r="R38" s="424" t="n">
        <f aca="false">SUM(R6:R36)</f>
        <v>0</v>
      </c>
      <c r="S38" s="424" t="n">
        <f aca="false">SUM(S6:S36)</f>
        <v>0</v>
      </c>
      <c r="T38" s="424" t="n">
        <f aca="false">SUM(T6:T36)</f>
        <v>0</v>
      </c>
      <c r="U38" s="424" t="n">
        <f aca="false">SUM(U6:U36)</f>
        <v>0</v>
      </c>
      <c r="V38" s="425"/>
      <c r="W38" s="426" t="n">
        <f aca="false">SUM(W6:W36)</f>
        <v>4398</v>
      </c>
      <c r="X38" s="426" t="n">
        <f aca="false">SUM(X6:X36)</f>
        <v>5316</v>
      </c>
      <c r="Y38" s="426" t="n">
        <f aca="false">SUM(Y6:Y36)</f>
        <v>0</v>
      </c>
      <c r="Z38" s="426" t="n">
        <f aca="false">SUM(Z6:Z36)</f>
        <v>0</v>
      </c>
      <c r="AA38" s="426" t="n">
        <f aca="false">SUM(AA6:AA36)</f>
        <v>5316</v>
      </c>
      <c r="AB38" s="426" t="n">
        <f aca="false">SUM(AB6:AB36)</f>
        <v>918</v>
      </c>
      <c r="AC38" s="420"/>
      <c r="AD38" s="427" t="n">
        <f aca="false">SUM(AD6:AD36)</f>
        <v>7136</v>
      </c>
      <c r="AE38" s="427" t="n">
        <f aca="false">SUM(AE6:AE36)</f>
        <v>7152</v>
      </c>
      <c r="AF38" s="427" t="n">
        <f aca="false">SUM(AF6:AF36)</f>
        <v>0</v>
      </c>
      <c r="AG38" s="427" t="n">
        <f aca="false">SUM(AG6:AG36)</f>
        <v>0</v>
      </c>
      <c r="AH38" s="427" t="n">
        <f aca="false">SUM(AH6:AH36)</f>
        <v>7152</v>
      </c>
      <c r="AI38" s="427" t="n">
        <f aca="false">SUM(AI6:AI36)</f>
        <v>16</v>
      </c>
      <c r="AJ38" s="421"/>
      <c r="AL38" s="407" t="n">
        <f aca="false">SUM(AL6:AL36)</f>
        <v>289608</v>
      </c>
      <c r="AM38" s="407" t="n">
        <f aca="false">SUM(AM6:AM36)</f>
        <v>369041</v>
      </c>
      <c r="AN38" s="407" t="n">
        <f aca="false">SUM(AN6:AN36)</f>
        <v>79433</v>
      </c>
    </row>
    <row r="40" customFormat="false" ht="12.75" hidden="false" customHeight="false" outlineLevel="0" collapsed="false">
      <c r="A40" s="29" t="n">
        <v>1</v>
      </c>
      <c r="B40" s="399" t="n">
        <f aca="false">+A40+1</f>
        <v>2</v>
      </c>
      <c r="C40" s="399" t="n">
        <f aca="false">+B40+1</f>
        <v>3</v>
      </c>
      <c r="D40" s="399" t="n">
        <f aca="false">+C40+1</f>
        <v>4</v>
      </c>
      <c r="E40" s="399" t="n">
        <f aca="false">+D40+1</f>
        <v>5</v>
      </c>
      <c r="F40" s="399" t="n">
        <f aca="false">+E40+1</f>
        <v>6</v>
      </c>
      <c r="G40" s="399" t="n">
        <f aca="false">+F40+1</f>
        <v>7</v>
      </c>
      <c r="H40" s="399" t="n">
        <f aca="false">+G40+1</f>
        <v>8</v>
      </c>
      <c r="I40" s="399" t="n">
        <f aca="false">+H40+1</f>
        <v>9</v>
      </c>
      <c r="J40" s="399" t="n">
        <f aca="false">+I40+1</f>
        <v>10</v>
      </c>
      <c r="K40" s="399" t="n">
        <f aca="false">+J40+1</f>
        <v>11</v>
      </c>
      <c r="L40" s="399" t="n">
        <f aca="false">+K40+1</f>
        <v>12</v>
      </c>
      <c r="M40" s="399" t="n">
        <f aca="false">+L40+1</f>
        <v>13</v>
      </c>
      <c r="N40" s="399" t="n">
        <f aca="false">+M40+1</f>
        <v>14</v>
      </c>
      <c r="O40" s="399" t="n">
        <f aca="false">+N40+1</f>
        <v>15</v>
      </c>
      <c r="P40" s="399" t="n">
        <f aca="false">+O40+1</f>
        <v>16</v>
      </c>
      <c r="Q40" s="399" t="n">
        <f aca="false">+P40+1</f>
        <v>17</v>
      </c>
      <c r="R40" s="399" t="n">
        <f aca="false">+Q40+1</f>
        <v>18</v>
      </c>
      <c r="S40" s="399" t="n">
        <f aca="false">+R40+1</f>
        <v>19</v>
      </c>
      <c r="T40" s="399" t="n">
        <f aca="false">+S40+1</f>
        <v>20</v>
      </c>
      <c r="U40" s="399" t="n">
        <f aca="false">+T40+1</f>
        <v>21</v>
      </c>
      <c r="V40" s="399" t="n">
        <f aca="false">+U40+1</f>
        <v>22</v>
      </c>
      <c r="W40" s="399" t="n">
        <f aca="false">+V40+1</f>
        <v>23</v>
      </c>
      <c r="X40" s="399" t="n">
        <f aca="false">+W40+1</f>
        <v>24</v>
      </c>
      <c r="Y40" s="399" t="n">
        <f aca="false">+X40+1</f>
        <v>25</v>
      </c>
      <c r="Z40" s="399" t="n">
        <f aca="false">+Y40+1</f>
        <v>26</v>
      </c>
      <c r="AA40" s="399" t="n">
        <f aca="false">+Z40+1</f>
        <v>27</v>
      </c>
      <c r="AB40" s="399" t="n">
        <f aca="false">+AA40+1</f>
        <v>28</v>
      </c>
      <c r="AC40" s="399" t="n">
        <f aca="false">+AB40+1</f>
        <v>29</v>
      </c>
      <c r="AD40" s="399" t="n">
        <f aca="false">+AC40+1</f>
        <v>30</v>
      </c>
      <c r="AE40" s="399" t="n">
        <f aca="false">+AD40+1</f>
        <v>31</v>
      </c>
      <c r="AF40" s="399" t="n">
        <f aca="false">+AE40+1</f>
        <v>32</v>
      </c>
      <c r="AG40" s="399" t="n">
        <f aca="false">+AF40+1</f>
        <v>33</v>
      </c>
      <c r="AH40" s="399" t="n">
        <f aca="false">+AG40+1</f>
        <v>34</v>
      </c>
      <c r="AI40" s="399" t="n">
        <f aca="false">+AH40+1</f>
        <v>35</v>
      </c>
      <c r="AJ40" s="399" t="n">
        <f aca="false">+AI40+1</f>
        <v>36</v>
      </c>
      <c r="AK40" s="399" t="n">
        <f aca="false">+AJ40+1</f>
        <v>37</v>
      </c>
      <c r="AL40" s="399" t="n">
        <f aca="false">+AK40+1</f>
        <v>38</v>
      </c>
      <c r="AM40" s="399" t="n">
        <f aca="false">+AL40+1</f>
        <v>39</v>
      </c>
      <c r="AN40" s="399" t="n">
        <f aca="false">+AM40+1</f>
        <v>40</v>
      </c>
      <c r="AO40" s="399" t="n">
        <f aca="false">+AN40+1</f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DR6" activePane="bottomRight" state="frozen"/>
      <selection pane="topLeft" activeCell="A1" activeCellId="0" sqref="A1"/>
      <selection pane="topRight" activeCell="DR1" activeCellId="0" sqref="DR1"/>
      <selection pane="bottomLeft" activeCell="A6" activeCellId="0" sqref="A6"/>
      <selection pane="bottomRight" activeCell="DW23" activeCellId="0" sqref="DW23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1" width="15.15"/>
    <col collapsed="false" customWidth="false" hidden="false" outlineLevel="0" max="2" min="2" style="42" width="15.15"/>
    <col collapsed="false" customWidth="true" hidden="false" outlineLevel="0" max="3" min="3" style="1" width="17.49"/>
    <col collapsed="false" customWidth="false" hidden="false" outlineLevel="0" max="5" min="4" style="3" width="15.15"/>
    <col collapsed="false" customWidth="true" hidden="false" outlineLevel="0" max="6" min="6" style="1" width="14.49"/>
    <col collapsed="false" customWidth="false" hidden="false" outlineLevel="0" max="8" min="7" style="3" width="15.15"/>
    <col collapsed="false" customWidth="true" hidden="false" outlineLevel="0" max="9" min="9" style="1" width="14.49"/>
    <col collapsed="false" customWidth="false" hidden="false" outlineLevel="0" max="11" min="10" style="3" width="15.15"/>
    <col collapsed="false" customWidth="true" hidden="false" outlineLevel="0" max="12" min="12" style="1" width="14.49"/>
    <col collapsed="false" customWidth="false" hidden="false" outlineLevel="0" max="14" min="13" style="3" width="15.15"/>
    <col collapsed="false" customWidth="true" hidden="false" outlineLevel="0" max="15" min="15" style="1" width="14.49"/>
    <col collapsed="false" customWidth="false" hidden="false" outlineLevel="0" max="17" min="16" style="3" width="15.15"/>
    <col collapsed="false" customWidth="true" hidden="false" outlineLevel="0" max="18" min="18" style="1" width="14.49"/>
    <col collapsed="false" customWidth="false" hidden="false" outlineLevel="0" max="20" min="19" style="3" width="15.15"/>
    <col collapsed="false" customWidth="true" hidden="false" outlineLevel="0" max="21" min="21" style="1" width="14.49"/>
    <col collapsed="false" customWidth="false" hidden="false" outlineLevel="0" max="23" min="22" style="3" width="15.15"/>
    <col collapsed="false" customWidth="true" hidden="false" outlineLevel="0" max="24" min="24" style="1" width="14.49"/>
    <col collapsed="false" customWidth="false" hidden="false" outlineLevel="0" max="26" min="25" style="3" width="15.15"/>
    <col collapsed="false" customWidth="true" hidden="false" outlineLevel="0" max="27" min="27" style="1" width="14.49"/>
    <col collapsed="false" customWidth="false" hidden="false" outlineLevel="0" max="29" min="28" style="3" width="15.15"/>
    <col collapsed="false" customWidth="true" hidden="false" outlineLevel="0" max="30" min="30" style="1" width="14.49"/>
    <col collapsed="false" customWidth="false" hidden="false" outlineLevel="0" max="32" min="31" style="3" width="15.15"/>
    <col collapsed="false" customWidth="true" hidden="false" outlineLevel="0" max="33" min="33" style="1" width="14.49"/>
    <col collapsed="false" customWidth="false" hidden="false" outlineLevel="0" max="35" min="34" style="3" width="15.15"/>
    <col collapsed="false" customWidth="true" hidden="false" outlineLevel="0" max="36" min="36" style="1" width="14.49"/>
    <col collapsed="false" customWidth="false" hidden="false" outlineLevel="0" max="38" min="37" style="3" width="15.15"/>
    <col collapsed="false" customWidth="true" hidden="false" outlineLevel="0" max="39" min="39" style="1" width="14.49"/>
    <col collapsed="false" customWidth="false" hidden="false" outlineLevel="0" max="41" min="40" style="3" width="15.15"/>
    <col collapsed="false" customWidth="true" hidden="false" outlineLevel="0" max="42" min="42" style="1" width="14.49"/>
    <col collapsed="false" customWidth="false" hidden="false" outlineLevel="0" max="44" min="43" style="3" width="15.15"/>
    <col collapsed="false" customWidth="true" hidden="false" outlineLevel="0" max="45" min="45" style="1" width="14.49"/>
    <col collapsed="false" customWidth="false" hidden="false" outlineLevel="0" max="47" min="46" style="3" width="15.15"/>
    <col collapsed="false" customWidth="true" hidden="false" outlineLevel="0" max="48" min="48" style="1" width="14.49"/>
    <col collapsed="false" customWidth="false" hidden="false" outlineLevel="0" max="50" min="49" style="3" width="15.15"/>
    <col collapsed="false" customWidth="true" hidden="false" outlineLevel="0" max="51" min="51" style="1" width="14.49"/>
    <col collapsed="false" customWidth="false" hidden="false" outlineLevel="0" max="53" min="52" style="3" width="15.15"/>
    <col collapsed="false" customWidth="true" hidden="false" outlineLevel="0" max="54" min="54" style="1" width="14.49"/>
    <col collapsed="false" customWidth="false" hidden="false" outlineLevel="0" max="56" min="55" style="3" width="15.15"/>
    <col collapsed="false" customWidth="true" hidden="false" outlineLevel="0" max="57" min="57" style="1" width="14.49"/>
    <col collapsed="false" customWidth="false" hidden="false" outlineLevel="0" max="59" min="58" style="3" width="15.15"/>
    <col collapsed="false" customWidth="true" hidden="false" outlineLevel="0" max="60" min="60" style="1" width="14.49"/>
    <col collapsed="false" customWidth="false" hidden="false" outlineLevel="0" max="62" min="61" style="3" width="15.15"/>
    <col collapsed="false" customWidth="true" hidden="false" outlineLevel="0" max="63" min="63" style="1" width="14.49"/>
    <col collapsed="false" customWidth="false" hidden="false" outlineLevel="0" max="65" min="64" style="3" width="15.15"/>
    <col collapsed="false" customWidth="true" hidden="false" outlineLevel="0" max="66" min="66" style="1" width="14.49"/>
    <col collapsed="false" customWidth="false" hidden="false" outlineLevel="0" max="68" min="67" style="3" width="15.15"/>
    <col collapsed="false" customWidth="true" hidden="false" outlineLevel="0" max="69" min="69" style="1" width="14.49"/>
    <col collapsed="false" customWidth="false" hidden="false" outlineLevel="0" max="71" min="70" style="3" width="15.15"/>
    <col collapsed="false" customWidth="true" hidden="false" outlineLevel="0" max="72" min="72" style="1" width="14.49"/>
    <col collapsed="false" customWidth="false" hidden="false" outlineLevel="0" max="74" min="73" style="3" width="15.15"/>
    <col collapsed="false" customWidth="true" hidden="false" outlineLevel="0" max="75" min="75" style="1" width="14.49"/>
    <col collapsed="false" customWidth="false" hidden="false" outlineLevel="0" max="77" min="76" style="3" width="15.15"/>
    <col collapsed="false" customWidth="true" hidden="false" outlineLevel="0" max="78" min="78" style="1" width="14.49"/>
    <col collapsed="false" customWidth="false" hidden="false" outlineLevel="0" max="80" min="79" style="3" width="15.15"/>
    <col collapsed="false" customWidth="true" hidden="false" outlineLevel="0" max="81" min="81" style="1" width="14.49"/>
    <col collapsed="false" customWidth="false" hidden="false" outlineLevel="0" max="83" min="82" style="3" width="15.15"/>
    <col collapsed="false" customWidth="true" hidden="false" outlineLevel="0" max="84" min="84" style="1" width="14.49"/>
    <col collapsed="false" customWidth="false" hidden="false" outlineLevel="0" max="86" min="85" style="3" width="15.15"/>
    <col collapsed="false" customWidth="true" hidden="false" outlineLevel="0" max="87" min="87" style="1" width="14.49"/>
    <col collapsed="false" customWidth="false" hidden="false" outlineLevel="0" max="89" min="88" style="3" width="15.15"/>
    <col collapsed="false" customWidth="true" hidden="false" outlineLevel="0" max="90" min="90" style="1" width="14.49"/>
    <col collapsed="false" customWidth="false" hidden="false" outlineLevel="0" max="92" min="91" style="3" width="15.15"/>
    <col collapsed="false" customWidth="true" hidden="false" outlineLevel="0" max="93" min="93" style="1" width="14.49"/>
    <col collapsed="false" customWidth="false" hidden="false" outlineLevel="0" max="95" min="94" style="3" width="15.15"/>
    <col collapsed="false" customWidth="true" hidden="false" outlineLevel="0" max="96" min="96" style="1" width="14.49"/>
    <col collapsed="false" customWidth="false" hidden="false" outlineLevel="0" max="98" min="97" style="3" width="15.15"/>
    <col collapsed="false" customWidth="true" hidden="false" outlineLevel="0" max="99" min="99" style="1" width="14.49"/>
    <col collapsed="false" customWidth="false" hidden="false" outlineLevel="0" max="101" min="100" style="3" width="15.15"/>
    <col collapsed="false" customWidth="true" hidden="false" outlineLevel="0" max="102" min="102" style="1" width="14.49"/>
    <col collapsed="false" customWidth="false" hidden="false" outlineLevel="0" max="104" min="103" style="3" width="15.15"/>
    <col collapsed="false" customWidth="true" hidden="false" outlineLevel="0" max="105" min="105" style="1" width="14.49"/>
    <col collapsed="false" customWidth="false" hidden="false" outlineLevel="0" max="107" min="106" style="3" width="15.15"/>
    <col collapsed="false" customWidth="true" hidden="false" outlineLevel="0" max="108" min="108" style="1" width="14.49"/>
    <col collapsed="false" customWidth="false" hidden="false" outlineLevel="0" max="110" min="109" style="3" width="15.15"/>
    <col collapsed="false" customWidth="true" hidden="false" outlineLevel="0" max="111" min="111" style="1" width="14.49"/>
    <col collapsed="false" customWidth="false" hidden="false" outlineLevel="0" max="113" min="112" style="3" width="15.15"/>
    <col collapsed="false" customWidth="true" hidden="false" outlineLevel="0" max="114" min="114" style="1" width="14.49"/>
    <col collapsed="false" customWidth="false" hidden="false" outlineLevel="0" max="116" min="115" style="3" width="15.15"/>
    <col collapsed="false" customWidth="true" hidden="false" outlineLevel="0" max="117" min="117" style="1" width="14.49"/>
    <col collapsed="false" customWidth="false" hidden="false" outlineLevel="0" max="119" min="118" style="3" width="15.15"/>
    <col collapsed="false" customWidth="true" hidden="false" outlineLevel="0" max="120" min="120" style="1" width="14.49"/>
    <col collapsed="false" customWidth="false" hidden="false" outlineLevel="0" max="122" min="121" style="3" width="15.15"/>
    <col collapsed="false" customWidth="false" hidden="false" outlineLevel="0" max="123" min="123" style="43" width="15.15"/>
    <col collapsed="false" customWidth="false" hidden="false" outlineLevel="0" max="126" min="124" style="40" width="15.15"/>
    <col collapsed="false" customWidth="false" hidden="false" outlineLevel="0" max="128" min="127" style="3" width="15.15"/>
    <col collapsed="false" customWidth="false" hidden="false" outlineLevel="0" max="129" min="129" style="43" width="15.15"/>
    <col collapsed="false" customWidth="false" hidden="false" outlineLevel="0" max="141" min="130" style="3" width="15.15"/>
    <col collapsed="false" customWidth="false" hidden="false" outlineLevel="0" max="149" min="142" style="44" width="15.15"/>
    <col collapsed="false" customWidth="false" hidden="false" outlineLevel="0" max="171" min="150" style="45" width="15.15"/>
    <col collapsed="false" customWidth="false" hidden="false" outlineLevel="0" max="178" min="172" style="46" width="15.15"/>
    <col collapsed="false" customWidth="false" hidden="false" outlineLevel="0" max="257" min="179" style="1" width="15.15"/>
  </cols>
  <sheetData>
    <row r="1" customFormat="false" ht="15.75" hidden="false" customHeight="false" outlineLevel="0" collapsed="false">
      <c r="A1" s="47" t="s">
        <v>74</v>
      </c>
      <c r="B1" s="48" t="n">
        <f aca="false">+BaseloadMarkets!B1</f>
        <v>36678</v>
      </c>
      <c r="C1" s="5" t="s">
        <v>75</v>
      </c>
      <c r="D1" s="49"/>
      <c r="E1" s="49"/>
      <c r="F1" s="5" t="s">
        <v>2</v>
      </c>
      <c r="G1" s="5"/>
      <c r="H1" s="49"/>
      <c r="I1" s="5" t="s">
        <v>76</v>
      </c>
      <c r="J1" s="49"/>
      <c r="K1" s="49"/>
      <c r="L1" s="5" t="s">
        <v>77</v>
      </c>
      <c r="M1" s="49"/>
      <c r="N1" s="49"/>
      <c r="O1" s="5" t="n">
        <v>4.26</v>
      </c>
      <c r="P1" s="49"/>
      <c r="Q1" s="49"/>
      <c r="R1" s="5" t="n">
        <v>4.3</v>
      </c>
      <c r="S1" s="49"/>
      <c r="T1" s="49"/>
      <c r="U1" s="5" t="n">
        <v>4.28</v>
      </c>
      <c r="V1" s="49"/>
      <c r="W1" s="49"/>
      <c r="X1" s="5" t="n">
        <v>4.25</v>
      </c>
      <c r="Y1" s="49"/>
      <c r="Z1" s="49"/>
      <c r="AA1" s="5" t="n">
        <v>4.28</v>
      </c>
      <c r="AB1" s="49"/>
      <c r="AC1" s="49"/>
      <c r="AD1" s="5" t="n">
        <v>4.27</v>
      </c>
      <c r="AE1" s="49"/>
      <c r="AF1" s="49"/>
      <c r="AG1" s="5" t="n">
        <v>4.34</v>
      </c>
      <c r="AH1" s="49"/>
      <c r="AI1" s="49"/>
      <c r="AJ1" s="5" t="s">
        <v>8</v>
      </c>
      <c r="AK1" s="49"/>
      <c r="AL1" s="49"/>
      <c r="AM1" s="5" t="s">
        <v>77</v>
      </c>
      <c r="AN1" s="49"/>
      <c r="AO1" s="49"/>
      <c r="AP1" s="5" t="s">
        <v>2</v>
      </c>
      <c r="AQ1" s="49"/>
      <c r="AR1" s="49"/>
      <c r="AS1" s="5"/>
      <c r="AT1" s="49"/>
      <c r="AU1" s="49"/>
      <c r="AV1" s="5"/>
      <c r="AW1" s="49"/>
      <c r="AX1" s="49"/>
      <c r="AY1" s="6"/>
      <c r="AZ1" s="49"/>
      <c r="BA1" s="49"/>
      <c r="BB1" s="6"/>
      <c r="BC1" s="49"/>
      <c r="BD1" s="49"/>
      <c r="BE1" s="6"/>
      <c r="BF1" s="49"/>
      <c r="BG1" s="49"/>
      <c r="BH1" s="6"/>
      <c r="BI1" s="49"/>
      <c r="BJ1" s="49"/>
      <c r="BK1" s="6"/>
      <c r="BL1" s="49"/>
      <c r="BM1" s="49"/>
      <c r="BN1" s="6"/>
      <c r="BO1" s="49"/>
      <c r="BP1" s="49"/>
      <c r="BQ1" s="6"/>
      <c r="BR1" s="49"/>
      <c r="BS1" s="49"/>
      <c r="BT1" s="6"/>
      <c r="BU1" s="49"/>
      <c r="BV1" s="49"/>
      <c r="BW1" s="6"/>
      <c r="BX1" s="49"/>
      <c r="BY1" s="49"/>
      <c r="BZ1" s="6"/>
      <c r="CA1" s="49"/>
      <c r="CB1" s="49"/>
      <c r="CC1" s="6"/>
      <c r="CD1" s="49"/>
      <c r="CE1" s="49"/>
      <c r="CF1" s="6"/>
      <c r="CG1" s="49"/>
      <c r="CH1" s="49"/>
      <c r="CI1" s="6"/>
      <c r="CJ1" s="49"/>
      <c r="CK1" s="49"/>
      <c r="CL1" s="6"/>
      <c r="CM1" s="49"/>
      <c r="CN1" s="49"/>
      <c r="CO1" s="6"/>
      <c r="CP1" s="49"/>
      <c r="CQ1" s="49"/>
      <c r="CR1" s="6"/>
      <c r="CS1" s="49"/>
      <c r="CT1" s="49"/>
      <c r="CU1" s="6"/>
      <c r="CV1" s="49"/>
      <c r="CW1" s="49"/>
      <c r="CX1" s="6"/>
      <c r="CY1" s="49"/>
      <c r="CZ1" s="49"/>
      <c r="DA1" s="6"/>
      <c r="DB1" s="49"/>
      <c r="DC1" s="49"/>
      <c r="DD1" s="6"/>
      <c r="DE1" s="49"/>
      <c r="DF1" s="49"/>
      <c r="DG1" s="6"/>
      <c r="DH1" s="49"/>
      <c r="DI1" s="49"/>
      <c r="DJ1" s="6"/>
      <c r="DK1" s="49"/>
      <c r="DL1" s="49"/>
      <c r="DM1" s="6"/>
      <c r="DN1" s="49"/>
      <c r="DO1" s="49"/>
      <c r="DP1" s="6"/>
      <c r="DQ1" s="49"/>
      <c r="DR1" s="49"/>
      <c r="DS1" s="50"/>
      <c r="DT1" s="50"/>
      <c r="DU1" s="50"/>
      <c r="DV1" s="50"/>
      <c r="DW1" s="49"/>
      <c r="DX1" s="49"/>
      <c r="DY1" s="51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</row>
    <row r="2" customFormat="false" ht="12.75" hidden="false" customHeight="true" outlineLevel="0" collapsed="false">
      <c r="A2" s="10" t="s">
        <v>48</v>
      </c>
      <c r="B2" s="10"/>
      <c r="C2" s="11" t="n">
        <v>276555</v>
      </c>
      <c r="D2" s="12"/>
      <c r="E2" s="12"/>
      <c r="F2" s="11" t="n">
        <v>277144</v>
      </c>
      <c r="G2" s="11"/>
      <c r="H2" s="12"/>
      <c r="I2" s="11" t="n">
        <v>277290</v>
      </c>
      <c r="J2" s="12"/>
      <c r="K2" s="12"/>
      <c r="L2" s="11" t="n">
        <v>271497</v>
      </c>
      <c r="M2" s="12"/>
      <c r="N2" s="12"/>
      <c r="O2" s="11" t="n">
        <v>278863</v>
      </c>
      <c r="P2" s="12"/>
      <c r="Q2" s="12"/>
      <c r="R2" s="11" t="n">
        <v>280513</v>
      </c>
      <c r="S2" s="12"/>
      <c r="T2" s="12"/>
      <c r="U2" s="11" t="n">
        <v>279751</v>
      </c>
      <c r="V2" s="12"/>
      <c r="W2" s="12"/>
      <c r="X2" s="33" t="s">
        <v>78</v>
      </c>
      <c r="Y2" s="12"/>
      <c r="Z2" s="12"/>
      <c r="AA2" s="11" t="n">
        <v>280097</v>
      </c>
      <c r="AB2" s="12"/>
      <c r="AC2" s="12"/>
      <c r="AD2" s="33" t="s">
        <v>79</v>
      </c>
      <c r="AE2" s="12"/>
      <c r="AF2" s="12"/>
      <c r="AG2" s="11" t="n">
        <v>280473</v>
      </c>
      <c r="AH2" s="12"/>
      <c r="AI2" s="12"/>
      <c r="AJ2" s="33" t="s">
        <v>80</v>
      </c>
      <c r="AK2" s="12"/>
      <c r="AL2" s="12"/>
      <c r="AM2" s="11" t="n">
        <v>276523</v>
      </c>
      <c r="AN2" s="12"/>
      <c r="AO2" s="12"/>
      <c r="AP2" s="33" t="s">
        <v>81</v>
      </c>
      <c r="AQ2" s="12"/>
      <c r="AR2" s="12"/>
      <c r="AS2" s="11" t="n">
        <v>284030</v>
      </c>
      <c r="AT2" s="12"/>
      <c r="AU2" s="12"/>
      <c r="AV2" s="11" t="s">
        <v>82</v>
      </c>
      <c r="AW2" s="12"/>
      <c r="AX2" s="12"/>
      <c r="AY2" s="11"/>
      <c r="AZ2" s="12"/>
      <c r="BA2" s="12"/>
      <c r="BB2" s="11"/>
      <c r="BC2" s="12"/>
      <c r="BD2" s="12"/>
      <c r="BE2" s="11"/>
      <c r="BF2" s="12"/>
      <c r="BG2" s="12"/>
      <c r="BH2" s="11"/>
      <c r="BI2" s="12"/>
      <c r="BJ2" s="12"/>
      <c r="BK2" s="11"/>
      <c r="BL2" s="12"/>
      <c r="BM2" s="12"/>
      <c r="BN2" s="11"/>
      <c r="BO2" s="12"/>
      <c r="BP2" s="12"/>
      <c r="BQ2" s="11"/>
      <c r="BR2" s="12"/>
      <c r="BS2" s="12"/>
      <c r="BT2" s="11"/>
      <c r="BU2" s="12"/>
      <c r="BV2" s="12"/>
      <c r="BW2" s="11"/>
      <c r="BX2" s="12"/>
      <c r="BY2" s="12"/>
      <c r="BZ2" s="11"/>
      <c r="CA2" s="12"/>
      <c r="CB2" s="12"/>
      <c r="CC2" s="11"/>
      <c r="CD2" s="12"/>
      <c r="CE2" s="12"/>
      <c r="CF2" s="11"/>
      <c r="CG2" s="12"/>
      <c r="CH2" s="12"/>
      <c r="CI2" s="11"/>
      <c r="CJ2" s="12"/>
      <c r="CK2" s="12"/>
      <c r="CL2" s="11"/>
      <c r="CM2" s="12"/>
      <c r="CN2" s="12"/>
      <c r="CO2" s="11"/>
      <c r="CP2" s="12"/>
      <c r="CQ2" s="12"/>
      <c r="CR2" s="11"/>
      <c r="CS2" s="12"/>
      <c r="CT2" s="12"/>
      <c r="CU2" s="11"/>
      <c r="CV2" s="12"/>
      <c r="CW2" s="12"/>
      <c r="CX2" s="11"/>
      <c r="CY2" s="12"/>
      <c r="CZ2" s="12"/>
      <c r="DA2" s="11"/>
      <c r="DB2" s="12"/>
      <c r="DC2" s="12"/>
      <c r="DD2" s="11"/>
      <c r="DE2" s="12"/>
      <c r="DF2" s="12"/>
      <c r="DG2" s="11"/>
      <c r="DH2" s="12"/>
      <c r="DI2" s="12"/>
      <c r="DJ2" s="11"/>
      <c r="DK2" s="12"/>
      <c r="DL2" s="12"/>
      <c r="DM2" s="11"/>
      <c r="DN2" s="12"/>
      <c r="DO2" s="12"/>
      <c r="DP2" s="11"/>
      <c r="DQ2" s="12"/>
      <c r="DR2" s="12"/>
      <c r="DS2" s="53"/>
      <c r="DT2" s="4"/>
      <c r="DU2" s="4"/>
      <c r="DV2" s="54"/>
      <c r="DW2" s="12"/>
      <c r="DX2" s="12" t="s">
        <v>50</v>
      </c>
      <c r="DY2" s="12" t="s">
        <v>50</v>
      </c>
      <c r="DZ2" s="12" t="s">
        <v>83</v>
      </c>
      <c r="EA2" s="12" t="s">
        <v>84</v>
      </c>
      <c r="EB2" s="12"/>
      <c r="EC2" s="12" t="s">
        <v>83</v>
      </c>
      <c r="ED2" s="12" t="s">
        <v>84</v>
      </c>
      <c r="EE2" s="12"/>
      <c r="EF2" s="12"/>
      <c r="EG2" s="12"/>
      <c r="EH2" s="12"/>
      <c r="EI2" s="12"/>
      <c r="EJ2" s="12"/>
      <c r="EK2" s="12"/>
      <c r="EL2" s="55"/>
      <c r="EM2" s="55"/>
      <c r="EN2" s="55"/>
      <c r="EO2" s="55"/>
      <c r="EP2" s="55"/>
      <c r="EQ2" s="55"/>
      <c r="ER2" s="55"/>
      <c r="ES2" s="55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7"/>
      <c r="FQ2" s="57"/>
      <c r="FR2" s="57"/>
      <c r="FS2" s="57"/>
      <c r="FT2" s="57"/>
      <c r="FU2" s="57"/>
      <c r="FV2" s="57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58"/>
      <c r="B3" s="58"/>
      <c r="C3" s="59" t="s">
        <v>85</v>
      </c>
      <c r="D3" s="60"/>
      <c r="E3" s="60"/>
      <c r="F3" s="59" t="s">
        <v>85</v>
      </c>
      <c r="G3" s="60"/>
      <c r="H3" s="60"/>
      <c r="I3" s="59" t="s">
        <v>85</v>
      </c>
      <c r="J3" s="60"/>
      <c r="K3" s="60"/>
      <c r="L3" s="59" t="s">
        <v>85</v>
      </c>
      <c r="M3" s="60"/>
      <c r="N3" s="60"/>
      <c r="O3" s="59" t="s">
        <v>85</v>
      </c>
      <c r="P3" s="60"/>
      <c r="Q3" s="60"/>
      <c r="R3" s="59" t="s">
        <v>85</v>
      </c>
      <c r="S3" s="60"/>
      <c r="T3" s="60"/>
      <c r="U3" s="59" t="s">
        <v>85</v>
      </c>
      <c r="V3" s="60"/>
      <c r="W3" s="60"/>
      <c r="X3" s="59" t="s">
        <v>85</v>
      </c>
      <c r="Y3" s="60"/>
      <c r="Z3" s="60"/>
      <c r="AA3" s="59" t="s">
        <v>85</v>
      </c>
      <c r="AB3" s="60"/>
      <c r="AC3" s="60"/>
      <c r="AD3" s="59" t="s">
        <v>85</v>
      </c>
      <c r="AE3" s="60"/>
      <c r="AF3" s="60"/>
      <c r="AG3" s="59" t="s">
        <v>85</v>
      </c>
      <c r="AH3" s="60"/>
      <c r="AI3" s="60"/>
      <c r="AJ3" s="59" t="s">
        <v>85</v>
      </c>
      <c r="AK3" s="60"/>
      <c r="AL3" s="60"/>
      <c r="AM3" s="59" t="s">
        <v>85</v>
      </c>
      <c r="AN3" s="60"/>
      <c r="AO3" s="60"/>
      <c r="AP3" s="59" t="s">
        <v>85</v>
      </c>
      <c r="AQ3" s="60"/>
      <c r="AR3" s="60"/>
      <c r="AS3" s="59" t="s">
        <v>86</v>
      </c>
      <c r="AT3" s="60"/>
      <c r="AU3" s="60"/>
      <c r="AV3" s="59" t="s">
        <v>86</v>
      </c>
      <c r="AW3" s="60"/>
      <c r="AX3" s="60"/>
      <c r="AY3" s="59"/>
      <c r="AZ3" s="60"/>
      <c r="BA3" s="60"/>
      <c r="BB3" s="59"/>
      <c r="BC3" s="60"/>
      <c r="BD3" s="60"/>
      <c r="BE3" s="59"/>
      <c r="BF3" s="60"/>
      <c r="BG3" s="60"/>
      <c r="BH3" s="59"/>
      <c r="BI3" s="60"/>
      <c r="BJ3" s="60"/>
      <c r="BK3" s="59"/>
      <c r="BL3" s="60"/>
      <c r="BM3" s="60"/>
      <c r="BN3" s="59"/>
      <c r="BO3" s="60"/>
      <c r="BP3" s="60"/>
      <c r="BQ3" s="59"/>
      <c r="BR3" s="60"/>
      <c r="BS3" s="60"/>
      <c r="BT3" s="59"/>
      <c r="BU3" s="60"/>
      <c r="BV3" s="60"/>
      <c r="BW3" s="59"/>
      <c r="BX3" s="60"/>
      <c r="BY3" s="60"/>
      <c r="BZ3" s="59"/>
      <c r="CA3" s="60"/>
      <c r="CB3" s="60"/>
      <c r="CC3" s="59"/>
      <c r="CD3" s="60"/>
      <c r="CE3" s="60"/>
      <c r="CF3" s="59"/>
      <c r="CG3" s="60"/>
      <c r="CH3" s="60"/>
      <c r="CI3" s="59"/>
      <c r="CJ3" s="60"/>
      <c r="CK3" s="60"/>
      <c r="CL3" s="59"/>
      <c r="CM3" s="60"/>
      <c r="CN3" s="60"/>
      <c r="CO3" s="59"/>
      <c r="CP3" s="60"/>
      <c r="CQ3" s="60"/>
      <c r="CR3" s="59"/>
      <c r="CS3" s="60"/>
      <c r="CT3" s="60"/>
      <c r="CU3" s="59"/>
      <c r="CV3" s="60"/>
      <c r="CW3" s="60"/>
      <c r="CX3" s="59"/>
      <c r="CY3" s="60"/>
      <c r="CZ3" s="60"/>
      <c r="DA3" s="59"/>
      <c r="DB3" s="60"/>
      <c r="DC3" s="60"/>
      <c r="DD3" s="59"/>
      <c r="DE3" s="60"/>
      <c r="DF3" s="60"/>
      <c r="DG3" s="59"/>
      <c r="DH3" s="60"/>
      <c r="DI3" s="60"/>
      <c r="DJ3" s="59"/>
      <c r="DK3" s="60"/>
      <c r="DL3" s="60"/>
      <c r="DM3" s="59"/>
      <c r="DN3" s="60"/>
      <c r="DO3" s="60"/>
      <c r="DP3" s="59"/>
      <c r="DQ3" s="60"/>
      <c r="DR3" s="60"/>
      <c r="DS3" s="58"/>
      <c r="DT3" s="61"/>
      <c r="DU3" s="61"/>
      <c r="DV3" s="62"/>
      <c r="DW3" s="60"/>
      <c r="DX3" s="60" t="s">
        <v>85</v>
      </c>
      <c r="DY3" s="60" t="s">
        <v>85</v>
      </c>
      <c r="DZ3" s="60" t="s">
        <v>85</v>
      </c>
      <c r="EA3" s="60" t="s">
        <v>85</v>
      </c>
      <c r="EB3" s="60"/>
      <c r="EC3" s="60" t="s">
        <v>86</v>
      </c>
      <c r="ED3" s="60" t="s">
        <v>86</v>
      </c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4"/>
      <c r="FQ3" s="64"/>
      <c r="FR3" s="64"/>
      <c r="FS3" s="64"/>
      <c r="FT3" s="64"/>
      <c r="FU3" s="64"/>
      <c r="FV3" s="64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true" outlineLevel="0" collapsed="false">
      <c r="A4" s="10" t="s">
        <v>87</v>
      </c>
      <c r="B4" s="10" t="s">
        <v>88</v>
      </c>
      <c r="C4" s="14" t="s">
        <v>18</v>
      </c>
      <c r="D4" s="12"/>
      <c r="E4" s="12" t="s">
        <v>83</v>
      </c>
      <c r="F4" s="14" t="s">
        <v>21</v>
      </c>
      <c r="G4" s="12"/>
      <c r="H4" s="12" t="s">
        <v>83</v>
      </c>
      <c r="I4" s="14" t="s">
        <v>21</v>
      </c>
      <c r="J4" s="12"/>
      <c r="K4" s="12" t="s">
        <v>83</v>
      </c>
      <c r="L4" s="14" t="s">
        <v>23</v>
      </c>
      <c r="M4" s="12"/>
      <c r="N4" s="12" t="s">
        <v>83</v>
      </c>
      <c r="O4" s="14" t="s">
        <v>37</v>
      </c>
      <c r="P4" s="12"/>
      <c r="Q4" s="12" t="s">
        <v>83</v>
      </c>
      <c r="R4" s="14" t="s">
        <v>37</v>
      </c>
      <c r="S4" s="12"/>
      <c r="T4" s="12" t="s">
        <v>83</v>
      </c>
      <c r="U4" s="14" t="s">
        <v>25</v>
      </c>
      <c r="V4" s="12"/>
      <c r="W4" s="12" t="s">
        <v>83</v>
      </c>
      <c r="X4" s="14" t="s">
        <v>25</v>
      </c>
      <c r="Y4" s="12"/>
      <c r="Z4" s="12" t="s">
        <v>83</v>
      </c>
      <c r="AA4" s="14" t="s">
        <v>25</v>
      </c>
      <c r="AB4" s="12"/>
      <c r="AC4" s="12" t="s">
        <v>83</v>
      </c>
      <c r="AD4" s="14" t="s">
        <v>25</v>
      </c>
      <c r="AE4" s="12"/>
      <c r="AF4" s="12" t="s">
        <v>83</v>
      </c>
      <c r="AG4" s="14" t="s">
        <v>25</v>
      </c>
      <c r="AH4" s="12"/>
      <c r="AI4" s="12" t="s">
        <v>83</v>
      </c>
      <c r="AJ4" s="14" t="s">
        <v>89</v>
      </c>
      <c r="AK4" s="12"/>
      <c r="AL4" s="12" t="s">
        <v>83</v>
      </c>
      <c r="AM4" s="14" t="s">
        <v>27</v>
      </c>
      <c r="AN4" s="12"/>
      <c r="AO4" s="12" t="s">
        <v>83</v>
      </c>
      <c r="AP4" s="14" t="s">
        <v>27</v>
      </c>
      <c r="AQ4" s="12"/>
      <c r="AR4" s="12" t="s">
        <v>83</v>
      </c>
      <c r="AS4" s="14" t="s">
        <v>90</v>
      </c>
      <c r="AT4" s="12"/>
      <c r="AU4" s="12" t="s">
        <v>83</v>
      </c>
      <c r="AV4" s="14"/>
      <c r="AW4" s="12"/>
      <c r="AX4" s="12" t="s">
        <v>83</v>
      </c>
      <c r="AY4" s="14"/>
      <c r="AZ4" s="12"/>
      <c r="BA4" s="12" t="s">
        <v>83</v>
      </c>
      <c r="BB4" s="14"/>
      <c r="BC4" s="12"/>
      <c r="BD4" s="12" t="s">
        <v>83</v>
      </c>
      <c r="BE4" s="14"/>
      <c r="BF4" s="12"/>
      <c r="BG4" s="12" t="s">
        <v>83</v>
      </c>
      <c r="BH4" s="14"/>
      <c r="BI4" s="12"/>
      <c r="BJ4" s="12" t="s">
        <v>83</v>
      </c>
      <c r="BK4" s="14"/>
      <c r="BL4" s="12"/>
      <c r="BM4" s="12" t="s">
        <v>83</v>
      </c>
      <c r="BN4" s="14"/>
      <c r="BO4" s="12"/>
      <c r="BP4" s="12" t="s">
        <v>83</v>
      </c>
      <c r="BQ4" s="14"/>
      <c r="BR4" s="12"/>
      <c r="BS4" s="12" t="s">
        <v>83</v>
      </c>
      <c r="BT4" s="14"/>
      <c r="BU4" s="12"/>
      <c r="BV4" s="12" t="s">
        <v>83</v>
      </c>
      <c r="BW4" s="14"/>
      <c r="BX4" s="12"/>
      <c r="BY4" s="12" t="s">
        <v>83</v>
      </c>
      <c r="BZ4" s="14"/>
      <c r="CA4" s="12"/>
      <c r="CB4" s="12" t="s">
        <v>83</v>
      </c>
      <c r="CC4" s="14"/>
      <c r="CD4" s="12"/>
      <c r="CE4" s="12" t="s">
        <v>83</v>
      </c>
      <c r="CF4" s="14"/>
      <c r="CG4" s="12"/>
      <c r="CH4" s="12" t="s">
        <v>83</v>
      </c>
      <c r="CI4" s="14"/>
      <c r="CJ4" s="12"/>
      <c r="CK4" s="12" t="s">
        <v>83</v>
      </c>
      <c r="CL4" s="14"/>
      <c r="CM4" s="12"/>
      <c r="CN4" s="12" t="s">
        <v>83</v>
      </c>
      <c r="CO4" s="14"/>
      <c r="CP4" s="12"/>
      <c r="CQ4" s="12" t="s">
        <v>83</v>
      </c>
      <c r="CR4" s="14"/>
      <c r="CS4" s="12"/>
      <c r="CT4" s="12" t="s">
        <v>83</v>
      </c>
      <c r="CU4" s="14"/>
      <c r="CV4" s="12"/>
      <c r="CW4" s="12" t="s">
        <v>83</v>
      </c>
      <c r="CX4" s="14"/>
      <c r="CY4" s="12"/>
      <c r="CZ4" s="12" t="s">
        <v>83</v>
      </c>
      <c r="DA4" s="14"/>
      <c r="DB4" s="12"/>
      <c r="DC4" s="12" t="s">
        <v>83</v>
      </c>
      <c r="DD4" s="14"/>
      <c r="DE4" s="12"/>
      <c r="DF4" s="12" t="s">
        <v>83</v>
      </c>
      <c r="DG4" s="14"/>
      <c r="DH4" s="12"/>
      <c r="DI4" s="12" t="s">
        <v>83</v>
      </c>
      <c r="DJ4" s="14"/>
      <c r="DK4" s="12"/>
      <c r="DL4" s="12" t="s">
        <v>83</v>
      </c>
      <c r="DM4" s="14"/>
      <c r="DN4" s="12"/>
      <c r="DO4" s="12" t="s">
        <v>83</v>
      </c>
      <c r="DP4" s="14"/>
      <c r="DQ4" s="12"/>
      <c r="DR4" s="12" t="s">
        <v>83</v>
      </c>
      <c r="DS4" s="10" t="s">
        <v>50</v>
      </c>
      <c r="DT4" s="11" t="s">
        <v>50</v>
      </c>
      <c r="DU4" s="4"/>
      <c r="DV4" s="54" t="s">
        <v>91</v>
      </c>
      <c r="DW4" s="12"/>
      <c r="DX4" s="12" t="s">
        <v>0</v>
      </c>
      <c r="DY4" s="12" t="s">
        <v>0</v>
      </c>
      <c r="DZ4" s="12" t="s">
        <v>82</v>
      </c>
      <c r="EA4" s="12" t="s">
        <v>82</v>
      </c>
      <c r="EB4" s="12"/>
      <c r="EC4" s="12" t="s">
        <v>82</v>
      </c>
      <c r="ED4" s="12" t="s">
        <v>82</v>
      </c>
      <c r="EE4" s="12"/>
      <c r="EF4" s="12"/>
      <c r="EG4" s="12"/>
      <c r="EH4" s="12"/>
      <c r="EI4" s="12"/>
      <c r="EJ4" s="12"/>
      <c r="EK4" s="12"/>
      <c r="EL4" s="55"/>
      <c r="EM4" s="55"/>
      <c r="EN4" s="55"/>
      <c r="EO4" s="55"/>
      <c r="EP4" s="55"/>
      <c r="EQ4" s="55"/>
      <c r="ER4" s="55"/>
      <c r="ES4" s="55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7"/>
      <c r="FQ4" s="57"/>
      <c r="FR4" s="57"/>
      <c r="FS4" s="57"/>
      <c r="FT4" s="57"/>
      <c r="FU4" s="57"/>
      <c r="FV4" s="57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51</v>
      </c>
      <c r="B5" s="10" t="s">
        <v>92</v>
      </c>
      <c r="C5" s="18" t="s">
        <v>93</v>
      </c>
      <c r="D5" s="19"/>
      <c r="E5" s="19" t="s">
        <v>94</v>
      </c>
      <c r="F5" s="18" t="s">
        <v>93</v>
      </c>
      <c r="G5" s="19"/>
      <c r="H5" s="19" t="s">
        <v>94</v>
      </c>
      <c r="I5" s="18" t="s">
        <v>93</v>
      </c>
      <c r="J5" s="19"/>
      <c r="K5" s="19" t="s">
        <v>94</v>
      </c>
      <c r="L5" s="18" t="s">
        <v>93</v>
      </c>
      <c r="M5" s="19"/>
      <c r="N5" s="19" t="s">
        <v>94</v>
      </c>
      <c r="O5" s="18" t="s">
        <v>93</v>
      </c>
      <c r="P5" s="19"/>
      <c r="Q5" s="19" t="s">
        <v>94</v>
      </c>
      <c r="R5" s="18" t="s">
        <v>93</v>
      </c>
      <c r="S5" s="19"/>
      <c r="T5" s="19" t="s">
        <v>94</v>
      </c>
      <c r="U5" s="18" t="s">
        <v>93</v>
      </c>
      <c r="V5" s="19"/>
      <c r="W5" s="19" t="s">
        <v>94</v>
      </c>
      <c r="X5" s="18" t="s">
        <v>93</v>
      </c>
      <c r="Y5" s="19"/>
      <c r="Z5" s="19" t="s">
        <v>94</v>
      </c>
      <c r="AA5" s="18" t="s">
        <v>93</v>
      </c>
      <c r="AB5" s="19"/>
      <c r="AC5" s="19" t="s">
        <v>94</v>
      </c>
      <c r="AD5" s="18" t="s">
        <v>93</v>
      </c>
      <c r="AE5" s="19"/>
      <c r="AF5" s="19" t="s">
        <v>94</v>
      </c>
      <c r="AG5" s="18" t="s">
        <v>93</v>
      </c>
      <c r="AH5" s="19"/>
      <c r="AI5" s="19" t="s">
        <v>94</v>
      </c>
      <c r="AJ5" s="18" t="s">
        <v>93</v>
      </c>
      <c r="AK5" s="19"/>
      <c r="AL5" s="19" t="s">
        <v>94</v>
      </c>
      <c r="AM5" s="18" t="s">
        <v>93</v>
      </c>
      <c r="AN5" s="19"/>
      <c r="AO5" s="19" t="s">
        <v>94</v>
      </c>
      <c r="AP5" s="18" t="s">
        <v>93</v>
      </c>
      <c r="AQ5" s="19"/>
      <c r="AR5" s="19" t="s">
        <v>94</v>
      </c>
      <c r="AS5" s="18" t="s">
        <v>55</v>
      </c>
      <c r="AT5" s="19"/>
      <c r="AU5" s="19" t="s">
        <v>94</v>
      </c>
      <c r="AV5" s="18"/>
      <c r="AW5" s="19"/>
      <c r="AX5" s="19" t="s">
        <v>94</v>
      </c>
      <c r="AY5" s="18"/>
      <c r="AZ5" s="19"/>
      <c r="BA5" s="19" t="s">
        <v>94</v>
      </c>
      <c r="BB5" s="18"/>
      <c r="BC5" s="19"/>
      <c r="BD5" s="19" t="s">
        <v>94</v>
      </c>
      <c r="BE5" s="18"/>
      <c r="BF5" s="19"/>
      <c r="BG5" s="19" t="s">
        <v>94</v>
      </c>
      <c r="BH5" s="18"/>
      <c r="BI5" s="19"/>
      <c r="BJ5" s="19" t="s">
        <v>94</v>
      </c>
      <c r="BK5" s="18"/>
      <c r="BL5" s="19"/>
      <c r="BM5" s="19" t="s">
        <v>94</v>
      </c>
      <c r="BN5" s="18"/>
      <c r="BO5" s="19"/>
      <c r="BP5" s="19" t="s">
        <v>94</v>
      </c>
      <c r="BQ5" s="18"/>
      <c r="BR5" s="19"/>
      <c r="BS5" s="19" t="s">
        <v>94</v>
      </c>
      <c r="BT5" s="18"/>
      <c r="BU5" s="19"/>
      <c r="BV5" s="19" t="s">
        <v>94</v>
      </c>
      <c r="BW5" s="18"/>
      <c r="BX5" s="19"/>
      <c r="BY5" s="19" t="s">
        <v>94</v>
      </c>
      <c r="BZ5" s="18"/>
      <c r="CA5" s="19"/>
      <c r="CB5" s="19" t="s">
        <v>94</v>
      </c>
      <c r="CC5" s="18"/>
      <c r="CD5" s="19"/>
      <c r="CE5" s="19" t="s">
        <v>94</v>
      </c>
      <c r="CF5" s="18"/>
      <c r="CG5" s="19"/>
      <c r="CH5" s="19" t="s">
        <v>94</v>
      </c>
      <c r="CI5" s="18"/>
      <c r="CJ5" s="19"/>
      <c r="CK5" s="19" t="s">
        <v>94</v>
      </c>
      <c r="CL5" s="18"/>
      <c r="CM5" s="19"/>
      <c r="CN5" s="19" t="s">
        <v>94</v>
      </c>
      <c r="CO5" s="18"/>
      <c r="CP5" s="19"/>
      <c r="CQ5" s="19" t="s">
        <v>94</v>
      </c>
      <c r="CR5" s="18"/>
      <c r="CS5" s="19"/>
      <c r="CT5" s="19" t="s">
        <v>94</v>
      </c>
      <c r="CU5" s="18"/>
      <c r="CV5" s="19"/>
      <c r="CW5" s="19" t="s">
        <v>94</v>
      </c>
      <c r="CX5" s="18"/>
      <c r="CY5" s="19"/>
      <c r="CZ5" s="19" t="s">
        <v>94</v>
      </c>
      <c r="DA5" s="18"/>
      <c r="DB5" s="19"/>
      <c r="DC5" s="19" t="s">
        <v>94</v>
      </c>
      <c r="DD5" s="18"/>
      <c r="DE5" s="19"/>
      <c r="DF5" s="19" t="s">
        <v>94</v>
      </c>
      <c r="DG5" s="18"/>
      <c r="DH5" s="19"/>
      <c r="DI5" s="19" t="s">
        <v>94</v>
      </c>
      <c r="DJ5" s="18"/>
      <c r="DK5" s="19"/>
      <c r="DL5" s="19" t="s">
        <v>94</v>
      </c>
      <c r="DM5" s="18"/>
      <c r="DN5" s="19"/>
      <c r="DO5" s="19" t="s">
        <v>94</v>
      </c>
      <c r="DP5" s="18"/>
      <c r="DQ5" s="19"/>
      <c r="DR5" s="19" t="s">
        <v>94</v>
      </c>
      <c r="DS5" s="54" t="s">
        <v>0</v>
      </c>
      <c r="DT5" s="54" t="s">
        <v>95</v>
      </c>
      <c r="DU5" s="54" t="s">
        <v>94</v>
      </c>
      <c r="DV5" s="19" t="s">
        <v>94</v>
      </c>
      <c r="DW5" s="19"/>
      <c r="DX5" s="19" t="s">
        <v>96</v>
      </c>
      <c r="DY5" s="19" t="s">
        <v>97</v>
      </c>
      <c r="DZ5" s="19" t="s">
        <v>98</v>
      </c>
      <c r="EA5" s="19" t="s">
        <v>98</v>
      </c>
      <c r="EB5" s="19"/>
      <c r="EC5" s="19" t="s">
        <v>98</v>
      </c>
      <c r="ED5" s="19" t="s">
        <v>98</v>
      </c>
      <c r="EE5" s="19"/>
      <c r="EF5" s="19"/>
      <c r="EG5" s="19"/>
      <c r="EH5" s="19"/>
      <c r="EI5" s="19"/>
      <c r="EJ5" s="19"/>
      <c r="EK5" s="19"/>
      <c r="EL5" s="65"/>
      <c r="EM5" s="65"/>
      <c r="EN5" s="65"/>
      <c r="EO5" s="65"/>
      <c r="EP5" s="65"/>
      <c r="EQ5" s="65"/>
      <c r="ER5" s="65"/>
      <c r="ES5" s="65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7"/>
      <c r="FQ5" s="67"/>
      <c r="FR5" s="67"/>
      <c r="FS5" s="67"/>
      <c r="FT5" s="67"/>
      <c r="FU5" s="67"/>
      <c r="FV5" s="67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2.75" hidden="false" customHeight="false" outlineLevel="0" collapsed="false">
      <c r="A6" s="69" t="n">
        <f aca="false">+BaseloadMarkets!A6</f>
        <v>36678</v>
      </c>
      <c r="B6" s="69" t="str">
        <f aca="false">+BaseloadMarkets!B6</f>
        <v>Thu</v>
      </c>
      <c r="C6" s="21" t="n">
        <v>5000</v>
      </c>
      <c r="D6" s="22" t="n">
        <v>5000</v>
      </c>
      <c r="E6" s="70" t="n">
        <f aca="false">D6-C6</f>
        <v>0</v>
      </c>
      <c r="F6" s="21" t="n">
        <v>5000</v>
      </c>
      <c r="G6" s="22" t="n">
        <v>3147</v>
      </c>
      <c r="H6" s="70" t="n">
        <f aca="false">G6-F6</f>
        <v>-1853</v>
      </c>
      <c r="I6" s="21" t="n">
        <v>5000</v>
      </c>
      <c r="J6" s="22" t="n">
        <v>3148</v>
      </c>
      <c r="K6" s="70" t="n">
        <f aca="false">J6-I6</f>
        <v>-1852</v>
      </c>
      <c r="L6" s="21" t="n">
        <v>10000</v>
      </c>
      <c r="M6" s="22" t="n">
        <v>10000</v>
      </c>
      <c r="N6" s="70" t="n">
        <f aca="false">M6-L6</f>
        <v>0</v>
      </c>
      <c r="O6" s="21" t="n">
        <v>5000</v>
      </c>
      <c r="P6" s="22" t="n">
        <v>5000</v>
      </c>
      <c r="Q6" s="70" t="n">
        <f aca="false">P6-O6</f>
        <v>0</v>
      </c>
      <c r="R6" s="21" t="n">
        <v>5000</v>
      </c>
      <c r="S6" s="22" t="n">
        <v>5000</v>
      </c>
      <c r="T6" s="70" t="n">
        <f aca="false">S6-R6</f>
        <v>0</v>
      </c>
      <c r="U6" s="21" t="n">
        <v>10000</v>
      </c>
      <c r="V6" s="22" t="n">
        <v>6312</v>
      </c>
      <c r="W6" s="70" t="n">
        <f aca="false">V6-U6</f>
        <v>-3688</v>
      </c>
      <c r="X6" s="21" t="n">
        <f aca="false">5000+5000+5000+5000</f>
        <v>20000</v>
      </c>
      <c r="Y6" s="21" t="n">
        <f aca="false">5000+5000+5000+5000</f>
        <v>20000</v>
      </c>
      <c r="Z6" s="70" t="n">
        <f aca="false">Y6-X6</f>
        <v>0</v>
      </c>
      <c r="AA6" s="21" t="n">
        <v>5000</v>
      </c>
      <c r="AB6" s="22" t="n">
        <v>3157</v>
      </c>
      <c r="AC6" s="70" t="n">
        <f aca="false">AB6-AA6</f>
        <v>-1843</v>
      </c>
      <c r="AD6" s="21" t="n">
        <f aca="false">5000+5000+5000</f>
        <v>15000</v>
      </c>
      <c r="AE6" s="21" t="n">
        <f aca="false">3157+3157+3157</f>
        <v>9471</v>
      </c>
      <c r="AF6" s="70" t="n">
        <f aca="false">AE6-AD6</f>
        <v>-5529</v>
      </c>
      <c r="AG6" s="21" t="n">
        <v>5000</v>
      </c>
      <c r="AH6" s="22" t="n">
        <v>5000</v>
      </c>
      <c r="AI6" s="70" t="n">
        <f aca="false">AH6-AG6</f>
        <v>0</v>
      </c>
      <c r="AJ6" s="21" t="n">
        <f aca="false">5000+5000</f>
        <v>10000</v>
      </c>
      <c r="AK6" s="21" t="n">
        <f aca="false">5000+5000</f>
        <v>10000</v>
      </c>
      <c r="AL6" s="70" t="n">
        <f aca="false">AK6-AJ6</f>
        <v>0</v>
      </c>
      <c r="AM6" s="21" t="n">
        <v>10000</v>
      </c>
      <c r="AN6" s="22" t="n">
        <v>10000</v>
      </c>
      <c r="AO6" s="70" t="n">
        <f aca="false">AN6-AM6</f>
        <v>0</v>
      </c>
      <c r="AP6" s="21" t="n">
        <f aca="false">10000+5000</f>
        <v>15000</v>
      </c>
      <c r="AQ6" s="21" t="n">
        <f aca="false">10000+5000</f>
        <v>15000</v>
      </c>
      <c r="AR6" s="70" t="n">
        <f aca="false">AQ6-AP6</f>
        <v>0</v>
      </c>
      <c r="AS6" s="21" t="n">
        <v>10000</v>
      </c>
      <c r="AT6" s="22" t="n">
        <v>10000</v>
      </c>
      <c r="AU6" s="70" t="n">
        <f aca="false">AT6-AS6</f>
        <v>0</v>
      </c>
      <c r="AV6" s="21" t="n">
        <f aca="false">410000-125000</f>
        <v>285000</v>
      </c>
      <c r="AW6" s="22" t="n">
        <v>271672</v>
      </c>
      <c r="AX6" s="70" t="n">
        <f aca="false">AW6-AV6</f>
        <v>-13328</v>
      </c>
      <c r="AY6" s="21"/>
      <c r="AZ6" s="22"/>
      <c r="BA6" s="70" t="n">
        <f aca="false">AZ6-AY6</f>
        <v>0</v>
      </c>
      <c r="BB6" s="21"/>
      <c r="BC6" s="22"/>
      <c r="BD6" s="70" t="n">
        <f aca="false">BC6-BB6</f>
        <v>0</v>
      </c>
      <c r="BE6" s="21"/>
      <c r="BF6" s="22"/>
      <c r="BG6" s="70" t="n">
        <f aca="false">BF6-BE6</f>
        <v>0</v>
      </c>
      <c r="BH6" s="21"/>
      <c r="BI6" s="22"/>
      <c r="BJ6" s="70" t="n">
        <f aca="false">BI6-BH6</f>
        <v>0</v>
      </c>
      <c r="BK6" s="21"/>
      <c r="BL6" s="22"/>
      <c r="BM6" s="70" t="n">
        <f aca="false">BL6-BK6</f>
        <v>0</v>
      </c>
      <c r="BN6" s="21"/>
      <c r="BO6" s="22"/>
      <c r="BP6" s="70" t="n">
        <f aca="false">BO6-BN6</f>
        <v>0</v>
      </c>
      <c r="BQ6" s="21"/>
      <c r="BR6" s="22"/>
      <c r="BS6" s="70" t="n">
        <f aca="false">BR6-BQ6</f>
        <v>0</v>
      </c>
      <c r="BT6" s="21"/>
      <c r="BU6" s="22"/>
      <c r="BV6" s="70" t="n">
        <f aca="false">BU6-BT6</f>
        <v>0</v>
      </c>
      <c r="BW6" s="21"/>
      <c r="BX6" s="22"/>
      <c r="BY6" s="70" t="n">
        <f aca="false">BX6-BW6</f>
        <v>0</v>
      </c>
      <c r="BZ6" s="21"/>
      <c r="CA6" s="22"/>
      <c r="CB6" s="70" t="n">
        <f aca="false">CA6-BZ6</f>
        <v>0</v>
      </c>
      <c r="CC6" s="21"/>
      <c r="CD6" s="22"/>
      <c r="CE6" s="70" t="n">
        <f aca="false">CD6-CC6</f>
        <v>0</v>
      </c>
      <c r="CF6" s="21"/>
      <c r="CG6" s="22"/>
      <c r="CH6" s="70" t="n">
        <f aca="false">CG6-CF6</f>
        <v>0</v>
      </c>
      <c r="CI6" s="21"/>
      <c r="CJ6" s="22"/>
      <c r="CK6" s="70" t="n">
        <f aca="false">CJ6-CI6</f>
        <v>0</v>
      </c>
      <c r="CL6" s="21"/>
      <c r="CM6" s="22"/>
      <c r="CN6" s="70" t="n">
        <f aca="false">CM6-CL6</f>
        <v>0</v>
      </c>
      <c r="CO6" s="21"/>
      <c r="CP6" s="22"/>
      <c r="CQ6" s="70" t="n">
        <f aca="false">CP6-CO6</f>
        <v>0</v>
      </c>
      <c r="CR6" s="21"/>
      <c r="CS6" s="22"/>
      <c r="CT6" s="70" t="n">
        <f aca="false">CS6-CR6</f>
        <v>0</v>
      </c>
      <c r="CU6" s="21"/>
      <c r="CV6" s="22"/>
      <c r="CW6" s="70" t="n">
        <f aca="false">CV6-CU6</f>
        <v>0</v>
      </c>
      <c r="CX6" s="21"/>
      <c r="CY6" s="22"/>
      <c r="CZ6" s="70" t="n">
        <f aca="false">CY6-CX6</f>
        <v>0</v>
      </c>
      <c r="DA6" s="21"/>
      <c r="DB6" s="22"/>
      <c r="DC6" s="70" t="n">
        <f aca="false">DB6-DA6</f>
        <v>0</v>
      </c>
      <c r="DD6" s="21"/>
      <c r="DE6" s="22"/>
      <c r="DF6" s="70" t="n">
        <f aca="false">DE6-DD6</f>
        <v>0</v>
      </c>
      <c r="DG6" s="21"/>
      <c r="DH6" s="22"/>
      <c r="DI6" s="70" t="n">
        <f aca="false">DH6-DG6</f>
        <v>0</v>
      </c>
      <c r="DJ6" s="21"/>
      <c r="DK6" s="22"/>
      <c r="DL6" s="70" t="n">
        <f aca="false">DK6-DJ6</f>
        <v>0</v>
      </c>
      <c r="DM6" s="21"/>
      <c r="DN6" s="22"/>
      <c r="DO6" s="70" t="n">
        <f aca="false">DN6-DM6</f>
        <v>0</v>
      </c>
      <c r="DP6" s="21"/>
      <c r="DQ6" s="22"/>
      <c r="DR6" s="70" t="n">
        <f aca="false">DQ6-DP6</f>
        <v>0</v>
      </c>
      <c r="DS6" s="70" t="n">
        <f aca="false">+C6+F6+I6+L6+O6+R6+U6+X6+AA6+AD6+AG6+AJ6+AM6+AP6+AS6+AV6+AY6+BB6+BE6+BH6+BK6+BN6+BQ6+BT6+BW6+BZ6+CC6+CF6+CI6+CL6+CO6+CR6+CU6+CX6+DA6+DD6+DG6+DJ6+DM6+DP6</f>
        <v>420000</v>
      </c>
      <c r="DT6" s="70" t="n">
        <f aca="false">+D6+G6+J6+M6+P6+S6+V6+Y6+AB6+AE6+AH6+AK6+AN6+AQ6+AT6+AW6+AZ6+BC6+BF6+BI6+BL6+BO6+BR6+BU6+BX6+CA6+CD6+CG6+CJ6+CM6+CP6+CS6+CV6+CY6+DB6+DE6+DH6+DK6+DN6+DQ6</f>
        <v>391907</v>
      </c>
      <c r="DU6" s="70" t="n">
        <f aca="false">DT6-DS6</f>
        <v>-28093</v>
      </c>
      <c r="DV6" s="22" t="n">
        <f aca="false">+DU6</f>
        <v>-28093</v>
      </c>
      <c r="DW6" s="22"/>
      <c r="DX6" s="70" t="n">
        <f aca="false">+DS6-AV6</f>
        <v>135000</v>
      </c>
      <c r="DY6" s="70" t="n">
        <f aca="false">+DT6-AW6</f>
        <v>120235</v>
      </c>
      <c r="DZ6" s="22" t="n">
        <f aca="false">+DY6-DX6</f>
        <v>-14765</v>
      </c>
      <c r="EA6" s="22" t="n">
        <f aca="false">+DZ6</f>
        <v>-14765</v>
      </c>
      <c r="EB6" s="22"/>
      <c r="EC6" s="22" t="n">
        <f aca="false">+AX6</f>
        <v>-13328</v>
      </c>
      <c r="ED6" s="22" t="n">
        <f aca="false">+EC6</f>
        <v>-13328</v>
      </c>
      <c r="EE6" s="22"/>
      <c r="EF6" s="22"/>
      <c r="EG6" s="22"/>
      <c r="EH6" s="22"/>
      <c r="EI6" s="22"/>
      <c r="EJ6" s="22"/>
      <c r="EK6" s="22"/>
      <c r="EL6" s="38"/>
      <c r="EM6" s="38"/>
      <c r="EN6" s="38"/>
      <c r="EO6" s="38"/>
      <c r="EP6" s="38"/>
      <c r="EQ6" s="38"/>
      <c r="ER6" s="38"/>
      <c r="ES6" s="38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2"/>
      <c r="FQ6" s="72"/>
      <c r="FR6" s="72"/>
      <c r="FS6" s="72"/>
      <c r="FT6" s="72"/>
      <c r="FU6" s="72"/>
      <c r="FV6" s="72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2.75" hidden="false" customHeight="false" outlineLevel="0" collapsed="false">
      <c r="A7" s="69" t="n">
        <f aca="false">+BaseloadMarkets!A7</f>
        <v>36679</v>
      </c>
      <c r="B7" s="69" t="str">
        <f aca="false">+BaseloadMarkets!B7</f>
        <v>Fri</v>
      </c>
      <c r="C7" s="21" t="n">
        <v>5000</v>
      </c>
      <c r="D7" s="22" t="n">
        <v>5000</v>
      </c>
      <c r="E7" s="70" t="n">
        <f aca="false">D7-C7</f>
        <v>0</v>
      </c>
      <c r="F7" s="21" t="n">
        <v>5000</v>
      </c>
      <c r="G7" s="22" t="n">
        <v>5000</v>
      </c>
      <c r="H7" s="70" t="n">
        <f aca="false">G7-F7</f>
        <v>0</v>
      </c>
      <c r="I7" s="21" t="n">
        <v>5000</v>
      </c>
      <c r="J7" s="22" t="n">
        <v>5000</v>
      </c>
      <c r="K7" s="70" t="n">
        <f aca="false">J7-I7</f>
        <v>0</v>
      </c>
      <c r="L7" s="21" t="n">
        <v>10000</v>
      </c>
      <c r="M7" s="22" t="n">
        <v>10000</v>
      </c>
      <c r="N7" s="70" t="n">
        <f aca="false">M7-L7</f>
        <v>0</v>
      </c>
      <c r="O7" s="21" t="n">
        <v>5000</v>
      </c>
      <c r="P7" s="22" t="n">
        <v>5000</v>
      </c>
      <c r="Q7" s="70" t="n">
        <f aca="false">P7-O7</f>
        <v>0</v>
      </c>
      <c r="R7" s="21" t="n">
        <v>5000</v>
      </c>
      <c r="S7" s="22" t="n">
        <v>5000</v>
      </c>
      <c r="T7" s="70" t="n">
        <f aca="false">S7-R7</f>
        <v>0</v>
      </c>
      <c r="U7" s="21" t="n">
        <v>10000</v>
      </c>
      <c r="V7" s="22" t="n">
        <v>10000</v>
      </c>
      <c r="W7" s="70" t="n">
        <f aca="false">V7-U7</f>
        <v>0</v>
      </c>
      <c r="X7" s="21" t="n">
        <f aca="false">5000+5000+5000+5000</f>
        <v>20000</v>
      </c>
      <c r="Y7" s="21" t="n">
        <f aca="false">5000+5000+5000+5000</f>
        <v>20000</v>
      </c>
      <c r="Z7" s="70" t="n">
        <f aca="false">Y7-X7</f>
        <v>0</v>
      </c>
      <c r="AA7" s="21" t="n">
        <v>5000</v>
      </c>
      <c r="AB7" s="22" t="n">
        <v>5000</v>
      </c>
      <c r="AC7" s="70" t="n">
        <f aca="false">AB7-AA7</f>
        <v>0</v>
      </c>
      <c r="AD7" s="21" t="n">
        <f aca="false">5000+5000+5000</f>
        <v>15000</v>
      </c>
      <c r="AE7" s="21" t="n">
        <f aca="false">5000+2941+3233</f>
        <v>11174</v>
      </c>
      <c r="AF7" s="70" t="n">
        <f aca="false">AE7-AD7</f>
        <v>-3826</v>
      </c>
      <c r="AG7" s="21" t="n">
        <v>5000</v>
      </c>
      <c r="AH7" s="22" t="n">
        <v>2942</v>
      </c>
      <c r="AI7" s="70" t="n">
        <f aca="false">AH7-AG7</f>
        <v>-2058</v>
      </c>
      <c r="AJ7" s="21" t="n">
        <f aca="false">5000+5000</f>
        <v>10000</v>
      </c>
      <c r="AK7" s="21" t="n">
        <f aca="false">5000+5000</f>
        <v>10000</v>
      </c>
      <c r="AL7" s="70" t="n">
        <f aca="false">AK7-AJ7</f>
        <v>0</v>
      </c>
      <c r="AM7" s="21" t="n">
        <v>10000</v>
      </c>
      <c r="AN7" s="22" t="n">
        <v>10000</v>
      </c>
      <c r="AO7" s="70" t="n">
        <f aca="false">AN7-AM7</f>
        <v>0</v>
      </c>
      <c r="AP7" s="21" t="n">
        <f aca="false">10000+5000</f>
        <v>15000</v>
      </c>
      <c r="AQ7" s="21" t="n">
        <f aca="false">10000+5000</f>
        <v>15000</v>
      </c>
      <c r="AR7" s="70" t="n">
        <f aca="false">AQ7-AP7</f>
        <v>0</v>
      </c>
      <c r="AS7" s="21"/>
      <c r="AT7" s="22"/>
      <c r="AU7" s="70" t="n">
        <f aca="false">AT7-AS7</f>
        <v>0</v>
      </c>
      <c r="AV7" s="21" t="n">
        <f aca="false">170000+90000</f>
        <v>260000</v>
      </c>
      <c r="AW7" s="22" t="n">
        <v>260000</v>
      </c>
      <c r="AX7" s="70" t="n">
        <f aca="false">AW7-AV7</f>
        <v>0</v>
      </c>
      <c r="AY7" s="21"/>
      <c r="AZ7" s="22"/>
      <c r="BA7" s="70" t="n">
        <f aca="false">AZ7-AY7</f>
        <v>0</v>
      </c>
      <c r="BB7" s="21"/>
      <c r="BC7" s="22"/>
      <c r="BD7" s="70" t="n">
        <f aca="false">BC7-BB7</f>
        <v>0</v>
      </c>
      <c r="BE7" s="21"/>
      <c r="BF7" s="22"/>
      <c r="BG7" s="70" t="n">
        <f aca="false">BF7-BE7</f>
        <v>0</v>
      </c>
      <c r="BH7" s="21"/>
      <c r="BI7" s="22"/>
      <c r="BJ7" s="70" t="n">
        <f aca="false">BI7-BH7</f>
        <v>0</v>
      </c>
      <c r="BK7" s="21"/>
      <c r="BL7" s="22"/>
      <c r="BM7" s="70" t="n">
        <f aca="false">BL7-BK7</f>
        <v>0</v>
      </c>
      <c r="BN7" s="21"/>
      <c r="BO7" s="22"/>
      <c r="BP7" s="70" t="n">
        <f aca="false">BO7-BN7</f>
        <v>0</v>
      </c>
      <c r="BQ7" s="21"/>
      <c r="BR7" s="22"/>
      <c r="BS7" s="70" t="n">
        <f aca="false">BR7-BQ7</f>
        <v>0</v>
      </c>
      <c r="BT7" s="21"/>
      <c r="BU7" s="22"/>
      <c r="BV7" s="70" t="n">
        <f aca="false">BU7-BT7</f>
        <v>0</v>
      </c>
      <c r="BW7" s="21"/>
      <c r="BX7" s="22"/>
      <c r="BY7" s="70" t="n">
        <f aca="false">BX7-BW7</f>
        <v>0</v>
      </c>
      <c r="BZ7" s="21"/>
      <c r="CA7" s="22"/>
      <c r="CB7" s="70" t="n">
        <f aca="false">CA7-BZ7</f>
        <v>0</v>
      </c>
      <c r="CC7" s="21"/>
      <c r="CD7" s="22"/>
      <c r="CE7" s="70" t="n">
        <f aca="false">CD7-CC7</f>
        <v>0</v>
      </c>
      <c r="CF7" s="21"/>
      <c r="CG7" s="22"/>
      <c r="CH7" s="70" t="n">
        <f aca="false">CG7-CF7</f>
        <v>0</v>
      </c>
      <c r="CI7" s="21"/>
      <c r="CJ7" s="22"/>
      <c r="CK7" s="70" t="n">
        <f aca="false">CJ7-CI7</f>
        <v>0</v>
      </c>
      <c r="CL7" s="21"/>
      <c r="CM7" s="22"/>
      <c r="CN7" s="70" t="n">
        <f aca="false">CM7-CL7</f>
        <v>0</v>
      </c>
      <c r="CO7" s="21"/>
      <c r="CP7" s="22"/>
      <c r="CQ7" s="70" t="n">
        <f aca="false">CP7-CO7</f>
        <v>0</v>
      </c>
      <c r="CR7" s="21"/>
      <c r="CS7" s="22"/>
      <c r="CT7" s="70" t="n">
        <f aca="false">CS7-CR7</f>
        <v>0</v>
      </c>
      <c r="CU7" s="21"/>
      <c r="CV7" s="22"/>
      <c r="CW7" s="70" t="n">
        <f aca="false">CV7-CU7</f>
        <v>0</v>
      </c>
      <c r="CX7" s="21"/>
      <c r="CY7" s="22"/>
      <c r="CZ7" s="70" t="n">
        <f aca="false">CY7-CX7</f>
        <v>0</v>
      </c>
      <c r="DA7" s="21"/>
      <c r="DB7" s="22"/>
      <c r="DC7" s="70" t="n">
        <f aca="false">DB7-DA7</f>
        <v>0</v>
      </c>
      <c r="DD7" s="21"/>
      <c r="DE7" s="22"/>
      <c r="DF7" s="70" t="n">
        <f aca="false">DE7-DD7</f>
        <v>0</v>
      </c>
      <c r="DG7" s="21"/>
      <c r="DH7" s="22"/>
      <c r="DI7" s="70" t="n">
        <f aca="false">DH7-DG7</f>
        <v>0</v>
      </c>
      <c r="DJ7" s="21"/>
      <c r="DK7" s="22"/>
      <c r="DL7" s="70" t="n">
        <f aca="false">DK7-DJ7</f>
        <v>0</v>
      </c>
      <c r="DM7" s="21"/>
      <c r="DN7" s="22"/>
      <c r="DO7" s="70" t="n">
        <f aca="false">DN7-DM7</f>
        <v>0</v>
      </c>
      <c r="DP7" s="21"/>
      <c r="DQ7" s="22"/>
      <c r="DR7" s="70" t="n">
        <f aca="false">DQ7-DP7</f>
        <v>0</v>
      </c>
      <c r="DS7" s="70" t="n">
        <f aca="false">+C7+F7+I7+L7+O7+R7+U7+X7+AA7+AD7+AG7+AJ7+AM7+AP7+AS7+AV7+AY7+BB7+BE7+BH7+BK7+BN7+BQ7+BT7+BW7+BZ7+CC7+CF7+CI7+CL7+CO7+CR7+CU7+CX7+DA7+DD7+DG7+DJ7+DM7+DP7</f>
        <v>385000</v>
      </c>
      <c r="DT7" s="70" t="n">
        <f aca="false">+D7+G7+J7+M7+P7+S7+V7+Y7+AB7+AE7+AH7+AK7+AN7+AQ7+AT7+AW7+AZ7+BC7+BF7+BI7+BL7+BO7+BR7+BU7+BX7+CA7+CD7+CG7+CJ7+CM7+CP7+CS7+CV7+CY7+DB7+DE7+DH7+DK7+DN7+DQ7</f>
        <v>379116</v>
      </c>
      <c r="DU7" s="70" t="n">
        <f aca="false">DT7-DS7</f>
        <v>-5884</v>
      </c>
      <c r="DV7" s="22" t="n">
        <f aca="false">+DV6+DU7</f>
        <v>-33977</v>
      </c>
      <c r="DW7" s="22"/>
      <c r="DX7" s="70" t="n">
        <f aca="false">+DS7-AV7</f>
        <v>125000</v>
      </c>
      <c r="DY7" s="70" t="n">
        <f aca="false">+DT7-AW7</f>
        <v>119116</v>
      </c>
      <c r="DZ7" s="22" t="n">
        <f aca="false">+DY7-DX7</f>
        <v>-5884</v>
      </c>
      <c r="EA7" s="22" t="n">
        <f aca="false">+EA6+DZ7</f>
        <v>-20649</v>
      </c>
      <c r="EB7" s="22"/>
      <c r="EC7" s="22" t="n">
        <f aca="false">+AX7</f>
        <v>0</v>
      </c>
      <c r="ED7" s="22" t="n">
        <f aca="false">+EC7</f>
        <v>0</v>
      </c>
      <c r="EE7" s="22"/>
      <c r="EF7" s="22"/>
      <c r="EG7" s="22"/>
      <c r="EH7" s="22"/>
      <c r="EI7" s="22"/>
      <c r="EJ7" s="22"/>
      <c r="EK7" s="22"/>
      <c r="EL7" s="38"/>
      <c r="EM7" s="38"/>
      <c r="EN7" s="38"/>
      <c r="EO7" s="38"/>
      <c r="EP7" s="38"/>
      <c r="EQ7" s="38"/>
      <c r="ER7" s="38"/>
      <c r="ES7" s="38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2"/>
      <c r="FQ7" s="72"/>
      <c r="FR7" s="72"/>
      <c r="FS7" s="72"/>
      <c r="FT7" s="72"/>
      <c r="FU7" s="72"/>
      <c r="FV7" s="72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2.75" hidden="false" customHeight="false" outlineLevel="0" collapsed="false">
      <c r="A8" s="69" t="n">
        <f aca="false">+BaseloadMarkets!A8</f>
        <v>36680</v>
      </c>
      <c r="B8" s="69" t="str">
        <f aca="false">+BaseloadMarkets!B8</f>
        <v>Sat</v>
      </c>
      <c r="C8" s="21" t="n">
        <v>5000</v>
      </c>
      <c r="D8" s="22" t="n">
        <v>5000</v>
      </c>
      <c r="E8" s="70" t="n">
        <f aca="false">D8-C8</f>
        <v>0</v>
      </c>
      <c r="F8" s="21" t="n">
        <v>5000</v>
      </c>
      <c r="G8" s="22" t="n">
        <v>5000</v>
      </c>
      <c r="H8" s="70" t="n">
        <f aca="false">G8-F8</f>
        <v>0</v>
      </c>
      <c r="I8" s="21" t="n">
        <v>5000</v>
      </c>
      <c r="J8" s="22" t="n">
        <v>5000</v>
      </c>
      <c r="K8" s="70" t="n">
        <f aca="false">J8-I8</f>
        <v>0</v>
      </c>
      <c r="L8" s="21" t="n">
        <v>10000</v>
      </c>
      <c r="M8" s="22" t="n">
        <v>10000</v>
      </c>
      <c r="N8" s="70" t="n">
        <f aca="false">M8-L8</f>
        <v>0</v>
      </c>
      <c r="O8" s="21" t="n">
        <v>5000</v>
      </c>
      <c r="P8" s="22" t="n">
        <v>5000</v>
      </c>
      <c r="Q8" s="70" t="n">
        <f aca="false">P8-O8</f>
        <v>0</v>
      </c>
      <c r="R8" s="21" t="n">
        <v>5000</v>
      </c>
      <c r="S8" s="22" t="n">
        <v>5000</v>
      </c>
      <c r="T8" s="70" t="n">
        <f aca="false">S8-R8</f>
        <v>0</v>
      </c>
      <c r="U8" s="21" t="n">
        <v>10000</v>
      </c>
      <c r="V8" s="22" t="n">
        <v>10000</v>
      </c>
      <c r="W8" s="70" t="n">
        <f aca="false">V8-U8</f>
        <v>0</v>
      </c>
      <c r="X8" s="21" t="n">
        <f aca="false">5000+5000+5000+5000</f>
        <v>20000</v>
      </c>
      <c r="Y8" s="21" t="n">
        <f aca="false">5000+5000+5000+5000</f>
        <v>20000</v>
      </c>
      <c r="Z8" s="70" t="n">
        <f aca="false">Y8-X8</f>
        <v>0</v>
      </c>
      <c r="AA8" s="21" t="n">
        <v>5000</v>
      </c>
      <c r="AB8" s="22" t="n">
        <v>5000</v>
      </c>
      <c r="AC8" s="70" t="n">
        <f aca="false">AB8-AA8</f>
        <v>0</v>
      </c>
      <c r="AD8" s="21" t="n">
        <f aca="false">5000+5000+5000</f>
        <v>15000</v>
      </c>
      <c r="AE8" s="21" t="n">
        <f aca="false">5000+5000+5000</f>
        <v>15000</v>
      </c>
      <c r="AF8" s="70" t="n">
        <f aca="false">AE8-AD8</f>
        <v>0</v>
      </c>
      <c r="AG8" s="21" t="n">
        <v>5000</v>
      </c>
      <c r="AH8" s="22" t="n">
        <v>5000</v>
      </c>
      <c r="AI8" s="70" t="n">
        <f aca="false">AH8-AG8</f>
        <v>0</v>
      </c>
      <c r="AJ8" s="21" t="n">
        <f aca="false">5000+5000</f>
        <v>10000</v>
      </c>
      <c r="AK8" s="21" t="n">
        <f aca="false">5000+5000</f>
        <v>10000</v>
      </c>
      <c r="AL8" s="70" t="n">
        <f aca="false">AK8-AJ8</f>
        <v>0</v>
      </c>
      <c r="AM8" s="21" t="n">
        <v>10000</v>
      </c>
      <c r="AN8" s="22" t="n">
        <v>10000</v>
      </c>
      <c r="AO8" s="70" t="n">
        <f aca="false">AN8-AM8</f>
        <v>0</v>
      </c>
      <c r="AP8" s="21" t="n">
        <f aca="false">10000+5000</f>
        <v>15000</v>
      </c>
      <c r="AQ8" s="21" t="n">
        <f aca="false">10000+5000</f>
        <v>15000</v>
      </c>
      <c r="AR8" s="70" t="n">
        <f aca="false">AQ8-AP8</f>
        <v>0</v>
      </c>
      <c r="AS8" s="21"/>
      <c r="AT8" s="22"/>
      <c r="AU8" s="70" t="n">
        <f aca="false">AT8-AS8</f>
        <v>0</v>
      </c>
      <c r="AV8" s="21" t="n">
        <v>45000</v>
      </c>
      <c r="AW8" s="22" t="n">
        <v>45000</v>
      </c>
      <c r="AX8" s="70" t="n">
        <f aca="false">AW8-AV8</f>
        <v>0</v>
      </c>
      <c r="AY8" s="21"/>
      <c r="AZ8" s="22"/>
      <c r="BA8" s="70" t="n">
        <f aca="false">AZ8-AY8</f>
        <v>0</v>
      </c>
      <c r="BB8" s="21"/>
      <c r="BC8" s="22"/>
      <c r="BD8" s="70" t="n">
        <f aca="false">BC8-BB8</f>
        <v>0</v>
      </c>
      <c r="BE8" s="21"/>
      <c r="BF8" s="22"/>
      <c r="BG8" s="70" t="n">
        <f aca="false">BF8-BE8</f>
        <v>0</v>
      </c>
      <c r="BH8" s="21"/>
      <c r="BI8" s="22"/>
      <c r="BJ8" s="70" t="n">
        <f aca="false">BI8-BH8</f>
        <v>0</v>
      </c>
      <c r="BK8" s="21"/>
      <c r="BL8" s="22"/>
      <c r="BM8" s="70" t="n">
        <f aca="false">BL8-BK8</f>
        <v>0</v>
      </c>
      <c r="BN8" s="21"/>
      <c r="BO8" s="22"/>
      <c r="BP8" s="70" t="n">
        <f aca="false">BO8-BN8</f>
        <v>0</v>
      </c>
      <c r="BQ8" s="21"/>
      <c r="BR8" s="22"/>
      <c r="BS8" s="70" t="n">
        <f aca="false">BR8-BQ8</f>
        <v>0</v>
      </c>
      <c r="BT8" s="21"/>
      <c r="BU8" s="22"/>
      <c r="BV8" s="70" t="n">
        <f aca="false">BU8-BT8</f>
        <v>0</v>
      </c>
      <c r="BW8" s="21"/>
      <c r="BX8" s="22"/>
      <c r="BY8" s="70" t="n">
        <f aca="false">BX8-BW8</f>
        <v>0</v>
      </c>
      <c r="BZ8" s="21"/>
      <c r="CA8" s="22"/>
      <c r="CB8" s="70" t="n">
        <f aca="false">CA8-BZ8</f>
        <v>0</v>
      </c>
      <c r="CC8" s="21"/>
      <c r="CD8" s="22"/>
      <c r="CE8" s="70" t="n">
        <f aca="false">CD8-CC8</f>
        <v>0</v>
      </c>
      <c r="CF8" s="21"/>
      <c r="CG8" s="22"/>
      <c r="CH8" s="70" t="n">
        <f aca="false">CG8-CF8</f>
        <v>0</v>
      </c>
      <c r="CI8" s="21"/>
      <c r="CJ8" s="22"/>
      <c r="CK8" s="70" t="n">
        <f aca="false">CJ8-CI8</f>
        <v>0</v>
      </c>
      <c r="CL8" s="21"/>
      <c r="CM8" s="22"/>
      <c r="CN8" s="70" t="n">
        <f aca="false">CM8-CL8</f>
        <v>0</v>
      </c>
      <c r="CO8" s="21"/>
      <c r="CP8" s="22"/>
      <c r="CQ8" s="70" t="n">
        <f aca="false">CP8-CO8</f>
        <v>0</v>
      </c>
      <c r="CR8" s="21"/>
      <c r="CS8" s="22"/>
      <c r="CT8" s="70" t="n">
        <f aca="false">CS8-CR8</f>
        <v>0</v>
      </c>
      <c r="CU8" s="21"/>
      <c r="CV8" s="22"/>
      <c r="CW8" s="70" t="n">
        <f aca="false">CV8-CU8</f>
        <v>0</v>
      </c>
      <c r="CX8" s="21"/>
      <c r="CY8" s="22"/>
      <c r="CZ8" s="70" t="n">
        <f aca="false">CY8-CX8</f>
        <v>0</v>
      </c>
      <c r="DA8" s="21"/>
      <c r="DB8" s="22"/>
      <c r="DC8" s="70" t="n">
        <f aca="false">DB8-DA8</f>
        <v>0</v>
      </c>
      <c r="DD8" s="21"/>
      <c r="DE8" s="22"/>
      <c r="DF8" s="70" t="n">
        <f aca="false">DE8-DD8</f>
        <v>0</v>
      </c>
      <c r="DG8" s="21"/>
      <c r="DH8" s="22"/>
      <c r="DI8" s="70" t="n">
        <f aca="false">DH8-DG8</f>
        <v>0</v>
      </c>
      <c r="DJ8" s="21"/>
      <c r="DK8" s="22"/>
      <c r="DL8" s="70" t="n">
        <f aca="false">DK8-DJ8</f>
        <v>0</v>
      </c>
      <c r="DM8" s="21"/>
      <c r="DN8" s="22"/>
      <c r="DO8" s="70" t="n">
        <f aca="false">DN8-DM8</f>
        <v>0</v>
      </c>
      <c r="DP8" s="21"/>
      <c r="DQ8" s="22"/>
      <c r="DR8" s="70" t="n">
        <f aca="false">DQ8-DP8</f>
        <v>0</v>
      </c>
      <c r="DS8" s="70" t="n">
        <f aca="false">+C8+F8+I8+L8+O8+R8+U8+X8+AA8+AD8+AG8+AJ8+AM8+AP8+AS8+AV8+AY8+BB8+BE8+BH8+BK8+BN8+BQ8+BT8+BW8+BZ8+CC8+CF8+CI8+CL8+CO8+CR8+CU8+CX8+DA8+DD8+DG8+DJ8+DM8+DP8</f>
        <v>170000</v>
      </c>
      <c r="DT8" s="70" t="n">
        <f aca="false">+D8+G8+J8+M8+P8+S8+V8+Y8+AB8+AE8+AH8+AK8+AN8+AQ8+AT8+AW8+AZ8+BC8+BF8+BI8+BL8+BO8+BR8+BU8+BX8+CA8+CD8+CG8+CJ8+CM8+CP8+CS8+CV8+CY8+DB8+DE8+DH8+DK8+DN8+DQ8</f>
        <v>170000</v>
      </c>
      <c r="DU8" s="70" t="n">
        <f aca="false">DT8-DS8</f>
        <v>0</v>
      </c>
      <c r="DV8" s="22" t="n">
        <f aca="false">+DV7+DU8</f>
        <v>-33977</v>
      </c>
      <c r="DW8" s="74"/>
      <c r="DX8" s="70" t="n">
        <f aca="false">+DS8-AV8</f>
        <v>125000</v>
      </c>
      <c r="DY8" s="70" t="n">
        <f aca="false">+DT8-AW8</f>
        <v>125000</v>
      </c>
      <c r="DZ8" s="22" t="n">
        <f aca="false">+DY8-DX8</f>
        <v>0</v>
      </c>
      <c r="EA8" s="22" t="n">
        <f aca="false">+EA7+DZ8</f>
        <v>-20649</v>
      </c>
      <c r="EB8" s="74"/>
      <c r="EC8" s="22" t="n">
        <f aca="false">+AX8</f>
        <v>0</v>
      </c>
      <c r="ED8" s="22" t="n">
        <f aca="false">+EC8</f>
        <v>0</v>
      </c>
      <c r="EE8" s="74"/>
      <c r="EF8" s="74"/>
      <c r="EG8" s="74"/>
      <c r="EH8" s="74"/>
      <c r="EI8" s="74"/>
      <c r="EJ8" s="74"/>
      <c r="EK8" s="74"/>
    </row>
    <row r="9" customFormat="false" ht="12.75" hidden="false" customHeight="false" outlineLevel="0" collapsed="false">
      <c r="A9" s="69" t="n">
        <f aca="false">+BaseloadMarkets!A9</f>
        <v>36681</v>
      </c>
      <c r="B9" s="69" t="str">
        <f aca="false">+BaseloadMarkets!B9</f>
        <v>Sun</v>
      </c>
      <c r="C9" s="21" t="n">
        <v>5000</v>
      </c>
      <c r="D9" s="22" t="n">
        <v>5000</v>
      </c>
      <c r="E9" s="70" t="n">
        <f aca="false">D9-C9</f>
        <v>0</v>
      </c>
      <c r="F9" s="21" t="n">
        <v>5000</v>
      </c>
      <c r="G9" s="22" t="n">
        <v>5000</v>
      </c>
      <c r="H9" s="70" t="n">
        <f aca="false">G9-F9</f>
        <v>0</v>
      </c>
      <c r="I9" s="21" t="n">
        <v>5000</v>
      </c>
      <c r="J9" s="22" t="n">
        <v>5000</v>
      </c>
      <c r="K9" s="70" t="n">
        <f aca="false">J9-I9</f>
        <v>0</v>
      </c>
      <c r="L9" s="21" t="n">
        <v>10000</v>
      </c>
      <c r="M9" s="22" t="n">
        <v>10000</v>
      </c>
      <c r="N9" s="70" t="n">
        <f aca="false">M9-L9</f>
        <v>0</v>
      </c>
      <c r="O9" s="21" t="n">
        <v>5000</v>
      </c>
      <c r="P9" s="22" t="n">
        <v>5000</v>
      </c>
      <c r="Q9" s="70" t="n">
        <f aca="false">P9-O9</f>
        <v>0</v>
      </c>
      <c r="R9" s="21" t="n">
        <v>5000</v>
      </c>
      <c r="S9" s="22" t="n">
        <v>5000</v>
      </c>
      <c r="T9" s="70" t="n">
        <f aca="false">S9-R9</f>
        <v>0</v>
      </c>
      <c r="U9" s="21" t="n">
        <v>10000</v>
      </c>
      <c r="V9" s="22" t="n">
        <v>10000</v>
      </c>
      <c r="W9" s="70" t="n">
        <f aca="false">V9-U9</f>
        <v>0</v>
      </c>
      <c r="X9" s="21" t="n">
        <f aca="false">5000+5000+5000+5000</f>
        <v>20000</v>
      </c>
      <c r="Y9" s="21" t="n">
        <f aca="false">5000+5000+5000+5000</f>
        <v>20000</v>
      </c>
      <c r="Z9" s="70" t="n">
        <f aca="false">Y9-X9</f>
        <v>0</v>
      </c>
      <c r="AA9" s="21" t="n">
        <v>5000</v>
      </c>
      <c r="AB9" s="22" t="n">
        <v>5000</v>
      </c>
      <c r="AC9" s="70" t="n">
        <f aca="false">AB9-AA9</f>
        <v>0</v>
      </c>
      <c r="AD9" s="21" t="n">
        <f aca="false">5000+5000+5000</f>
        <v>15000</v>
      </c>
      <c r="AE9" s="21" t="n">
        <f aca="false">5000+5000+5000</f>
        <v>15000</v>
      </c>
      <c r="AF9" s="70" t="n">
        <f aca="false">AE9-AD9</f>
        <v>0</v>
      </c>
      <c r="AG9" s="21" t="n">
        <v>5000</v>
      </c>
      <c r="AH9" s="22" t="n">
        <v>5000</v>
      </c>
      <c r="AI9" s="70" t="n">
        <f aca="false">AH9-AG9</f>
        <v>0</v>
      </c>
      <c r="AJ9" s="21" t="n">
        <f aca="false">5000+5000</f>
        <v>10000</v>
      </c>
      <c r="AK9" s="21" t="n">
        <f aca="false">5000+5000</f>
        <v>10000</v>
      </c>
      <c r="AL9" s="70" t="n">
        <f aca="false">AK9-AJ9</f>
        <v>0</v>
      </c>
      <c r="AM9" s="21" t="n">
        <v>10000</v>
      </c>
      <c r="AN9" s="22" t="n">
        <v>10000</v>
      </c>
      <c r="AO9" s="70" t="n">
        <f aca="false">AN9-AM9</f>
        <v>0</v>
      </c>
      <c r="AP9" s="21" t="n">
        <f aca="false">10000+5000</f>
        <v>15000</v>
      </c>
      <c r="AQ9" s="21" t="n">
        <f aca="false">10000+5000</f>
        <v>15000</v>
      </c>
      <c r="AR9" s="70" t="n">
        <f aca="false">AQ9-AP9</f>
        <v>0</v>
      </c>
      <c r="AS9" s="21"/>
      <c r="AT9" s="22"/>
      <c r="AU9" s="70" t="n">
        <f aca="false">AT9-AS9</f>
        <v>0</v>
      </c>
      <c r="AV9" s="21" t="n">
        <v>45000</v>
      </c>
      <c r="AW9" s="22" t="n">
        <v>45000</v>
      </c>
      <c r="AX9" s="70" t="n">
        <f aca="false">AW9-AV9</f>
        <v>0</v>
      </c>
      <c r="AY9" s="21"/>
      <c r="AZ9" s="22"/>
      <c r="BA9" s="70" t="n">
        <f aca="false">AZ9-AY9</f>
        <v>0</v>
      </c>
      <c r="BB9" s="21"/>
      <c r="BC9" s="22"/>
      <c r="BD9" s="70" t="n">
        <f aca="false">BC9-BB9</f>
        <v>0</v>
      </c>
      <c r="BE9" s="21"/>
      <c r="BF9" s="22"/>
      <c r="BG9" s="70" t="n">
        <f aca="false">BF9-BE9</f>
        <v>0</v>
      </c>
      <c r="BH9" s="21"/>
      <c r="BI9" s="22"/>
      <c r="BJ9" s="70" t="n">
        <f aca="false">BI9-BH9</f>
        <v>0</v>
      </c>
      <c r="BK9" s="21"/>
      <c r="BL9" s="22"/>
      <c r="BM9" s="70" t="n">
        <f aca="false">BL9-BK9</f>
        <v>0</v>
      </c>
      <c r="BN9" s="21"/>
      <c r="BO9" s="22"/>
      <c r="BP9" s="70" t="n">
        <f aca="false">BO9-BN9</f>
        <v>0</v>
      </c>
      <c r="BQ9" s="21"/>
      <c r="BR9" s="22"/>
      <c r="BS9" s="70" t="n">
        <f aca="false">BR9-BQ9</f>
        <v>0</v>
      </c>
      <c r="BT9" s="21"/>
      <c r="BU9" s="22"/>
      <c r="BV9" s="70" t="n">
        <f aca="false">BU9-BT9</f>
        <v>0</v>
      </c>
      <c r="BW9" s="21"/>
      <c r="BX9" s="22"/>
      <c r="BY9" s="70" t="n">
        <f aca="false">BX9-BW9</f>
        <v>0</v>
      </c>
      <c r="BZ9" s="21"/>
      <c r="CA9" s="22"/>
      <c r="CB9" s="70" t="n">
        <f aca="false">CA9-BZ9</f>
        <v>0</v>
      </c>
      <c r="CC9" s="21"/>
      <c r="CD9" s="22"/>
      <c r="CE9" s="70" t="n">
        <f aca="false">CD9-CC9</f>
        <v>0</v>
      </c>
      <c r="CF9" s="21"/>
      <c r="CG9" s="22"/>
      <c r="CH9" s="70" t="n">
        <f aca="false">CG9-CF9</f>
        <v>0</v>
      </c>
      <c r="CI9" s="21"/>
      <c r="CJ9" s="22"/>
      <c r="CK9" s="70" t="n">
        <f aca="false">CJ9-CI9</f>
        <v>0</v>
      </c>
      <c r="CL9" s="21"/>
      <c r="CM9" s="22"/>
      <c r="CN9" s="70" t="n">
        <f aca="false">CM9-CL9</f>
        <v>0</v>
      </c>
      <c r="CO9" s="21"/>
      <c r="CP9" s="22"/>
      <c r="CQ9" s="70" t="n">
        <f aca="false">CP9-CO9</f>
        <v>0</v>
      </c>
      <c r="CR9" s="21"/>
      <c r="CS9" s="22"/>
      <c r="CT9" s="70" t="n">
        <f aca="false">CS9-CR9</f>
        <v>0</v>
      </c>
      <c r="CU9" s="21"/>
      <c r="CV9" s="22"/>
      <c r="CW9" s="70" t="n">
        <f aca="false">CV9-CU9</f>
        <v>0</v>
      </c>
      <c r="CX9" s="21"/>
      <c r="CY9" s="22"/>
      <c r="CZ9" s="70" t="n">
        <f aca="false">CY9-CX9</f>
        <v>0</v>
      </c>
      <c r="DA9" s="21"/>
      <c r="DB9" s="22"/>
      <c r="DC9" s="70" t="n">
        <f aca="false">DB9-DA9</f>
        <v>0</v>
      </c>
      <c r="DD9" s="21"/>
      <c r="DE9" s="22"/>
      <c r="DF9" s="70" t="n">
        <f aca="false">DE9-DD9</f>
        <v>0</v>
      </c>
      <c r="DG9" s="21"/>
      <c r="DH9" s="22"/>
      <c r="DI9" s="70" t="n">
        <f aca="false">DH9-DG9</f>
        <v>0</v>
      </c>
      <c r="DJ9" s="21"/>
      <c r="DK9" s="22"/>
      <c r="DL9" s="70" t="n">
        <f aca="false">DK9-DJ9</f>
        <v>0</v>
      </c>
      <c r="DM9" s="21"/>
      <c r="DN9" s="22"/>
      <c r="DO9" s="70" t="n">
        <f aca="false">DN9-DM9</f>
        <v>0</v>
      </c>
      <c r="DP9" s="21"/>
      <c r="DQ9" s="22"/>
      <c r="DR9" s="70" t="n">
        <f aca="false">DQ9-DP9</f>
        <v>0</v>
      </c>
      <c r="DS9" s="70" t="n">
        <f aca="false">+C9+F9+I9+L9+O9+R9+U9+X9+AA9+AD9+AG9+AJ9+AM9+AP9+AS9+AV9+AY9+BB9+BE9+BH9+BK9+BN9+BQ9+BT9+BW9+BZ9+CC9+CF9+CI9+CL9+CO9+CR9+CU9+CX9+DA9+DD9+DG9+DJ9+DM9+DP9</f>
        <v>170000</v>
      </c>
      <c r="DT9" s="70" t="n">
        <f aca="false">+D9+G9+J9+M9+P9+S9+V9+Y9+AB9+AE9+AH9+AK9+AN9+AQ9+AT9+AW9+AZ9+BC9+BF9+BI9+BL9+BO9+BR9+BU9+BX9+CA9+CD9+CG9+CJ9+CM9+CP9+CS9+CV9+CY9+DB9+DE9+DH9+DK9+DN9+DQ9</f>
        <v>170000</v>
      </c>
      <c r="DU9" s="70" t="n">
        <f aca="false">DT9-DS9</f>
        <v>0</v>
      </c>
      <c r="DV9" s="22" t="n">
        <f aca="false">+DV8+DU9</f>
        <v>-33977</v>
      </c>
      <c r="DW9" s="74"/>
      <c r="DX9" s="70" t="n">
        <f aca="false">+DS9-AV9</f>
        <v>125000</v>
      </c>
      <c r="DY9" s="70" t="n">
        <f aca="false">+DT9-AW9</f>
        <v>125000</v>
      </c>
      <c r="DZ9" s="22" t="n">
        <f aca="false">+DY9-DX9</f>
        <v>0</v>
      </c>
      <c r="EA9" s="22" t="n">
        <f aca="false">+EA8+DZ9</f>
        <v>-20649</v>
      </c>
      <c r="EB9" s="74"/>
      <c r="EC9" s="22" t="n">
        <f aca="false">+AX9</f>
        <v>0</v>
      </c>
      <c r="ED9" s="22" t="n">
        <f aca="false">+EC9</f>
        <v>0</v>
      </c>
      <c r="EE9" s="74"/>
      <c r="EF9" s="74"/>
      <c r="EG9" s="74"/>
      <c r="EH9" s="74"/>
      <c r="EI9" s="74"/>
      <c r="EJ9" s="74"/>
      <c r="EK9" s="74"/>
    </row>
    <row r="10" customFormat="false" ht="12.75" hidden="false" customHeight="false" outlineLevel="0" collapsed="false">
      <c r="A10" s="69" t="n">
        <f aca="false">+BaseloadMarkets!A10</f>
        <v>36682</v>
      </c>
      <c r="B10" s="69" t="str">
        <f aca="false">+BaseloadMarkets!B10</f>
        <v>Mon</v>
      </c>
      <c r="C10" s="21" t="n">
        <v>5000</v>
      </c>
      <c r="D10" s="22" t="n">
        <v>5000</v>
      </c>
      <c r="E10" s="70" t="n">
        <f aca="false">D10-C10</f>
        <v>0</v>
      </c>
      <c r="F10" s="21" t="n">
        <v>5000</v>
      </c>
      <c r="G10" s="22" t="n">
        <v>5000</v>
      </c>
      <c r="H10" s="70" t="n">
        <f aca="false">G10-F10</f>
        <v>0</v>
      </c>
      <c r="I10" s="21" t="n">
        <v>5000</v>
      </c>
      <c r="J10" s="22" t="n">
        <v>5000</v>
      </c>
      <c r="K10" s="70" t="n">
        <f aca="false">J10-I10</f>
        <v>0</v>
      </c>
      <c r="L10" s="21" t="n">
        <v>10000</v>
      </c>
      <c r="M10" s="22" t="n">
        <v>10000</v>
      </c>
      <c r="N10" s="70" t="n">
        <f aca="false">M10-L10</f>
        <v>0</v>
      </c>
      <c r="O10" s="21" t="n">
        <v>5000</v>
      </c>
      <c r="P10" s="22" t="n">
        <v>5000</v>
      </c>
      <c r="Q10" s="70" t="n">
        <f aca="false">P10-O10</f>
        <v>0</v>
      </c>
      <c r="R10" s="21" t="n">
        <v>5000</v>
      </c>
      <c r="S10" s="22" t="n">
        <v>5000</v>
      </c>
      <c r="T10" s="70" t="n">
        <f aca="false">S10-R10</f>
        <v>0</v>
      </c>
      <c r="U10" s="21" t="n">
        <v>10000</v>
      </c>
      <c r="V10" s="22" t="n">
        <v>10000</v>
      </c>
      <c r="W10" s="70" t="n">
        <f aca="false">V10-U10</f>
        <v>0</v>
      </c>
      <c r="X10" s="21" t="n">
        <f aca="false">5000+5000+5000+5000</f>
        <v>20000</v>
      </c>
      <c r="Y10" s="21" t="n">
        <f aca="false">5000+5000+5000+5000</f>
        <v>20000</v>
      </c>
      <c r="Z10" s="70" t="n">
        <f aca="false">Y10-X10</f>
        <v>0</v>
      </c>
      <c r="AA10" s="21" t="n">
        <v>5000</v>
      </c>
      <c r="AB10" s="22" t="n">
        <v>5000</v>
      </c>
      <c r="AC10" s="70" t="n">
        <f aca="false">AB10-AA10</f>
        <v>0</v>
      </c>
      <c r="AD10" s="21" t="n">
        <f aca="false">5000+5000+5000</f>
        <v>15000</v>
      </c>
      <c r="AE10" s="21" t="n">
        <f aca="false">5000+5000+5000</f>
        <v>15000</v>
      </c>
      <c r="AF10" s="70" t="n">
        <f aca="false">AE10-AD10</f>
        <v>0</v>
      </c>
      <c r="AG10" s="21" t="n">
        <v>5000</v>
      </c>
      <c r="AH10" s="22" t="n">
        <v>5000</v>
      </c>
      <c r="AI10" s="70" t="n">
        <f aca="false">AH10-AG10</f>
        <v>0</v>
      </c>
      <c r="AJ10" s="21" t="n">
        <f aca="false">5000+5000</f>
        <v>10000</v>
      </c>
      <c r="AK10" s="21" t="n">
        <f aca="false">5000+5000</f>
        <v>10000</v>
      </c>
      <c r="AL10" s="70" t="n">
        <f aca="false">AK10-AJ10</f>
        <v>0</v>
      </c>
      <c r="AM10" s="21" t="n">
        <v>10000</v>
      </c>
      <c r="AN10" s="22" t="n">
        <v>10000</v>
      </c>
      <c r="AO10" s="70" t="n">
        <f aca="false">AN10-AM10</f>
        <v>0</v>
      </c>
      <c r="AP10" s="21" t="n">
        <f aca="false">10000+5000</f>
        <v>15000</v>
      </c>
      <c r="AQ10" s="21" t="n">
        <f aca="false">10000+5000</f>
        <v>15000</v>
      </c>
      <c r="AR10" s="70" t="n">
        <f aca="false">AQ10-AP10</f>
        <v>0</v>
      </c>
      <c r="AS10" s="21"/>
      <c r="AT10" s="22"/>
      <c r="AU10" s="70" t="n">
        <f aca="false">AT10-AS10</f>
        <v>0</v>
      </c>
      <c r="AV10" s="21" t="n">
        <v>45000</v>
      </c>
      <c r="AW10" s="22" t="n">
        <v>45000</v>
      </c>
      <c r="AX10" s="70" t="n">
        <f aca="false">AW10-AV10</f>
        <v>0</v>
      </c>
      <c r="AY10" s="21"/>
      <c r="AZ10" s="22"/>
      <c r="BA10" s="70" t="n">
        <f aca="false">AZ10-AY10</f>
        <v>0</v>
      </c>
      <c r="BB10" s="21"/>
      <c r="BC10" s="22"/>
      <c r="BD10" s="70" t="n">
        <f aca="false">BC10-BB10</f>
        <v>0</v>
      </c>
      <c r="BE10" s="21"/>
      <c r="BF10" s="22"/>
      <c r="BG10" s="70" t="n">
        <f aca="false">BF10-BE10</f>
        <v>0</v>
      </c>
      <c r="BH10" s="21"/>
      <c r="BI10" s="22"/>
      <c r="BJ10" s="70" t="n">
        <f aca="false">BI10-BH10</f>
        <v>0</v>
      </c>
      <c r="BK10" s="21"/>
      <c r="BL10" s="22"/>
      <c r="BM10" s="70" t="n">
        <f aca="false">BL10-BK10</f>
        <v>0</v>
      </c>
      <c r="BN10" s="21"/>
      <c r="BO10" s="22"/>
      <c r="BP10" s="70" t="n">
        <f aca="false">BO10-BN10</f>
        <v>0</v>
      </c>
      <c r="BQ10" s="21"/>
      <c r="BR10" s="22"/>
      <c r="BS10" s="70" t="n">
        <f aca="false">BR10-BQ10</f>
        <v>0</v>
      </c>
      <c r="BT10" s="21"/>
      <c r="BU10" s="22"/>
      <c r="BV10" s="70" t="n">
        <f aca="false">BU10-BT10</f>
        <v>0</v>
      </c>
      <c r="BW10" s="21"/>
      <c r="BX10" s="22"/>
      <c r="BY10" s="70" t="n">
        <f aca="false">BX10-BW10</f>
        <v>0</v>
      </c>
      <c r="BZ10" s="21"/>
      <c r="CA10" s="22"/>
      <c r="CB10" s="70" t="n">
        <f aca="false">CA10-BZ10</f>
        <v>0</v>
      </c>
      <c r="CC10" s="21"/>
      <c r="CD10" s="22"/>
      <c r="CE10" s="70" t="n">
        <f aca="false">CD10-CC10</f>
        <v>0</v>
      </c>
      <c r="CF10" s="21"/>
      <c r="CG10" s="22"/>
      <c r="CH10" s="70" t="n">
        <f aca="false">CG10-CF10</f>
        <v>0</v>
      </c>
      <c r="CI10" s="21"/>
      <c r="CJ10" s="22"/>
      <c r="CK10" s="70" t="n">
        <f aca="false">CJ10-CI10</f>
        <v>0</v>
      </c>
      <c r="CL10" s="21"/>
      <c r="CM10" s="22"/>
      <c r="CN10" s="70" t="n">
        <f aca="false">CM10-CL10</f>
        <v>0</v>
      </c>
      <c r="CO10" s="21"/>
      <c r="CP10" s="22"/>
      <c r="CQ10" s="70" t="n">
        <f aca="false">CP10-CO10</f>
        <v>0</v>
      </c>
      <c r="CR10" s="21"/>
      <c r="CS10" s="22"/>
      <c r="CT10" s="70" t="n">
        <f aca="false">CS10-CR10</f>
        <v>0</v>
      </c>
      <c r="CU10" s="21"/>
      <c r="CV10" s="22"/>
      <c r="CW10" s="70" t="n">
        <f aca="false">CV10-CU10</f>
        <v>0</v>
      </c>
      <c r="CX10" s="21"/>
      <c r="CY10" s="22"/>
      <c r="CZ10" s="70" t="n">
        <f aca="false">CY10-CX10</f>
        <v>0</v>
      </c>
      <c r="DA10" s="21"/>
      <c r="DB10" s="22"/>
      <c r="DC10" s="70" t="n">
        <f aca="false">DB10-DA10</f>
        <v>0</v>
      </c>
      <c r="DD10" s="21"/>
      <c r="DE10" s="22"/>
      <c r="DF10" s="70" t="n">
        <f aca="false">DE10-DD10</f>
        <v>0</v>
      </c>
      <c r="DG10" s="21"/>
      <c r="DH10" s="22"/>
      <c r="DI10" s="70" t="n">
        <f aca="false">DH10-DG10</f>
        <v>0</v>
      </c>
      <c r="DJ10" s="21"/>
      <c r="DK10" s="22"/>
      <c r="DL10" s="70" t="n">
        <f aca="false">DK10-DJ10</f>
        <v>0</v>
      </c>
      <c r="DM10" s="21"/>
      <c r="DN10" s="22"/>
      <c r="DO10" s="70" t="n">
        <f aca="false">DN10-DM10</f>
        <v>0</v>
      </c>
      <c r="DP10" s="21"/>
      <c r="DQ10" s="22"/>
      <c r="DR10" s="70" t="n">
        <f aca="false">DQ10-DP10</f>
        <v>0</v>
      </c>
      <c r="DS10" s="70" t="n">
        <f aca="false">+C10+F10+I10+L10+O10+R10+U10+X10+AA10+AD10+AG10+AJ10+AM10+AP10+AS10+AV10+AY10+BB10+BE10+BH10+BK10+BN10+BQ10+BT10+BW10+BZ10+CC10+CF10+CI10+CL10+CO10+CR10+CU10+CX10+DA10+DD10+DG10+DJ10+DM10+DP10</f>
        <v>170000</v>
      </c>
      <c r="DT10" s="70" t="n">
        <f aca="false">+D10+G10+J10+M10+P10+S10+V10+Y10+AB10+AE10+AH10+AK10+AN10+AQ10+AT10+AW10+AZ10+BC10+BF10+BI10+BL10+BO10+BR10+BU10+BX10+CA10+CD10+CG10+CJ10+CM10+CP10+CS10+CV10+CY10+DB10+DE10+DH10+DK10+DN10+DQ10</f>
        <v>170000</v>
      </c>
      <c r="DU10" s="70" t="n">
        <f aca="false">DT10-DS10</f>
        <v>0</v>
      </c>
      <c r="DV10" s="22" t="n">
        <f aca="false">+DV9+DU10</f>
        <v>-33977</v>
      </c>
      <c r="DW10" s="74"/>
      <c r="DX10" s="70" t="n">
        <f aca="false">+DS10-AV10</f>
        <v>125000</v>
      </c>
      <c r="DY10" s="70" t="n">
        <f aca="false">+DT10-AW10</f>
        <v>125000</v>
      </c>
      <c r="DZ10" s="22" t="n">
        <f aca="false">+DY10-DX10</f>
        <v>0</v>
      </c>
      <c r="EA10" s="22" t="n">
        <f aca="false">+EA9+DZ10</f>
        <v>-20649</v>
      </c>
      <c r="EB10" s="74"/>
      <c r="EC10" s="22" t="n">
        <f aca="false">+AX10</f>
        <v>0</v>
      </c>
      <c r="ED10" s="22" t="n">
        <f aca="false">+EC10</f>
        <v>0</v>
      </c>
      <c r="EE10" s="74"/>
      <c r="EF10" s="74"/>
      <c r="EG10" s="74"/>
      <c r="EH10" s="74"/>
      <c r="EI10" s="74"/>
      <c r="EJ10" s="74"/>
      <c r="EK10" s="74"/>
    </row>
    <row r="11" customFormat="false" ht="12.75" hidden="false" customHeight="false" outlineLevel="0" collapsed="false">
      <c r="A11" s="69" t="n">
        <f aca="false">+BaseloadMarkets!A11</f>
        <v>36683</v>
      </c>
      <c r="B11" s="69" t="str">
        <f aca="false">+BaseloadMarkets!B11</f>
        <v>Tues</v>
      </c>
      <c r="C11" s="21" t="n">
        <v>5000</v>
      </c>
      <c r="D11" s="22" t="n">
        <v>5000</v>
      </c>
      <c r="E11" s="70" t="n">
        <f aca="false">D11-C11</f>
        <v>0</v>
      </c>
      <c r="F11" s="21" t="n">
        <v>5000</v>
      </c>
      <c r="G11" s="22" t="n">
        <v>5000</v>
      </c>
      <c r="H11" s="70" t="n">
        <f aca="false">G11-F11</f>
        <v>0</v>
      </c>
      <c r="I11" s="21" t="n">
        <v>5000</v>
      </c>
      <c r="J11" s="22" t="n">
        <v>5000</v>
      </c>
      <c r="K11" s="70" t="n">
        <f aca="false">J11-I11</f>
        <v>0</v>
      </c>
      <c r="L11" s="21" t="n">
        <v>10000</v>
      </c>
      <c r="M11" s="22" t="n">
        <v>10000</v>
      </c>
      <c r="N11" s="70" t="n">
        <f aca="false">M11-L11</f>
        <v>0</v>
      </c>
      <c r="O11" s="21" t="n">
        <v>5000</v>
      </c>
      <c r="P11" s="22" t="n">
        <v>5000</v>
      </c>
      <c r="Q11" s="70" t="n">
        <f aca="false">P11-O11</f>
        <v>0</v>
      </c>
      <c r="R11" s="21" t="n">
        <v>5000</v>
      </c>
      <c r="S11" s="22" t="n">
        <v>5000</v>
      </c>
      <c r="T11" s="70" t="n">
        <f aca="false">S11-R11</f>
        <v>0</v>
      </c>
      <c r="U11" s="21" t="n">
        <v>10000</v>
      </c>
      <c r="V11" s="22" t="n">
        <v>10000</v>
      </c>
      <c r="W11" s="70" t="n">
        <f aca="false">V11-U11</f>
        <v>0</v>
      </c>
      <c r="X11" s="21" t="n">
        <f aca="false">5000+5000+5000+5000</f>
        <v>20000</v>
      </c>
      <c r="Y11" s="21" t="n">
        <f aca="false">5000+5000+5000+5000</f>
        <v>20000</v>
      </c>
      <c r="Z11" s="70" t="n">
        <f aca="false">Y11-X11</f>
        <v>0</v>
      </c>
      <c r="AA11" s="21" t="n">
        <v>5000</v>
      </c>
      <c r="AB11" s="22" t="n">
        <v>5000</v>
      </c>
      <c r="AC11" s="70" t="n">
        <f aca="false">AB11-AA11</f>
        <v>0</v>
      </c>
      <c r="AD11" s="21" t="n">
        <f aca="false">5000+5000+5000</f>
        <v>15000</v>
      </c>
      <c r="AE11" s="21" t="n">
        <f aca="false">5000+5000+5000</f>
        <v>15000</v>
      </c>
      <c r="AF11" s="70" t="n">
        <f aca="false">AE11-AD11</f>
        <v>0</v>
      </c>
      <c r="AG11" s="21" t="n">
        <v>5000</v>
      </c>
      <c r="AH11" s="22" t="n">
        <v>5000</v>
      </c>
      <c r="AI11" s="70" t="n">
        <f aca="false">AH11-AG11</f>
        <v>0</v>
      </c>
      <c r="AJ11" s="21" t="n">
        <f aca="false">5000+5000</f>
        <v>10000</v>
      </c>
      <c r="AK11" s="21" t="n">
        <f aca="false">5000+5000</f>
        <v>10000</v>
      </c>
      <c r="AL11" s="70" t="n">
        <f aca="false">AK11-AJ11</f>
        <v>0</v>
      </c>
      <c r="AM11" s="21" t="n">
        <v>10000</v>
      </c>
      <c r="AN11" s="22" t="n">
        <v>10000</v>
      </c>
      <c r="AO11" s="70" t="n">
        <f aca="false">AN11-AM11</f>
        <v>0</v>
      </c>
      <c r="AP11" s="21" t="n">
        <f aca="false">10000+5000</f>
        <v>15000</v>
      </c>
      <c r="AQ11" s="21" t="n">
        <f aca="false">10000+5000</f>
        <v>15000</v>
      </c>
      <c r="AR11" s="70" t="n">
        <f aca="false">AQ11-AP11</f>
        <v>0</v>
      </c>
      <c r="AS11" s="21"/>
      <c r="AT11" s="22"/>
      <c r="AU11" s="70" t="n">
        <f aca="false">AT11-AS11</f>
        <v>0</v>
      </c>
      <c r="AV11" s="21" t="n">
        <v>400000</v>
      </c>
      <c r="AW11" s="22" t="n">
        <v>385000</v>
      </c>
      <c r="AX11" s="70" t="n">
        <f aca="false">AW11-AV11</f>
        <v>-15000</v>
      </c>
      <c r="AY11" s="21"/>
      <c r="AZ11" s="22"/>
      <c r="BA11" s="70" t="n">
        <f aca="false">AZ11-AY11</f>
        <v>0</v>
      </c>
      <c r="BB11" s="21"/>
      <c r="BC11" s="22"/>
      <c r="BD11" s="70" t="n">
        <f aca="false">BC11-BB11</f>
        <v>0</v>
      </c>
      <c r="BE11" s="21"/>
      <c r="BF11" s="22"/>
      <c r="BG11" s="70" t="n">
        <f aca="false">BF11-BE11</f>
        <v>0</v>
      </c>
      <c r="BH11" s="21"/>
      <c r="BI11" s="22"/>
      <c r="BJ11" s="70" t="n">
        <f aca="false">BI11-BH11</f>
        <v>0</v>
      </c>
      <c r="BK11" s="21"/>
      <c r="BL11" s="22"/>
      <c r="BM11" s="70" t="n">
        <f aca="false">BL11-BK11</f>
        <v>0</v>
      </c>
      <c r="BN11" s="21"/>
      <c r="BO11" s="22"/>
      <c r="BP11" s="70" t="n">
        <f aca="false">BO11-BN11</f>
        <v>0</v>
      </c>
      <c r="BQ11" s="21"/>
      <c r="BR11" s="22"/>
      <c r="BS11" s="70" t="n">
        <f aca="false">BR11-BQ11</f>
        <v>0</v>
      </c>
      <c r="BT11" s="21"/>
      <c r="BU11" s="22"/>
      <c r="BV11" s="70" t="n">
        <f aca="false">BU11-BT11</f>
        <v>0</v>
      </c>
      <c r="BW11" s="21"/>
      <c r="BX11" s="22"/>
      <c r="BY11" s="70" t="n">
        <f aca="false">BX11-BW11</f>
        <v>0</v>
      </c>
      <c r="BZ11" s="21"/>
      <c r="CA11" s="22"/>
      <c r="CB11" s="70" t="n">
        <f aca="false">CA11-BZ11</f>
        <v>0</v>
      </c>
      <c r="CC11" s="21"/>
      <c r="CD11" s="22"/>
      <c r="CE11" s="70" t="n">
        <f aca="false">CD11-CC11</f>
        <v>0</v>
      </c>
      <c r="CF11" s="21"/>
      <c r="CG11" s="22"/>
      <c r="CH11" s="70" t="n">
        <f aca="false">CG11-CF11</f>
        <v>0</v>
      </c>
      <c r="CI11" s="21"/>
      <c r="CJ11" s="22"/>
      <c r="CK11" s="70" t="n">
        <f aca="false">CJ11-CI11</f>
        <v>0</v>
      </c>
      <c r="CL11" s="21"/>
      <c r="CM11" s="22"/>
      <c r="CN11" s="70" t="n">
        <f aca="false">CM11-CL11</f>
        <v>0</v>
      </c>
      <c r="CO11" s="21"/>
      <c r="CP11" s="22"/>
      <c r="CQ11" s="70" t="n">
        <f aca="false">CP11-CO11</f>
        <v>0</v>
      </c>
      <c r="CR11" s="21"/>
      <c r="CS11" s="22"/>
      <c r="CT11" s="70" t="n">
        <f aca="false">CS11-CR11</f>
        <v>0</v>
      </c>
      <c r="CU11" s="21"/>
      <c r="CV11" s="22"/>
      <c r="CW11" s="70" t="n">
        <f aca="false">CV11-CU11</f>
        <v>0</v>
      </c>
      <c r="CX11" s="21"/>
      <c r="CY11" s="22"/>
      <c r="CZ11" s="70" t="n">
        <f aca="false">CY11-CX11</f>
        <v>0</v>
      </c>
      <c r="DA11" s="21"/>
      <c r="DB11" s="22"/>
      <c r="DC11" s="70" t="n">
        <f aca="false">DB11-DA11</f>
        <v>0</v>
      </c>
      <c r="DD11" s="21"/>
      <c r="DE11" s="22"/>
      <c r="DF11" s="70" t="n">
        <f aca="false">DE11-DD11</f>
        <v>0</v>
      </c>
      <c r="DG11" s="21"/>
      <c r="DH11" s="22"/>
      <c r="DI11" s="70" t="n">
        <f aca="false">DH11-DG11</f>
        <v>0</v>
      </c>
      <c r="DJ11" s="21"/>
      <c r="DK11" s="22"/>
      <c r="DL11" s="70" t="n">
        <f aca="false">DK11-DJ11</f>
        <v>0</v>
      </c>
      <c r="DM11" s="21"/>
      <c r="DN11" s="22"/>
      <c r="DO11" s="70" t="n">
        <f aca="false">DN11-DM11</f>
        <v>0</v>
      </c>
      <c r="DP11" s="21"/>
      <c r="DQ11" s="22"/>
      <c r="DR11" s="70" t="n">
        <f aca="false">DQ11-DP11</f>
        <v>0</v>
      </c>
      <c r="DS11" s="70" t="n">
        <f aca="false">+C11+F11+I11+L11+O11+R11+U11+X11+AA11+AD11+AG11+AJ11+AM11+AP11+AS11+AV11+AY11+BB11+BE11+BH11+BK11+BN11+BQ11+BT11+BW11+BZ11+CC11+CF11+CI11+CL11+CO11+CR11+CU11+CX11+DA11+DD11+DG11+DJ11+DM11+DP11</f>
        <v>525000</v>
      </c>
      <c r="DT11" s="70" t="n">
        <f aca="false">+D11+G11+J11+M11+P11+S11+V11+Y11+AB11+AE11+AH11+AK11+AN11+AQ11+AT11+AW11+AZ11+BC11+BF11+BI11+BL11+BO11+BR11+BU11+BX11+CA11+CD11+CG11+CJ11+CM11+CP11+CS11+CV11+CY11+DB11+DE11+DH11+DK11+DN11+DQ11</f>
        <v>510000</v>
      </c>
      <c r="DU11" s="70" t="n">
        <f aca="false">DT11-DS11</f>
        <v>-15000</v>
      </c>
      <c r="DV11" s="22" t="n">
        <f aca="false">+DV10+DU11</f>
        <v>-48977</v>
      </c>
      <c r="DW11" s="74"/>
      <c r="DX11" s="70" t="n">
        <f aca="false">+DS11-AV11</f>
        <v>125000</v>
      </c>
      <c r="DY11" s="70" t="n">
        <f aca="false">+DT11-AW11</f>
        <v>125000</v>
      </c>
      <c r="DZ11" s="22" t="n">
        <f aca="false">+DY11-DX11</f>
        <v>0</v>
      </c>
      <c r="EA11" s="22" t="n">
        <f aca="false">+EA10+DZ11</f>
        <v>-20649</v>
      </c>
      <c r="EB11" s="74"/>
      <c r="EC11" s="22" t="n">
        <f aca="false">+AX11</f>
        <v>-15000</v>
      </c>
      <c r="ED11" s="22" t="n">
        <f aca="false">+EC11</f>
        <v>-15000</v>
      </c>
      <c r="EE11" s="74"/>
      <c r="EF11" s="74"/>
      <c r="EG11" s="74"/>
      <c r="EH11" s="74"/>
      <c r="EI11" s="74"/>
      <c r="EJ11" s="74"/>
      <c r="EK11" s="74"/>
    </row>
    <row r="12" customFormat="false" ht="12.75" hidden="false" customHeight="false" outlineLevel="0" collapsed="false">
      <c r="A12" s="69" t="n">
        <f aca="false">+BaseloadMarkets!A12</f>
        <v>36684</v>
      </c>
      <c r="B12" s="69" t="str">
        <f aca="false">+BaseloadMarkets!B12</f>
        <v>Wed</v>
      </c>
      <c r="C12" s="21" t="n">
        <v>5000</v>
      </c>
      <c r="D12" s="22" t="n">
        <v>5000</v>
      </c>
      <c r="E12" s="70" t="n">
        <f aca="false">D12-C12</f>
        <v>0</v>
      </c>
      <c r="F12" s="21" t="n">
        <v>5000</v>
      </c>
      <c r="G12" s="22" t="n">
        <v>3299</v>
      </c>
      <c r="H12" s="70" t="n">
        <f aca="false">G12-F12</f>
        <v>-1701</v>
      </c>
      <c r="I12" s="21" t="n">
        <v>5000</v>
      </c>
      <c r="J12" s="22" t="n">
        <v>3299</v>
      </c>
      <c r="K12" s="70" t="n">
        <f aca="false">J12-I12</f>
        <v>-1701</v>
      </c>
      <c r="L12" s="21" t="n">
        <v>10000</v>
      </c>
      <c r="M12" s="22" t="n">
        <v>6676</v>
      </c>
      <c r="N12" s="70" t="n">
        <f aca="false">M12-L12</f>
        <v>-3324</v>
      </c>
      <c r="O12" s="21" t="n">
        <v>5000</v>
      </c>
      <c r="P12" s="22" t="n">
        <v>5000</v>
      </c>
      <c r="Q12" s="70" t="n">
        <f aca="false">P12-O12</f>
        <v>0</v>
      </c>
      <c r="R12" s="21" t="n">
        <v>5000</v>
      </c>
      <c r="S12" s="22" t="n">
        <v>5000</v>
      </c>
      <c r="T12" s="70" t="n">
        <f aca="false">S12-R12</f>
        <v>0</v>
      </c>
      <c r="U12" s="21" t="n">
        <v>10000</v>
      </c>
      <c r="V12" s="22" t="n">
        <v>10000</v>
      </c>
      <c r="W12" s="70" t="n">
        <f aca="false">V12-U12</f>
        <v>0</v>
      </c>
      <c r="X12" s="21" t="n">
        <f aca="false">5000+5000+5000+5000</f>
        <v>20000</v>
      </c>
      <c r="Y12" s="21" t="n">
        <f aca="false">5000+5000+5000+5000</f>
        <v>20000</v>
      </c>
      <c r="Z12" s="70" t="n">
        <f aca="false">Y12-X12</f>
        <v>0</v>
      </c>
      <c r="AA12" s="21" t="n">
        <v>5000</v>
      </c>
      <c r="AB12" s="22" t="n">
        <v>5000</v>
      </c>
      <c r="AC12" s="70" t="n">
        <f aca="false">AB12-AA12</f>
        <v>0</v>
      </c>
      <c r="AD12" s="21" t="n">
        <f aca="false">5000+5000+5000</f>
        <v>15000</v>
      </c>
      <c r="AE12" s="21" t="n">
        <f aca="false">5000+5000+5000</f>
        <v>15000</v>
      </c>
      <c r="AF12" s="70" t="n">
        <f aca="false">AE12-AD12</f>
        <v>0</v>
      </c>
      <c r="AG12" s="21" t="n">
        <v>5000</v>
      </c>
      <c r="AH12" s="22" t="n">
        <v>5000</v>
      </c>
      <c r="AI12" s="70" t="n">
        <f aca="false">AH12-AG12</f>
        <v>0</v>
      </c>
      <c r="AJ12" s="21" t="n">
        <f aca="false">5000+5000</f>
        <v>10000</v>
      </c>
      <c r="AK12" s="21" t="n">
        <v>5894</v>
      </c>
      <c r="AL12" s="70" t="n">
        <f aca="false">AK12-AJ12</f>
        <v>-4106</v>
      </c>
      <c r="AM12" s="21" t="n">
        <v>10000</v>
      </c>
      <c r="AN12" s="22" t="n">
        <v>5926</v>
      </c>
      <c r="AO12" s="70" t="n">
        <f aca="false">AN12-AM12</f>
        <v>-4074</v>
      </c>
      <c r="AP12" s="21" t="n">
        <f aca="false">10000+5000</f>
        <v>15000</v>
      </c>
      <c r="AQ12" s="21" t="n">
        <v>8889</v>
      </c>
      <c r="AR12" s="70" t="n">
        <f aca="false">AQ12-AP12</f>
        <v>-6111</v>
      </c>
      <c r="AS12" s="21"/>
      <c r="AT12" s="22"/>
      <c r="AU12" s="70" t="n">
        <f aca="false">AT12-AS12</f>
        <v>0</v>
      </c>
      <c r="AV12" s="21" t="n">
        <v>195000</v>
      </c>
      <c r="AW12" s="22" t="n">
        <f aca="false">195000-24000+15195-10000+5894-35000+28830</f>
        <v>175919</v>
      </c>
      <c r="AX12" s="70" t="n">
        <f aca="false">AW12-AV12</f>
        <v>-19081</v>
      </c>
      <c r="AY12" s="21"/>
      <c r="AZ12" s="22"/>
      <c r="BA12" s="70" t="n">
        <f aca="false">AZ12-AY12</f>
        <v>0</v>
      </c>
      <c r="BB12" s="21"/>
      <c r="BC12" s="22"/>
      <c r="BD12" s="70" t="n">
        <f aca="false">BC12-BB12</f>
        <v>0</v>
      </c>
      <c r="BE12" s="21"/>
      <c r="BF12" s="22"/>
      <c r="BG12" s="70" t="n">
        <f aca="false">BF12-BE12</f>
        <v>0</v>
      </c>
      <c r="BH12" s="21"/>
      <c r="BI12" s="22"/>
      <c r="BJ12" s="70" t="n">
        <f aca="false">BI12-BH12</f>
        <v>0</v>
      </c>
      <c r="BK12" s="21"/>
      <c r="BL12" s="22"/>
      <c r="BM12" s="70" t="n">
        <f aca="false">BL12-BK12</f>
        <v>0</v>
      </c>
      <c r="BN12" s="21"/>
      <c r="BO12" s="22"/>
      <c r="BP12" s="70" t="n">
        <f aca="false">BO12-BN12</f>
        <v>0</v>
      </c>
      <c r="BQ12" s="21"/>
      <c r="BR12" s="22"/>
      <c r="BS12" s="70" t="n">
        <f aca="false">BR12-BQ12</f>
        <v>0</v>
      </c>
      <c r="BT12" s="21"/>
      <c r="BU12" s="22"/>
      <c r="BV12" s="70" t="n">
        <f aca="false">BU12-BT12</f>
        <v>0</v>
      </c>
      <c r="BW12" s="21"/>
      <c r="BX12" s="22"/>
      <c r="BY12" s="70" t="n">
        <f aca="false">BX12-BW12</f>
        <v>0</v>
      </c>
      <c r="BZ12" s="21"/>
      <c r="CA12" s="22"/>
      <c r="CB12" s="70" t="n">
        <f aca="false">CA12-BZ12</f>
        <v>0</v>
      </c>
      <c r="CC12" s="21"/>
      <c r="CD12" s="22"/>
      <c r="CE12" s="70" t="n">
        <f aca="false">CD12-CC12</f>
        <v>0</v>
      </c>
      <c r="CF12" s="21"/>
      <c r="CG12" s="22"/>
      <c r="CH12" s="70" t="n">
        <f aca="false">CG12-CF12</f>
        <v>0</v>
      </c>
      <c r="CI12" s="21"/>
      <c r="CJ12" s="22"/>
      <c r="CK12" s="70" t="n">
        <f aca="false">CJ12-CI12</f>
        <v>0</v>
      </c>
      <c r="CL12" s="21"/>
      <c r="CM12" s="22"/>
      <c r="CN12" s="70" t="n">
        <f aca="false">CM12-CL12</f>
        <v>0</v>
      </c>
      <c r="CO12" s="21"/>
      <c r="CP12" s="22"/>
      <c r="CQ12" s="70" t="n">
        <f aca="false">CP12-CO12</f>
        <v>0</v>
      </c>
      <c r="CR12" s="21"/>
      <c r="CS12" s="22"/>
      <c r="CT12" s="70" t="n">
        <f aca="false">CS12-CR12</f>
        <v>0</v>
      </c>
      <c r="CU12" s="21"/>
      <c r="CV12" s="22"/>
      <c r="CW12" s="70" t="n">
        <f aca="false">CV12-CU12</f>
        <v>0</v>
      </c>
      <c r="CX12" s="21"/>
      <c r="CY12" s="22"/>
      <c r="CZ12" s="70" t="n">
        <f aca="false">CY12-CX12</f>
        <v>0</v>
      </c>
      <c r="DA12" s="21"/>
      <c r="DB12" s="22"/>
      <c r="DC12" s="70" t="n">
        <f aca="false">DB12-DA12</f>
        <v>0</v>
      </c>
      <c r="DD12" s="21"/>
      <c r="DE12" s="22"/>
      <c r="DF12" s="70" t="n">
        <f aca="false">DE12-DD12</f>
        <v>0</v>
      </c>
      <c r="DG12" s="21"/>
      <c r="DH12" s="22"/>
      <c r="DI12" s="70" t="n">
        <f aca="false">DH12-DG12</f>
        <v>0</v>
      </c>
      <c r="DJ12" s="21"/>
      <c r="DK12" s="22"/>
      <c r="DL12" s="70" t="n">
        <f aca="false">DK12-DJ12</f>
        <v>0</v>
      </c>
      <c r="DM12" s="21"/>
      <c r="DN12" s="22"/>
      <c r="DO12" s="70" t="n">
        <f aca="false">DN12-DM12</f>
        <v>0</v>
      </c>
      <c r="DP12" s="21"/>
      <c r="DQ12" s="22"/>
      <c r="DR12" s="70" t="n">
        <f aca="false">DQ12-DP12</f>
        <v>0</v>
      </c>
      <c r="DS12" s="70" t="n">
        <f aca="false">+C12+F12+I12+L12+O12+R12+U12+X12+AA12+AD12+AG12+AJ12+AM12+AP12+AS12+AV12+AY12+BB12+BE12+BH12+BK12+BN12+BQ12+BT12+BW12+BZ12+CC12+CF12+CI12+CL12+CO12+CR12+CU12+CX12+DA12+DD12+DG12+DJ12+DM12+DP12</f>
        <v>320000</v>
      </c>
      <c r="DT12" s="70" t="n">
        <f aca="false">+D12+G12+J12+M12+P12+S12+V12+Y12+AB12+AE12+AH12+AK12+AN12+AQ12+AT12+AW12+AZ12+BC12+BF12+BI12+BL12+BO12+BR12+BU12+BX12+CA12+CD12+CG12+CJ12+CM12+CP12+CS12+CV12+CY12+DB12+DE12+DH12+DK12+DN12+DQ12</f>
        <v>279902</v>
      </c>
      <c r="DU12" s="70" t="n">
        <f aca="false">DT12-DS12</f>
        <v>-40098</v>
      </c>
      <c r="DV12" s="22" t="n">
        <f aca="false">+DV11+DU12</f>
        <v>-89075</v>
      </c>
      <c r="DW12" s="74"/>
      <c r="DX12" s="70" t="n">
        <f aca="false">+DS12-AV12</f>
        <v>125000</v>
      </c>
      <c r="DY12" s="70" t="n">
        <f aca="false">+DT12-AW12</f>
        <v>103983</v>
      </c>
      <c r="DZ12" s="22" t="n">
        <f aca="false">+DY12-DX12</f>
        <v>-21017</v>
      </c>
      <c r="EA12" s="22" t="n">
        <f aca="false">+EA11+DZ12</f>
        <v>-41666</v>
      </c>
      <c r="EB12" s="74"/>
      <c r="EC12" s="22" t="n">
        <f aca="false">+AX12</f>
        <v>-19081</v>
      </c>
      <c r="ED12" s="22" t="n">
        <f aca="false">+EC12</f>
        <v>-19081</v>
      </c>
      <c r="EE12" s="74"/>
      <c r="EF12" s="74"/>
      <c r="EG12" s="74"/>
      <c r="EH12" s="74"/>
      <c r="EI12" s="74"/>
      <c r="EJ12" s="74"/>
      <c r="EK12" s="74"/>
    </row>
    <row r="13" customFormat="false" ht="12.75" hidden="false" customHeight="false" outlineLevel="0" collapsed="false">
      <c r="A13" s="69" t="n">
        <f aca="false">+BaseloadMarkets!A13</f>
        <v>36685</v>
      </c>
      <c r="B13" s="69" t="str">
        <f aca="false">+BaseloadMarkets!B13</f>
        <v>Thu</v>
      </c>
      <c r="C13" s="21" t="n">
        <v>5000</v>
      </c>
      <c r="D13" s="22" t="n">
        <v>5000</v>
      </c>
      <c r="E13" s="70" t="n">
        <f aca="false">D13-C13</f>
        <v>0</v>
      </c>
      <c r="F13" s="21" t="n">
        <v>5000</v>
      </c>
      <c r="G13" s="22" t="n">
        <v>2787</v>
      </c>
      <c r="H13" s="70" t="n">
        <f aca="false">G13-F13</f>
        <v>-2213</v>
      </c>
      <c r="I13" s="21" t="n">
        <v>5000</v>
      </c>
      <c r="J13" s="22" t="n">
        <v>2787</v>
      </c>
      <c r="K13" s="70" t="n">
        <f aca="false">J13-I13</f>
        <v>-2213</v>
      </c>
      <c r="L13" s="21" t="n">
        <v>10000</v>
      </c>
      <c r="M13" s="22" t="n">
        <v>10000</v>
      </c>
      <c r="N13" s="70" t="n">
        <f aca="false">M13-L13</f>
        <v>0</v>
      </c>
      <c r="O13" s="21" t="n">
        <v>5000</v>
      </c>
      <c r="P13" s="22" t="n">
        <v>5000</v>
      </c>
      <c r="Q13" s="70" t="n">
        <f aca="false">P13-O13</f>
        <v>0</v>
      </c>
      <c r="R13" s="21" t="n">
        <v>5000</v>
      </c>
      <c r="S13" s="22" t="n">
        <v>5000</v>
      </c>
      <c r="T13" s="70" t="n">
        <f aca="false">S13-R13</f>
        <v>0</v>
      </c>
      <c r="U13" s="21" t="n">
        <v>10000</v>
      </c>
      <c r="V13" s="22" t="n">
        <v>10000</v>
      </c>
      <c r="W13" s="70" t="n">
        <f aca="false">V13-U13</f>
        <v>0</v>
      </c>
      <c r="X13" s="21" t="n">
        <f aca="false">5000+5000+5000+5000</f>
        <v>20000</v>
      </c>
      <c r="Y13" s="21" t="n">
        <f aca="false">5000+5000+5000+5000</f>
        <v>20000</v>
      </c>
      <c r="Z13" s="70" t="n">
        <f aca="false">Y13-X13</f>
        <v>0</v>
      </c>
      <c r="AA13" s="21" t="n">
        <v>5000</v>
      </c>
      <c r="AB13" s="22" t="n">
        <v>5000</v>
      </c>
      <c r="AC13" s="70" t="n">
        <f aca="false">AB13-AA13</f>
        <v>0</v>
      </c>
      <c r="AD13" s="21" t="n">
        <f aca="false">5000+5000+5000</f>
        <v>15000</v>
      </c>
      <c r="AE13" s="21" t="n">
        <f aca="false">5000+5000+5000</f>
        <v>15000</v>
      </c>
      <c r="AF13" s="70" t="n">
        <f aca="false">AE13-AD13</f>
        <v>0</v>
      </c>
      <c r="AG13" s="21" t="n">
        <v>5000</v>
      </c>
      <c r="AH13" s="22" t="n">
        <v>5000</v>
      </c>
      <c r="AI13" s="70" t="n">
        <f aca="false">AH13-AG13</f>
        <v>0</v>
      </c>
      <c r="AJ13" s="21" t="n">
        <f aca="false">5000+5000</f>
        <v>10000</v>
      </c>
      <c r="AK13" s="21" t="n">
        <f aca="false">5000+5000</f>
        <v>10000</v>
      </c>
      <c r="AL13" s="70" t="n">
        <f aca="false">AK13-AJ13</f>
        <v>0</v>
      </c>
      <c r="AM13" s="21" t="n">
        <v>10000</v>
      </c>
      <c r="AN13" s="22" t="n">
        <v>5689</v>
      </c>
      <c r="AO13" s="70" t="n">
        <f aca="false">AN13-AM13</f>
        <v>-4311</v>
      </c>
      <c r="AP13" s="21" t="n">
        <f aca="false">10000+5000</f>
        <v>15000</v>
      </c>
      <c r="AQ13" s="21" t="n">
        <f aca="false">5689+2846</f>
        <v>8535</v>
      </c>
      <c r="AR13" s="70" t="n">
        <f aca="false">AQ13-AP13</f>
        <v>-6465</v>
      </c>
      <c r="AS13" s="21"/>
      <c r="AT13" s="22"/>
      <c r="AU13" s="70" t="n">
        <f aca="false">AT13-AS13</f>
        <v>0</v>
      </c>
      <c r="AV13" s="21" t="n">
        <v>220000</v>
      </c>
      <c r="AW13" s="22" t="n">
        <f aca="false">220000-20000+10264-40000+22146-10000+5546</f>
        <v>187956</v>
      </c>
      <c r="AX13" s="70" t="n">
        <f aca="false">AW13-AV13</f>
        <v>-32044</v>
      </c>
      <c r="AY13" s="21"/>
      <c r="AZ13" s="22"/>
      <c r="BA13" s="70" t="n">
        <f aca="false">AZ13-AY13</f>
        <v>0</v>
      </c>
      <c r="BB13" s="21"/>
      <c r="BC13" s="22"/>
      <c r="BD13" s="70" t="n">
        <f aca="false">BC13-BB13</f>
        <v>0</v>
      </c>
      <c r="BE13" s="21"/>
      <c r="BF13" s="22"/>
      <c r="BG13" s="70" t="n">
        <f aca="false">BF13-BE13</f>
        <v>0</v>
      </c>
      <c r="BH13" s="21"/>
      <c r="BI13" s="22"/>
      <c r="BJ13" s="70" t="n">
        <f aca="false">BI13-BH13</f>
        <v>0</v>
      </c>
      <c r="BK13" s="21"/>
      <c r="BL13" s="22"/>
      <c r="BM13" s="70" t="n">
        <f aca="false">BL13-BK13</f>
        <v>0</v>
      </c>
      <c r="BN13" s="21"/>
      <c r="BO13" s="22"/>
      <c r="BP13" s="70" t="n">
        <f aca="false">BO13-BN13</f>
        <v>0</v>
      </c>
      <c r="BQ13" s="21"/>
      <c r="BR13" s="22"/>
      <c r="BS13" s="70" t="n">
        <f aca="false">BR13-BQ13</f>
        <v>0</v>
      </c>
      <c r="BT13" s="21"/>
      <c r="BU13" s="22"/>
      <c r="BV13" s="70" t="n">
        <f aca="false">BU13-BT13</f>
        <v>0</v>
      </c>
      <c r="BW13" s="21"/>
      <c r="BX13" s="22"/>
      <c r="BY13" s="70" t="n">
        <f aca="false">BX13-BW13</f>
        <v>0</v>
      </c>
      <c r="BZ13" s="21"/>
      <c r="CA13" s="22"/>
      <c r="CB13" s="70" t="n">
        <f aca="false">CA13-BZ13</f>
        <v>0</v>
      </c>
      <c r="CC13" s="21"/>
      <c r="CD13" s="22"/>
      <c r="CE13" s="70" t="n">
        <f aca="false">CD13-CC13</f>
        <v>0</v>
      </c>
      <c r="CF13" s="21"/>
      <c r="CG13" s="22"/>
      <c r="CH13" s="70" t="n">
        <f aca="false">CG13-CF13</f>
        <v>0</v>
      </c>
      <c r="CI13" s="21"/>
      <c r="CJ13" s="22"/>
      <c r="CK13" s="70" t="n">
        <f aca="false">CJ13-CI13</f>
        <v>0</v>
      </c>
      <c r="CL13" s="21"/>
      <c r="CM13" s="22"/>
      <c r="CN13" s="70" t="n">
        <f aca="false">CM13-CL13</f>
        <v>0</v>
      </c>
      <c r="CO13" s="21"/>
      <c r="CP13" s="22"/>
      <c r="CQ13" s="70" t="n">
        <f aca="false">CP13-CO13</f>
        <v>0</v>
      </c>
      <c r="CR13" s="21"/>
      <c r="CS13" s="22"/>
      <c r="CT13" s="70" t="n">
        <f aca="false">CS13-CR13</f>
        <v>0</v>
      </c>
      <c r="CU13" s="21"/>
      <c r="CV13" s="22"/>
      <c r="CW13" s="70" t="n">
        <f aca="false">CV13-CU13</f>
        <v>0</v>
      </c>
      <c r="CX13" s="21"/>
      <c r="CY13" s="22"/>
      <c r="CZ13" s="70" t="n">
        <f aca="false">CY13-CX13</f>
        <v>0</v>
      </c>
      <c r="DA13" s="21"/>
      <c r="DB13" s="22"/>
      <c r="DC13" s="70" t="n">
        <f aca="false">DB13-DA13</f>
        <v>0</v>
      </c>
      <c r="DD13" s="21"/>
      <c r="DE13" s="22"/>
      <c r="DF13" s="70" t="n">
        <f aca="false">DE13-DD13</f>
        <v>0</v>
      </c>
      <c r="DG13" s="21"/>
      <c r="DH13" s="22"/>
      <c r="DI13" s="70" t="n">
        <f aca="false">DH13-DG13</f>
        <v>0</v>
      </c>
      <c r="DJ13" s="21"/>
      <c r="DK13" s="22"/>
      <c r="DL13" s="70" t="n">
        <f aca="false">DK13-DJ13</f>
        <v>0</v>
      </c>
      <c r="DM13" s="21"/>
      <c r="DN13" s="22"/>
      <c r="DO13" s="70" t="n">
        <f aca="false">DN13-DM13</f>
        <v>0</v>
      </c>
      <c r="DP13" s="21"/>
      <c r="DQ13" s="22"/>
      <c r="DR13" s="70" t="n">
        <f aca="false">DQ13-DP13</f>
        <v>0</v>
      </c>
      <c r="DS13" s="70" t="n">
        <f aca="false">+C13+F13+I13+L13+O13+R13+U13+X13+AA13+AD13+AG13+AJ13+AM13+AP13+AS13+AV13+AY13+BB13+BE13+BH13+BK13+BN13+BQ13+BT13+BW13+BZ13+CC13+CF13+CI13+CL13+CO13+CR13+CU13+CX13+DA13+DD13+DG13+DJ13+DM13+DP13</f>
        <v>345000</v>
      </c>
      <c r="DT13" s="70" t="n">
        <f aca="false">+D13+G13+J13+M13+P13+S13+V13+Y13+AB13+AE13+AH13+AK13+AN13+AQ13+AT13+AW13+AZ13+BC13+BF13+BI13+BL13+BO13+BR13+BU13+BX13+CA13+CD13+CG13+CJ13+CM13+CP13+CS13+CV13+CY13+DB13+DE13+DH13+DK13+DN13+DQ13</f>
        <v>297754</v>
      </c>
      <c r="DU13" s="70" t="n">
        <f aca="false">DT13-DS13</f>
        <v>-47246</v>
      </c>
      <c r="DV13" s="22" t="n">
        <f aca="false">+DV12+DU13</f>
        <v>-136321</v>
      </c>
      <c r="DW13" s="74"/>
      <c r="DX13" s="70" t="n">
        <f aca="false">+DS13-AV13</f>
        <v>125000</v>
      </c>
      <c r="DY13" s="70" t="n">
        <f aca="false">+DT13-AW13</f>
        <v>109798</v>
      </c>
      <c r="DZ13" s="22" t="n">
        <f aca="false">+DY13-DX13</f>
        <v>-15202</v>
      </c>
      <c r="EA13" s="22" t="n">
        <f aca="false">+EA12+DZ13</f>
        <v>-56868</v>
      </c>
      <c r="EB13" s="74"/>
      <c r="EC13" s="22" t="n">
        <f aca="false">+AX13</f>
        <v>-32044</v>
      </c>
      <c r="ED13" s="22" t="n">
        <f aca="false">+EC13</f>
        <v>-32044</v>
      </c>
      <c r="EE13" s="74"/>
      <c r="EF13" s="74"/>
      <c r="EG13" s="74"/>
      <c r="EH13" s="74"/>
      <c r="EI13" s="74"/>
      <c r="EJ13" s="74"/>
      <c r="EK13" s="74"/>
    </row>
    <row r="14" customFormat="false" ht="12.75" hidden="false" customHeight="false" outlineLevel="0" collapsed="false">
      <c r="A14" s="69" t="n">
        <f aca="false">+BaseloadMarkets!A14</f>
        <v>36686</v>
      </c>
      <c r="B14" s="69" t="str">
        <f aca="false">+BaseloadMarkets!B14</f>
        <v>Fri</v>
      </c>
      <c r="C14" s="21" t="n">
        <v>5000</v>
      </c>
      <c r="D14" s="22" t="n">
        <v>5000</v>
      </c>
      <c r="E14" s="70" t="n">
        <f aca="false">D14-C14</f>
        <v>0</v>
      </c>
      <c r="F14" s="21" t="n">
        <v>5000</v>
      </c>
      <c r="G14" s="22" t="n">
        <v>3102</v>
      </c>
      <c r="H14" s="70" t="n">
        <f aca="false">G14-F14</f>
        <v>-1898</v>
      </c>
      <c r="I14" s="21" t="n">
        <v>5000</v>
      </c>
      <c r="J14" s="22" t="n">
        <v>3102</v>
      </c>
      <c r="K14" s="70" t="n">
        <f aca="false">J14-I14</f>
        <v>-1898</v>
      </c>
      <c r="L14" s="21" t="n">
        <v>10000</v>
      </c>
      <c r="M14" s="22" t="n">
        <v>10000</v>
      </c>
      <c r="N14" s="70" t="n">
        <f aca="false">M14-L14</f>
        <v>0</v>
      </c>
      <c r="O14" s="21" t="n">
        <v>5000</v>
      </c>
      <c r="P14" s="22" t="n">
        <v>5000</v>
      </c>
      <c r="Q14" s="70" t="n">
        <f aca="false">P14-O14</f>
        <v>0</v>
      </c>
      <c r="R14" s="21" t="n">
        <v>5000</v>
      </c>
      <c r="S14" s="22" t="n">
        <v>5000</v>
      </c>
      <c r="T14" s="70" t="n">
        <f aca="false">S14-R14</f>
        <v>0</v>
      </c>
      <c r="U14" s="21" t="n">
        <v>10000</v>
      </c>
      <c r="V14" s="22" t="n">
        <v>10000</v>
      </c>
      <c r="W14" s="70" t="n">
        <f aca="false">V14-U14</f>
        <v>0</v>
      </c>
      <c r="X14" s="21" t="n">
        <f aca="false">5000+5000+5000+5000</f>
        <v>20000</v>
      </c>
      <c r="Y14" s="21" t="n">
        <f aca="false">5000+5000+5000+5000-5000</f>
        <v>15000</v>
      </c>
      <c r="Z14" s="70" t="n">
        <f aca="false">Y14-X14</f>
        <v>-5000</v>
      </c>
      <c r="AA14" s="21" t="n">
        <v>5000</v>
      </c>
      <c r="AB14" s="22" t="n">
        <v>5000</v>
      </c>
      <c r="AC14" s="70" t="n">
        <f aca="false">AB14-AA14</f>
        <v>0</v>
      </c>
      <c r="AD14" s="21" t="n">
        <f aca="false">5000+5000+5000</f>
        <v>15000</v>
      </c>
      <c r="AE14" s="21" t="n">
        <f aca="false">5000+5000+5000</f>
        <v>15000</v>
      </c>
      <c r="AF14" s="70" t="n">
        <f aca="false">AE14-AD14</f>
        <v>0</v>
      </c>
      <c r="AG14" s="21" t="n">
        <v>5000</v>
      </c>
      <c r="AH14" s="22" t="n">
        <v>5000</v>
      </c>
      <c r="AI14" s="70" t="n">
        <f aca="false">AH14-AG14</f>
        <v>0</v>
      </c>
      <c r="AJ14" s="21" t="n">
        <f aca="false">5000+5000</f>
        <v>10000</v>
      </c>
      <c r="AK14" s="21" t="n">
        <f aca="false">5000+5000</f>
        <v>10000</v>
      </c>
      <c r="AL14" s="70" t="n">
        <f aca="false">AK14-AJ14</f>
        <v>0</v>
      </c>
      <c r="AM14" s="21" t="n">
        <v>10000</v>
      </c>
      <c r="AN14" s="22" t="n">
        <v>13</v>
      </c>
      <c r="AO14" s="70" t="n">
        <f aca="false">AN14-AM14</f>
        <v>-9987</v>
      </c>
      <c r="AP14" s="21" t="n">
        <f aca="false">10000+5000</f>
        <v>15000</v>
      </c>
      <c r="AQ14" s="21" t="n">
        <f aca="false">10000+5000</f>
        <v>15000</v>
      </c>
      <c r="AR14" s="70" t="n">
        <f aca="false">AQ14-AP14</f>
        <v>0</v>
      </c>
      <c r="AS14" s="21"/>
      <c r="AT14" s="22"/>
      <c r="AU14" s="70" t="n">
        <f aca="false">AT14-AS14</f>
        <v>0</v>
      </c>
      <c r="AV14" s="21" t="n">
        <v>315000</v>
      </c>
      <c r="AW14" s="22" t="n">
        <v>300966</v>
      </c>
      <c r="AX14" s="70" t="n">
        <f aca="false">AW14-AV14</f>
        <v>-14034</v>
      </c>
      <c r="AY14" s="21"/>
      <c r="AZ14" s="22"/>
      <c r="BA14" s="70" t="n">
        <f aca="false">AZ14-AY14</f>
        <v>0</v>
      </c>
      <c r="BB14" s="21"/>
      <c r="BC14" s="22"/>
      <c r="BD14" s="70" t="n">
        <f aca="false">BC14-BB14</f>
        <v>0</v>
      </c>
      <c r="BE14" s="21"/>
      <c r="BF14" s="22"/>
      <c r="BG14" s="70" t="n">
        <f aca="false">BF14-BE14</f>
        <v>0</v>
      </c>
      <c r="BH14" s="21"/>
      <c r="BI14" s="22"/>
      <c r="BJ14" s="70" t="n">
        <f aca="false">BI14-BH14</f>
        <v>0</v>
      </c>
      <c r="BK14" s="21"/>
      <c r="BL14" s="22"/>
      <c r="BM14" s="70" t="n">
        <f aca="false">BL14-BK14</f>
        <v>0</v>
      </c>
      <c r="BN14" s="21"/>
      <c r="BO14" s="22"/>
      <c r="BP14" s="70" t="n">
        <f aca="false">BO14-BN14</f>
        <v>0</v>
      </c>
      <c r="BQ14" s="21"/>
      <c r="BR14" s="22"/>
      <c r="BS14" s="70" t="n">
        <f aca="false">BR14-BQ14</f>
        <v>0</v>
      </c>
      <c r="BT14" s="21"/>
      <c r="BU14" s="22"/>
      <c r="BV14" s="70" t="n">
        <f aca="false">BU14-BT14</f>
        <v>0</v>
      </c>
      <c r="BW14" s="21"/>
      <c r="BX14" s="22"/>
      <c r="BY14" s="70" t="n">
        <f aca="false">BX14-BW14</f>
        <v>0</v>
      </c>
      <c r="BZ14" s="21"/>
      <c r="CA14" s="22"/>
      <c r="CB14" s="70" t="n">
        <f aca="false">CA14-BZ14</f>
        <v>0</v>
      </c>
      <c r="CC14" s="21"/>
      <c r="CD14" s="22"/>
      <c r="CE14" s="70" t="n">
        <f aca="false">CD14-CC14</f>
        <v>0</v>
      </c>
      <c r="CF14" s="21"/>
      <c r="CG14" s="22"/>
      <c r="CH14" s="70" t="n">
        <f aca="false">CG14-CF14</f>
        <v>0</v>
      </c>
      <c r="CI14" s="21"/>
      <c r="CJ14" s="22"/>
      <c r="CK14" s="70" t="n">
        <f aca="false">CJ14-CI14</f>
        <v>0</v>
      </c>
      <c r="CL14" s="21"/>
      <c r="CM14" s="22"/>
      <c r="CN14" s="70" t="n">
        <f aca="false">CM14-CL14</f>
        <v>0</v>
      </c>
      <c r="CO14" s="21"/>
      <c r="CP14" s="22"/>
      <c r="CQ14" s="70" t="n">
        <f aca="false">CP14-CO14</f>
        <v>0</v>
      </c>
      <c r="CR14" s="21"/>
      <c r="CS14" s="22"/>
      <c r="CT14" s="70" t="n">
        <f aca="false">CS14-CR14</f>
        <v>0</v>
      </c>
      <c r="CU14" s="21"/>
      <c r="CV14" s="22"/>
      <c r="CW14" s="70" t="n">
        <f aca="false">CV14-CU14</f>
        <v>0</v>
      </c>
      <c r="CX14" s="21"/>
      <c r="CY14" s="22"/>
      <c r="CZ14" s="70" t="n">
        <f aca="false">CY14-CX14</f>
        <v>0</v>
      </c>
      <c r="DA14" s="21"/>
      <c r="DB14" s="22"/>
      <c r="DC14" s="70" t="n">
        <f aca="false">DB14-DA14</f>
        <v>0</v>
      </c>
      <c r="DD14" s="21"/>
      <c r="DE14" s="22"/>
      <c r="DF14" s="70" t="n">
        <f aca="false">DE14-DD14</f>
        <v>0</v>
      </c>
      <c r="DG14" s="21"/>
      <c r="DH14" s="22"/>
      <c r="DI14" s="70" t="n">
        <f aca="false">DH14-DG14</f>
        <v>0</v>
      </c>
      <c r="DJ14" s="21"/>
      <c r="DK14" s="22"/>
      <c r="DL14" s="70" t="n">
        <f aca="false">DK14-DJ14</f>
        <v>0</v>
      </c>
      <c r="DM14" s="21"/>
      <c r="DN14" s="22"/>
      <c r="DO14" s="70" t="n">
        <f aca="false">DN14-DM14</f>
        <v>0</v>
      </c>
      <c r="DP14" s="21"/>
      <c r="DQ14" s="22"/>
      <c r="DR14" s="70" t="n">
        <f aca="false">DQ14-DP14</f>
        <v>0</v>
      </c>
      <c r="DS14" s="70" t="n">
        <f aca="false">+C14+F14+I14+L14+O14+R14+U14+X14+AA14+AD14+AG14+AJ14+AM14+AP14+AS14+AV14+AY14+BB14+BE14+BH14+BK14+BN14+BQ14+BT14+BW14+BZ14+CC14+CF14+CI14+CL14+CO14+CR14+CU14+CX14+DA14+DD14+DG14+DJ14+DM14+DP14</f>
        <v>440000</v>
      </c>
      <c r="DT14" s="70" t="n">
        <f aca="false">+D14+G14+J14+M14+P14+S14+V14+Y14+AB14+AE14+AH14+AK14+AN14+AQ14+AT14+AW14+AZ14+BC14+BF14+BI14+BL14+BO14+BR14+BU14+BX14+CA14+CD14+CG14+CJ14+CM14+CP14+CS14+CV14+CY14+DB14+DE14+DH14+DK14+DN14+DQ14</f>
        <v>407183</v>
      </c>
      <c r="DU14" s="70" t="n">
        <f aca="false">DT14-DS14</f>
        <v>-32817</v>
      </c>
      <c r="DV14" s="22" t="n">
        <f aca="false">+DV13+DU14</f>
        <v>-169138</v>
      </c>
      <c r="DW14" s="74"/>
      <c r="DX14" s="70" t="n">
        <f aca="false">+DS14-AV14</f>
        <v>125000</v>
      </c>
      <c r="DY14" s="70" t="n">
        <f aca="false">+DT14-AW14</f>
        <v>106217</v>
      </c>
      <c r="DZ14" s="22" t="n">
        <f aca="false">+DY14-DX14</f>
        <v>-18783</v>
      </c>
      <c r="EA14" s="22" t="n">
        <f aca="false">+EA13+DZ14</f>
        <v>-75651</v>
      </c>
      <c r="EB14" s="74"/>
      <c r="EC14" s="22" t="n">
        <f aca="false">+AX14</f>
        <v>-14034</v>
      </c>
      <c r="ED14" s="22" t="n">
        <f aca="false">+EC14</f>
        <v>-14034</v>
      </c>
      <c r="EE14" s="74"/>
      <c r="EF14" s="74"/>
      <c r="EG14" s="74"/>
      <c r="EH14" s="74"/>
      <c r="EI14" s="74"/>
      <c r="EJ14" s="74"/>
      <c r="EK14" s="74"/>
    </row>
    <row r="15" customFormat="false" ht="12.75" hidden="false" customHeight="false" outlineLevel="0" collapsed="false">
      <c r="A15" s="69" t="n">
        <f aca="false">+BaseloadMarkets!A15</f>
        <v>36687</v>
      </c>
      <c r="B15" s="69" t="str">
        <f aca="false">+BaseloadMarkets!B15</f>
        <v>Sat</v>
      </c>
      <c r="C15" s="21" t="n">
        <v>5000</v>
      </c>
      <c r="D15" s="22" t="n">
        <v>5000</v>
      </c>
      <c r="E15" s="70" t="n">
        <f aca="false">D15-C15</f>
        <v>0</v>
      </c>
      <c r="F15" s="21" t="n">
        <v>5000</v>
      </c>
      <c r="G15" s="22" t="n">
        <v>2570</v>
      </c>
      <c r="H15" s="70" t="n">
        <f aca="false">G15-F15</f>
        <v>-2430</v>
      </c>
      <c r="I15" s="21" t="n">
        <v>5000</v>
      </c>
      <c r="J15" s="22" t="n">
        <v>2570</v>
      </c>
      <c r="K15" s="70" t="n">
        <f aca="false">J15-I15</f>
        <v>-2430</v>
      </c>
      <c r="L15" s="21" t="n">
        <v>10000</v>
      </c>
      <c r="M15" s="22" t="n">
        <v>4986</v>
      </c>
      <c r="N15" s="70" t="n">
        <f aca="false">M15-L15</f>
        <v>-5014</v>
      </c>
      <c r="O15" s="21" t="n">
        <v>5000</v>
      </c>
      <c r="P15" s="22" t="n">
        <v>5000</v>
      </c>
      <c r="Q15" s="70" t="n">
        <f aca="false">P15-O15</f>
        <v>0</v>
      </c>
      <c r="R15" s="21" t="n">
        <v>5000</v>
      </c>
      <c r="S15" s="22" t="n">
        <v>5000</v>
      </c>
      <c r="T15" s="70" t="n">
        <f aca="false">S15-R15</f>
        <v>0</v>
      </c>
      <c r="U15" s="21" t="n">
        <v>10000</v>
      </c>
      <c r="V15" s="22" t="n">
        <v>10000</v>
      </c>
      <c r="W15" s="70" t="n">
        <f aca="false">V15-U15</f>
        <v>0</v>
      </c>
      <c r="X15" s="21" t="n">
        <f aca="false">5000+5000+5000+5000</f>
        <v>20000</v>
      </c>
      <c r="Y15" s="21" t="n">
        <f aca="false">5000+5000+5000+5000</f>
        <v>20000</v>
      </c>
      <c r="Z15" s="70" t="n">
        <f aca="false">Y15-X15</f>
        <v>0</v>
      </c>
      <c r="AA15" s="21" t="n">
        <v>5000</v>
      </c>
      <c r="AB15" s="22" t="n">
        <f aca="false">5000-3000+1603</f>
        <v>3603</v>
      </c>
      <c r="AC15" s="70" t="n">
        <f aca="false">AB15-AA15</f>
        <v>-1397</v>
      </c>
      <c r="AD15" s="21" t="n">
        <f aca="false">5000+5000+5000</f>
        <v>15000</v>
      </c>
      <c r="AE15" s="21" t="n">
        <f aca="false">5000+5000+5000</f>
        <v>15000</v>
      </c>
      <c r="AF15" s="70" t="n">
        <f aca="false">AE15-AD15</f>
        <v>0</v>
      </c>
      <c r="AG15" s="21" t="n">
        <v>5000</v>
      </c>
      <c r="AH15" s="22" t="n">
        <v>5000</v>
      </c>
      <c r="AI15" s="70" t="n">
        <f aca="false">AH15-AG15</f>
        <v>0</v>
      </c>
      <c r="AJ15" s="21" t="n">
        <f aca="false">5000+5000</f>
        <v>10000</v>
      </c>
      <c r="AK15" s="21" t="n">
        <v>4929</v>
      </c>
      <c r="AL15" s="70" t="n">
        <f aca="false">AK15-AJ15</f>
        <v>-5071</v>
      </c>
      <c r="AM15" s="21" t="n">
        <v>10000</v>
      </c>
      <c r="AN15" s="22" t="n">
        <v>5847</v>
      </c>
      <c r="AO15" s="70" t="n">
        <f aca="false">AN15-AM15</f>
        <v>-4153</v>
      </c>
      <c r="AP15" s="21" t="n">
        <v>15000</v>
      </c>
      <c r="AQ15" s="21" t="n">
        <v>8770</v>
      </c>
      <c r="AR15" s="70" t="n">
        <f aca="false">AQ15-AP15</f>
        <v>-6230</v>
      </c>
      <c r="AS15" s="21"/>
      <c r="AT15" s="22"/>
      <c r="AU15" s="70" t="n">
        <f aca="false">AT15-AS15</f>
        <v>0</v>
      </c>
      <c r="AV15" s="21" t="n">
        <v>145000</v>
      </c>
      <c r="AW15" s="22" t="n">
        <f aca="false">145000-5000-20000+15993-19000+6920</f>
        <v>123913</v>
      </c>
      <c r="AX15" s="70" t="n">
        <f aca="false">AW15-AV15</f>
        <v>-21087</v>
      </c>
      <c r="AY15" s="21"/>
      <c r="AZ15" s="22"/>
      <c r="BA15" s="70" t="n">
        <f aca="false">AZ15-AY15</f>
        <v>0</v>
      </c>
      <c r="BB15" s="21"/>
      <c r="BC15" s="22"/>
      <c r="BD15" s="70" t="n">
        <f aca="false">BC15-BB15</f>
        <v>0</v>
      </c>
      <c r="BE15" s="21"/>
      <c r="BF15" s="22"/>
      <c r="BG15" s="70" t="n">
        <f aca="false">BF15-BE15</f>
        <v>0</v>
      </c>
      <c r="BH15" s="21"/>
      <c r="BI15" s="22"/>
      <c r="BJ15" s="70" t="n">
        <f aca="false">BI15-BH15</f>
        <v>0</v>
      </c>
      <c r="BK15" s="21"/>
      <c r="BL15" s="22"/>
      <c r="BM15" s="70" t="n">
        <f aca="false">BL15-BK15</f>
        <v>0</v>
      </c>
      <c r="BN15" s="21"/>
      <c r="BO15" s="22"/>
      <c r="BP15" s="70" t="n">
        <f aca="false">BO15-BN15</f>
        <v>0</v>
      </c>
      <c r="BQ15" s="21"/>
      <c r="BR15" s="22"/>
      <c r="BS15" s="70" t="n">
        <f aca="false">BR15-BQ15</f>
        <v>0</v>
      </c>
      <c r="BT15" s="21"/>
      <c r="BU15" s="22"/>
      <c r="BV15" s="70" t="n">
        <f aca="false">BU15-BT15</f>
        <v>0</v>
      </c>
      <c r="BW15" s="21"/>
      <c r="BX15" s="22"/>
      <c r="BY15" s="70" t="n">
        <f aca="false">BX15-BW15</f>
        <v>0</v>
      </c>
      <c r="BZ15" s="21"/>
      <c r="CA15" s="22"/>
      <c r="CB15" s="70" t="n">
        <f aca="false">CA15-BZ15</f>
        <v>0</v>
      </c>
      <c r="CC15" s="21"/>
      <c r="CD15" s="22"/>
      <c r="CE15" s="70" t="n">
        <f aca="false">CD15-CC15</f>
        <v>0</v>
      </c>
      <c r="CF15" s="21"/>
      <c r="CG15" s="22"/>
      <c r="CH15" s="70" t="n">
        <f aca="false">CG15-CF15</f>
        <v>0</v>
      </c>
      <c r="CI15" s="21"/>
      <c r="CJ15" s="22"/>
      <c r="CK15" s="70" t="n">
        <f aca="false">CJ15-CI15</f>
        <v>0</v>
      </c>
      <c r="CL15" s="21"/>
      <c r="CM15" s="22"/>
      <c r="CN15" s="70" t="n">
        <f aca="false">CM15-CL15</f>
        <v>0</v>
      </c>
      <c r="CO15" s="21"/>
      <c r="CP15" s="22"/>
      <c r="CQ15" s="70" t="n">
        <f aca="false">CP15-CO15</f>
        <v>0</v>
      </c>
      <c r="CR15" s="21"/>
      <c r="CS15" s="22"/>
      <c r="CT15" s="70" t="n">
        <f aca="false">CS15-CR15</f>
        <v>0</v>
      </c>
      <c r="CU15" s="21"/>
      <c r="CV15" s="22"/>
      <c r="CW15" s="70" t="n">
        <f aca="false">CV15-CU15</f>
        <v>0</v>
      </c>
      <c r="CX15" s="21"/>
      <c r="CY15" s="22"/>
      <c r="CZ15" s="70" t="n">
        <f aca="false">CY15-CX15</f>
        <v>0</v>
      </c>
      <c r="DA15" s="21"/>
      <c r="DB15" s="22"/>
      <c r="DC15" s="70" t="n">
        <f aca="false">DB15-DA15</f>
        <v>0</v>
      </c>
      <c r="DD15" s="21"/>
      <c r="DE15" s="22"/>
      <c r="DF15" s="70" t="n">
        <f aca="false">DE15-DD15</f>
        <v>0</v>
      </c>
      <c r="DG15" s="21"/>
      <c r="DH15" s="22"/>
      <c r="DI15" s="70" t="n">
        <f aca="false">DH15-DG15</f>
        <v>0</v>
      </c>
      <c r="DJ15" s="21"/>
      <c r="DK15" s="22"/>
      <c r="DL15" s="70" t="n">
        <f aca="false">DK15-DJ15</f>
        <v>0</v>
      </c>
      <c r="DM15" s="21"/>
      <c r="DN15" s="22"/>
      <c r="DO15" s="70" t="n">
        <f aca="false">DN15-DM15</f>
        <v>0</v>
      </c>
      <c r="DP15" s="21"/>
      <c r="DQ15" s="22"/>
      <c r="DR15" s="70" t="n">
        <f aca="false">DQ15-DP15</f>
        <v>0</v>
      </c>
      <c r="DS15" s="70" t="n">
        <f aca="false">+C15+F15+I15+L15+O15+R15+U15+X15+AA15+AD15+AG15+AJ15+AM15+AP15+AS15+AV15+AY15+BB15+BE15+BH15+BK15+BN15+BQ15+BT15+BW15+BZ15+CC15+CF15+CI15+CL15+CO15+CR15+CU15+CX15+DA15+DD15+DG15+DJ15+DM15+DP15</f>
        <v>270000</v>
      </c>
      <c r="DT15" s="70" t="n">
        <f aca="false">+D15+G15+J15+M15+P15+S15+V15+Y15+AB15+AE15+AH15+AK15+AN15+AQ15+AT15+AW15+AZ15+BC15+BF15+BI15+BL15+BO15+BR15+BU15+BX15+CA15+CD15+CG15+CJ15+CM15+CP15+CS15+CV15+CY15+DB15+DE15+DH15+DK15+DN15+DQ15</f>
        <v>222188</v>
      </c>
      <c r="DU15" s="70" t="n">
        <f aca="false">DT15-DS15</f>
        <v>-47812</v>
      </c>
      <c r="DV15" s="22" t="n">
        <f aca="false">+DV14+DU15</f>
        <v>-216950</v>
      </c>
      <c r="DW15" s="74"/>
      <c r="DX15" s="70" t="n">
        <f aca="false">+DS15-AV15</f>
        <v>125000</v>
      </c>
      <c r="DY15" s="70" t="n">
        <f aca="false">+DT15-AW15</f>
        <v>98275</v>
      </c>
      <c r="DZ15" s="22" t="n">
        <f aca="false">+DY15-DX15</f>
        <v>-26725</v>
      </c>
      <c r="EA15" s="22" t="n">
        <f aca="false">+EA14+DZ15</f>
        <v>-102376</v>
      </c>
      <c r="EB15" s="74"/>
      <c r="EC15" s="22" t="n">
        <f aca="false">+AX15</f>
        <v>-21087</v>
      </c>
      <c r="ED15" s="22" t="n">
        <f aca="false">+EC15</f>
        <v>-21087</v>
      </c>
      <c r="EE15" s="74"/>
      <c r="EF15" s="74"/>
      <c r="EG15" s="74"/>
      <c r="EH15" s="74"/>
      <c r="EI15" s="74"/>
      <c r="EJ15" s="74"/>
      <c r="EK15" s="74"/>
    </row>
    <row r="16" customFormat="false" ht="12.75" hidden="false" customHeight="false" outlineLevel="0" collapsed="false">
      <c r="A16" s="69" t="n">
        <f aca="false">+BaseloadMarkets!A16</f>
        <v>36688</v>
      </c>
      <c r="B16" s="69" t="str">
        <f aca="false">+BaseloadMarkets!B16</f>
        <v>Sun</v>
      </c>
      <c r="C16" s="21" t="n">
        <v>5000</v>
      </c>
      <c r="D16" s="22" t="n">
        <v>5000</v>
      </c>
      <c r="E16" s="70" t="n">
        <f aca="false">D16-C16</f>
        <v>0</v>
      </c>
      <c r="F16" s="21" t="n">
        <v>5000</v>
      </c>
      <c r="G16" s="22" t="n">
        <v>2651</v>
      </c>
      <c r="H16" s="70" t="n">
        <f aca="false">G16-F16</f>
        <v>-2349</v>
      </c>
      <c r="I16" s="21" t="n">
        <v>5000</v>
      </c>
      <c r="J16" s="22" t="n">
        <v>2651</v>
      </c>
      <c r="K16" s="70" t="n">
        <f aca="false">J16-I16</f>
        <v>-2349</v>
      </c>
      <c r="L16" s="21" t="n">
        <v>10000</v>
      </c>
      <c r="M16" s="22" t="n">
        <v>3317</v>
      </c>
      <c r="N16" s="70" t="n">
        <f aca="false">M16-L16</f>
        <v>-6683</v>
      </c>
      <c r="O16" s="21" t="n">
        <v>5000</v>
      </c>
      <c r="P16" s="22" t="n">
        <v>5000</v>
      </c>
      <c r="Q16" s="70" t="n">
        <f aca="false">P16-O16</f>
        <v>0</v>
      </c>
      <c r="R16" s="21" t="n">
        <v>5000</v>
      </c>
      <c r="S16" s="22" t="n">
        <v>5000</v>
      </c>
      <c r="T16" s="70" t="n">
        <f aca="false">S16-R16</f>
        <v>0</v>
      </c>
      <c r="U16" s="21" t="n">
        <v>10000</v>
      </c>
      <c r="V16" s="22" t="n">
        <v>10000</v>
      </c>
      <c r="W16" s="70" t="n">
        <f aca="false">V16-U16</f>
        <v>0</v>
      </c>
      <c r="X16" s="21" t="n">
        <f aca="false">5000+5000+5000+5000</f>
        <v>20000</v>
      </c>
      <c r="Y16" s="21" t="n">
        <f aca="false">5000+5000+5000+5000</f>
        <v>20000</v>
      </c>
      <c r="Z16" s="70" t="n">
        <f aca="false">Y16-X16</f>
        <v>0</v>
      </c>
      <c r="AA16" s="21" t="n">
        <v>5000</v>
      </c>
      <c r="AB16" s="22" t="n">
        <f aca="false">2000+1575</f>
        <v>3575</v>
      </c>
      <c r="AC16" s="70" t="n">
        <f aca="false">AB16-AA16</f>
        <v>-1425</v>
      </c>
      <c r="AD16" s="21" t="n">
        <f aca="false">5000+5000+5000</f>
        <v>15000</v>
      </c>
      <c r="AE16" s="21" t="n">
        <f aca="false">5000+5000+5000</f>
        <v>15000</v>
      </c>
      <c r="AF16" s="70" t="n">
        <f aca="false">AE16-AD16</f>
        <v>0</v>
      </c>
      <c r="AG16" s="21" t="n">
        <v>5000</v>
      </c>
      <c r="AH16" s="22" t="n">
        <v>5000</v>
      </c>
      <c r="AI16" s="70" t="n">
        <f aca="false">AH16-AG16</f>
        <v>0</v>
      </c>
      <c r="AJ16" s="21" t="n">
        <f aca="false">5000+5000</f>
        <v>10000</v>
      </c>
      <c r="AK16" s="21" t="n">
        <f aca="false">2490+2490</f>
        <v>4980</v>
      </c>
      <c r="AL16" s="70" t="n">
        <f aca="false">AK16-AJ16</f>
        <v>-5020</v>
      </c>
      <c r="AM16" s="21" t="n">
        <v>10000</v>
      </c>
      <c r="AN16" s="22" t="n">
        <v>4998</v>
      </c>
      <c r="AO16" s="70" t="n">
        <f aca="false">AN16-AM16</f>
        <v>-5002</v>
      </c>
      <c r="AP16" s="21" t="n">
        <f aca="false">10000+5000</f>
        <v>15000</v>
      </c>
      <c r="AQ16" s="21" t="n">
        <f aca="false">4998+2498</f>
        <v>7496</v>
      </c>
      <c r="AR16" s="70" t="n">
        <f aca="false">AQ16-AP16</f>
        <v>-7504</v>
      </c>
      <c r="AS16" s="21"/>
      <c r="AT16" s="22"/>
      <c r="AU16" s="70" t="n">
        <f aca="false">AT16-AS16</f>
        <v>0</v>
      </c>
      <c r="AV16" s="21" t="n">
        <v>145000</v>
      </c>
      <c r="AW16" s="22" t="n">
        <f aca="false">145000-20000+15307-5000+2051-19000+6298</f>
        <v>124656</v>
      </c>
      <c r="AX16" s="70" t="n">
        <f aca="false">AW16-AV16</f>
        <v>-20344</v>
      </c>
      <c r="AY16" s="21"/>
      <c r="AZ16" s="22"/>
      <c r="BA16" s="70" t="n">
        <f aca="false">AZ16-AY16</f>
        <v>0</v>
      </c>
      <c r="BB16" s="21"/>
      <c r="BC16" s="22"/>
      <c r="BD16" s="70" t="n">
        <f aca="false">BC16-BB16</f>
        <v>0</v>
      </c>
      <c r="BE16" s="21"/>
      <c r="BF16" s="22"/>
      <c r="BG16" s="70" t="n">
        <f aca="false">BF16-BE16</f>
        <v>0</v>
      </c>
      <c r="BH16" s="21"/>
      <c r="BI16" s="22"/>
      <c r="BJ16" s="70" t="n">
        <f aca="false">BI16-BH16</f>
        <v>0</v>
      </c>
      <c r="BK16" s="21"/>
      <c r="BL16" s="22"/>
      <c r="BM16" s="70" t="n">
        <f aca="false">BL16-BK16</f>
        <v>0</v>
      </c>
      <c r="BN16" s="21"/>
      <c r="BO16" s="22"/>
      <c r="BP16" s="70" t="n">
        <f aca="false">BO16-BN16</f>
        <v>0</v>
      </c>
      <c r="BQ16" s="21"/>
      <c r="BR16" s="22"/>
      <c r="BS16" s="70" t="n">
        <f aca="false">BR16-BQ16</f>
        <v>0</v>
      </c>
      <c r="BT16" s="21"/>
      <c r="BU16" s="22"/>
      <c r="BV16" s="70" t="n">
        <f aca="false">BU16-BT16</f>
        <v>0</v>
      </c>
      <c r="BW16" s="21"/>
      <c r="BX16" s="22"/>
      <c r="BY16" s="70" t="n">
        <f aca="false">BX16-BW16</f>
        <v>0</v>
      </c>
      <c r="BZ16" s="21"/>
      <c r="CA16" s="22"/>
      <c r="CB16" s="70" t="n">
        <f aca="false">CA16-BZ16</f>
        <v>0</v>
      </c>
      <c r="CC16" s="21"/>
      <c r="CD16" s="22"/>
      <c r="CE16" s="70" t="n">
        <f aca="false">CD16-CC16</f>
        <v>0</v>
      </c>
      <c r="CF16" s="21"/>
      <c r="CG16" s="22"/>
      <c r="CH16" s="70" t="n">
        <f aca="false">CG16-CF16</f>
        <v>0</v>
      </c>
      <c r="CI16" s="21"/>
      <c r="CJ16" s="22"/>
      <c r="CK16" s="70" t="n">
        <f aca="false">CJ16-CI16</f>
        <v>0</v>
      </c>
      <c r="CL16" s="21"/>
      <c r="CM16" s="22"/>
      <c r="CN16" s="70" t="n">
        <f aca="false">CM16-CL16</f>
        <v>0</v>
      </c>
      <c r="CO16" s="21"/>
      <c r="CP16" s="22"/>
      <c r="CQ16" s="70" t="n">
        <f aca="false">CP16-CO16</f>
        <v>0</v>
      </c>
      <c r="CR16" s="21"/>
      <c r="CS16" s="22"/>
      <c r="CT16" s="70" t="n">
        <f aca="false">CS16-CR16</f>
        <v>0</v>
      </c>
      <c r="CU16" s="21"/>
      <c r="CV16" s="22"/>
      <c r="CW16" s="70" t="n">
        <f aca="false">CV16-CU16</f>
        <v>0</v>
      </c>
      <c r="CX16" s="21"/>
      <c r="CY16" s="22"/>
      <c r="CZ16" s="70" t="n">
        <f aca="false">CY16-CX16</f>
        <v>0</v>
      </c>
      <c r="DA16" s="21"/>
      <c r="DB16" s="22"/>
      <c r="DC16" s="70" t="n">
        <f aca="false">DB16-DA16</f>
        <v>0</v>
      </c>
      <c r="DD16" s="21"/>
      <c r="DE16" s="22"/>
      <c r="DF16" s="70" t="n">
        <f aca="false">DE16-DD16</f>
        <v>0</v>
      </c>
      <c r="DG16" s="21"/>
      <c r="DH16" s="22"/>
      <c r="DI16" s="70" t="n">
        <f aca="false">DH16-DG16</f>
        <v>0</v>
      </c>
      <c r="DJ16" s="21"/>
      <c r="DK16" s="22"/>
      <c r="DL16" s="70" t="n">
        <f aca="false">DK16-DJ16</f>
        <v>0</v>
      </c>
      <c r="DM16" s="21"/>
      <c r="DN16" s="22"/>
      <c r="DO16" s="70" t="n">
        <f aca="false">DN16-DM16</f>
        <v>0</v>
      </c>
      <c r="DP16" s="21"/>
      <c r="DQ16" s="22"/>
      <c r="DR16" s="70" t="n">
        <f aca="false">DQ16-DP16</f>
        <v>0</v>
      </c>
      <c r="DS16" s="70" t="n">
        <f aca="false">+C16+F16+I16+L16+O16+R16+U16+X16+AA16+AD16+AG16+AJ16+AM16+AP16+AS16+AV16+AY16+BB16+BE16+BH16+BK16+BN16+BQ16+BT16+BW16+BZ16+CC16+CF16+CI16+CL16+CO16+CR16+CU16+CX16+DA16+DD16+DG16+DJ16+DM16+DP16</f>
        <v>270000</v>
      </c>
      <c r="DT16" s="70" t="n">
        <f aca="false">+D16+G16+J16+M16+P16+S16+V16+Y16+AB16+AE16+AH16+AK16+AN16+AQ16+AT16+AW16+AZ16+BC16+BF16+BI16+BL16+BO16+BR16+BU16+BX16+CA16+CD16+CG16+CJ16+CM16+CP16+CS16+CV16+CY16+DB16+DE16+DH16+DK16+DN16+DQ16</f>
        <v>219324</v>
      </c>
      <c r="DU16" s="70" t="n">
        <f aca="false">DT16-DS16</f>
        <v>-50676</v>
      </c>
      <c r="DV16" s="22" t="n">
        <f aca="false">+DV15+DU16</f>
        <v>-267626</v>
      </c>
      <c r="DW16" s="74"/>
      <c r="DX16" s="70" t="n">
        <f aca="false">+DS16-AV16</f>
        <v>125000</v>
      </c>
      <c r="DY16" s="70" t="n">
        <f aca="false">+DT16-AW16</f>
        <v>94668</v>
      </c>
      <c r="DZ16" s="22" t="n">
        <f aca="false">+DY16-DX16</f>
        <v>-30332</v>
      </c>
      <c r="EA16" s="22" t="n">
        <f aca="false">+EA15+DZ16</f>
        <v>-132708</v>
      </c>
      <c r="EB16" s="74"/>
      <c r="EC16" s="22" t="n">
        <f aca="false">+AX16</f>
        <v>-20344</v>
      </c>
      <c r="ED16" s="22" t="n">
        <f aca="false">+EC16</f>
        <v>-20344</v>
      </c>
      <c r="EE16" s="74"/>
      <c r="EF16" s="74"/>
      <c r="EG16" s="74"/>
      <c r="EH16" s="74"/>
      <c r="EI16" s="74"/>
      <c r="EJ16" s="74"/>
      <c r="EK16" s="74"/>
    </row>
    <row r="17" customFormat="false" ht="12.75" hidden="false" customHeight="false" outlineLevel="0" collapsed="false">
      <c r="A17" s="69" t="n">
        <f aca="false">+BaseloadMarkets!A17</f>
        <v>36689</v>
      </c>
      <c r="B17" s="69" t="str">
        <f aca="false">+BaseloadMarkets!B17</f>
        <v>Mon</v>
      </c>
      <c r="C17" s="21" t="n">
        <v>5000</v>
      </c>
      <c r="D17" s="22" t="n">
        <v>5000</v>
      </c>
      <c r="E17" s="70" t="n">
        <f aca="false">D17-C17</f>
        <v>0</v>
      </c>
      <c r="F17" s="21" t="n">
        <v>5000</v>
      </c>
      <c r="G17" s="22" t="n">
        <v>2452</v>
      </c>
      <c r="H17" s="70" t="n">
        <f aca="false">G17-F17</f>
        <v>-2548</v>
      </c>
      <c r="I17" s="21" t="n">
        <v>5000</v>
      </c>
      <c r="J17" s="22" t="n">
        <v>2452</v>
      </c>
      <c r="K17" s="70" t="n">
        <f aca="false">J17-I17</f>
        <v>-2548</v>
      </c>
      <c r="L17" s="21" t="n">
        <v>10000</v>
      </c>
      <c r="M17" s="22" t="n">
        <v>3760</v>
      </c>
      <c r="N17" s="70" t="n">
        <f aca="false">M17-L17</f>
        <v>-6240</v>
      </c>
      <c r="O17" s="21" t="n">
        <v>5000</v>
      </c>
      <c r="P17" s="22" t="n">
        <v>5000</v>
      </c>
      <c r="Q17" s="70" t="n">
        <f aca="false">P17-O17</f>
        <v>0</v>
      </c>
      <c r="R17" s="21" t="n">
        <v>5000</v>
      </c>
      <c r="S17" s="22" t="n">
        <v>5000</v>
      </c>
      <c r="T17" s="70" t="n">
        <f aca="false">S17-R17</f>
        <v>0</v>
      </c>
      <c r="U17" s="21" t="n">
        <v>10000</v>
      </c>
      <c r="V17" s="22" t="n">
        <v>10000</v>
      </c>
      <c r="W17" s="70" t="n">
        <f aca="false">V17-U17</f>
        <v>0</v>
      </c>
      <c r="X17" s="21" t="n">
        <f aca="false">5000+5000+5000+5000</f>
        <v>20000</v>
      </c>
      <c r="Y17" s="21" t="n">
        <f aca="false">5000+5000+5000+5000</f>
        <v>20000</v>
      </c>
      <c r="Z17" s="70" t="n">
        <f aca="false">Y17-X17</f>
        <v>0</v>
      </c>
      <c r="AA17" s="21" t="n">
        <v>5000</v>
      </c>
      <c r="AB17" s="22" t="n">
        <f aca="false">2000+1488</f>
        <v>3488</v>
      </c>
      <c r="AC17" s="70" t="n">
        <f aca="false">AB17-AA17</f>
        <v>-1512</v>
      </c>
      <c r="AD17" s="21" t="n">
        <f aca="false">5000+5000+5000</f>
        <v>15000</v>
      </c>
      <c r="AE17" s="21" t="n">
        <f aca="false">5000+5000+5000</f>
        <v>15000</v>
      </c>
      <c r="AF17" s="70" t="n">
        <f aca="false">AE17-AD17</f>
        <v>0</v>
      </c>
      <c r="AG17" s="21" t="n">
        <v>5000</v>
      </c>
      <c r="AH17" s="22" t="n">
        <v>5000</v>
      </c>
      <c r="AI17" s="70" t="n">
        <f aca="false">AH17-AG17</f>
        <v>0</v>
      </c>
      <c r="AJ17" s="21" t="n">
        <f aca="false">5000+5000</f>
        <v>10000</v>
      </c>
      <c r="AK17" s="21" t="n">
        <v>5461</v>
      </c>
      <c r="AL17" s="70" t="n">
        <f aca="false">AK17-AJ17</f>
        <v>-4539</v>
      </c>
      <c r="AM17" s="21" t="n">
        <v>10000</v>
      </c>
      <c r="AN17" s="22" t="n">
        <v>5722</v>
      </c>
      <c r="AO17" s="70" t="n">
        <f aca="false">AN17-AM17</f>
        <v>-4278</v>
      </c>
      <c r="AP17" s="21" t="n">
        <f aca="false">10000+5000</f>
        <v>15000</v>
      </c>
      <c r="AQ17" s="21" t="n">
        <v>8582</v>
      </c>
      <c r="AR17" s="70" t="n">
        <f aca="false">AQ17-AP17</f>
        <v>-6418</v>
      </c>
      <c r="AS17" s="21"/>
      <c r="AT17" s="22"/>
      <c r="AU17" s="70" t="n">
        <f aca="false">AT17-AS17</f>
        <v>0</v>
      </c>
      <c r="AV17" s="21" t="n">
        <v>145000</v>
      </c>
      <c r="AW17" s="22" t="n">
        <f aca="false">8035+10000+5232+10000+6069+2729+10000+10000+10000+10000+10000+10000+9163+5000+10000</f>
        <v>126228</v>
      </c>
      <c r="AX17" s="70" t="n">
        <f aca="false">AW17-AV17</f>
        <v>-18772</v>
      </c>
      <c r="AY17" s="21"/>
      <c r="AZ17" s="22"/>
      <c r="BA17" s="70" t="n">
        <f aca="false">AZ17-AY17</f>
        <v>0</v>
      </c>
      <c r="BB17" s="21"/>
      <c r="BC17" s="22"/>
      <c r="BD17" s="70" t="n">
        <f aca="false">BC17-BB17</f>
        <v>0</v>
      </c>
      <c r="BE17" s="21"/>
      <c r="BF17" s="22"/>
      <c r="BG17" s="70" t="n">
        <f aca="false">BF17-BE17</f>
        <v>0</v>
      </c>
      <c r="BH17" s="21"/>
      <c r="BI17" s="22"/>
      <c r="BJ17" s="70" t="n">
        <f aca="false">BI17-BH17</f>
        <v>0</v>
      </c>
      <c r="BK17" s="21"/>
      <c r="BL17" s="22"/>
      <c r="BM17" s="70" t="n">
        <f aca="false">BL17-BK17</f>
        <v>0</v>
      </c>
      <c r="BN17" s="21"/>
      <c r="BO17" s="22"/>
      <c r="BP17" s="70" t="n">
        <f aca="false">BO17-BN17</f>
        <v>0</v>
      </c>
      <c r="BQ17" s="21"/>
      <c r="BR17" s="22"/>
      <c r="BS17" s="70" t="n">
        <f aca="false">BR17-BQ17</f>
        <v>0</v>
      </c>
      <c r="BT17" s="21"/>
      <c r="BU17" s="22"/>
      <c r="BV17" s="70" t="n">
        <f aca="false">BU17-BT17</f>
        <v>0</v>
      </c>
      <c r="BW17" s="21"/>
      <c r="BX17" s="22"/>
      <c r="BY17" s="70" t="n">
        <f aca="false">BX17-BW17</f>
        <v>0</v>
      </c>
      <c r="BZ17" s="21"/>
      <c r="CA17" s="22"/>
      <c r="CB17" s="70" t="n">
        <f aca="false">CA17-BZ17</f>
        <v>0</v>
      </c>
      <c r="CC17" s="21"/>
      <c r="CD17" s="22"/>
      <c r="CE17" s="70" t="n">
        <f aca="false">CD17-CC17</f>
        <v>0</v>
      </c>
      <c r="CF17" s="21"/>
      <c r="CG17" s="22"/>
      <c r="CH17" s="70" t="n">
        <f aca="false">CG17-CF17</f>
        <v>0</v>
      </c>
      <c r="CI17" s="21"/>
      <c r="CJ17" s="22"/>
      <c r="CK17" s="70" t="n">
        <f aca="false">CJ17-CI17</f>
        <v>0</v>
      </c>
      <c r="CL17" s="21"/>
      <c r="CM17" s="22"/>
      <c r="CN17" s="70" t="n">
        <f aca="false">CM17-CL17</f>
        <v>0</v>
      </c>
      <c r="CO17" s="21"/>
      <c r="CP17" s="22"/>
      <c r="CQ17" s="70" t="n">
        <f aca="false">CP17-CO17</f>
        <v>0</v>
      </c>
      <c r="CR17" s="21"/>
      <c r="CS17" s="22"/>
      <c r="CT17" s="70" t="n">
        <f aca="false">CS17-CR17</f>
        <v>0</v>
      </c>
      <c r="CU17" s="21"/>
      <c r="CV17" s="22"/>
      <c r="CW17" s="70" t="n">
        <f aca="false">CV17-CU17</f>
        <v>0</v>
      </c>
      <c r="CX17" s="21"/>
      <c r="CY17" s="22"/>
      <c r="CZ17" s="70" t="n">
        <f aca="false">CY17-CX17</f>
        <v>0</v>
      </c>
      <c r="DA17" s="21"/>
      <c r="DB17" s="22"/>
      <c r="DC17" s="70" t="n">
        <f aca="false">DB17-DA17</f>
        <v>0</v>
      </c>
      <c r="DD17" s="21"/>
      <c r="DE17" s="22"/>
      <c r="DF17" s="70" t="n">
        <f aca="false">DE17-DD17</f>
        <v>0</v>
      </c>
      <c r="DG17" s="21"/>
      <c r="DH17" s="22"/>
      <c r="DI17" s="70" t="n">
        <f aca="false">DH17-DG17</f>
        <v>0</v>
      </c>
      <c r="DJ17" s="21"/>
      <c r="DK17" s="22"/>
      <c r="DL17" s="70" t="n">
        <f aca="false">DK17-DJ17</f>
        <v>0</v>
      </c>
      <c r="DM17" s="21"/>
      <c r="DN17" s="22"/>
      <c r="DO17" s="70" t="n">
        <f aca="false">DN17-DM17</f>
        <v>0</v>
      </c>
      <c r="DP17" s="21"/>
      <c r="DQ17" s="22"/>
      <c r="DR17" s="70" t="n">
        <f aca="false">DQ17-DP17</f>
        <v>0</v>
      </c>
      <c r="DS17" s="70" t="n">
        <f aca="false">+C17+F17+I17+L17+O17+R17+U17+X17+AA17+AD17+AG17+AJ17+AM17+AP17+AS17+AV17+AY17+BB17+BE17+BH17+BK17+BN17+BQ17+BT17+BW17+BZ17+CC17+CF17+CI17+CL17+CO17+CR17+CU17+CX17+DA17+DD17+DG17+DJ17+DM17+DP17</f>
        <v>270000</v>
      </c>
      <c r="DT17" s="70" t="n">
        <f aca="false">+D17+G17+J17+M17+P17+S17+V17+Y17+AB17+AE17+AH17+AK17+AN17+AQ17+AT17+AW17+AZ17+BC17+BF17+BI17+BL17+BO17+BR17+BU17+BX17+CA17+CD17+CG17+CJ17+CM17+CP17+CS17+CV17+CY17+DB17+DE17+DH17+DK17+DN17+DQ17</f>
        <v>223145</v>
      </c>
      <c r="DU17" s="70" t="n">
        <f aca="false">DT17-DS17</f>
        <v>-46855</v>
      </c>
      <c r="DV17" s="22" t="n">
        <f aca="false">+DV16+DU17</f>
        <v>-314481</v>
      </c>
      <c r="DW17" s="74"/>
      <c r="DX17" s="70" t="n">
        <f aca="false">+DS17-AV17</f>
        <v>125000</v>
      </c>
      <c r="DY17" s="70" t="n">
        <f aca="false">+DT17-AW17</f>
        <v>96917</v>
      </c>
      <c r="DZ17" s="22" t="n">
        <f aca="false">+DY17-DX17</f>
        <v>-28083</v>
      </c>
      <c r="EA17" s="22" t="n">
        <f aca="false">+EA16+DZ17</f>
        <v>-160791</v>
      </c>
      <c r="EB17" s="74"/>
      <c r="EC17" s="22" t="n">
        <f aca="false">+AX17</f>
        <v>-18772</v>
      </c>
      <c r="ED17" s="22" t="n">
        <f aca="false">+EC17</f>
        <v>-18772</v>
      </c>
      <c r="EE17" s="74"/>
      <c r="EF17" s="74"/>
      <c r="EG17" s="74"/>
      <c r="EH17" s="74"/>
      <c r="EI17" s="74"/>
      <c r="EJ17" s="74"/>
      <c r="EK17" s="74"/>
    </row>
    <row r="18" customFormat="false" ht="12.75" hidden="false" customHeight="false" outlineLevel="0" collapsed="false">
      <c r="A18" s="69" t="n">
        <f aca="false">+BaseloadMarkets!A18</f>
        <v>36690</v>
      </c>
      <c r="B18" s="69" t="str">
        <f aca="false">+BaseloadMarkets!B18</f>
        <v>Tues</v>
      </c>
      <c r="C18" s="21" t="n">
        <v>5000</v>
      </c>
      <c r="D18" s="22" t="n">
        <v>5000</v>
      </c>
      <c r="E18" s="70" t="n">
        <f aca="false">D18-C18</f>
        <v>0</v>
      </c>
      <c r="F18" s="21" t="n">
        <v>5000</v>
      </c>
      <c r="G18" s="22" t="n">
        <v>5000</v>
      </c>
      <c r="H18" s="70" t="n">
        <f aca="false">G18-F18</f>
        <v>0</v>
      </c>
      <c r="I18" s="21" t="n">
        <v>5000</v>
      </c>
      <c r="J18" s="22" t="n">
        <v>5000</v>
      </c>
      <c r="K18" s="70" t="n">
        <f aca="false">J18-I18</f>
        <v>0</v>
      </c>
      <c r="L18" s="21" t="n">
        <v>10000</v>
      </c>
      <c r="M18" s="22" t="n">
        <v>10000</v>
      </c>
      <c r="N18" s="70" t="n">
        <f aca="false">M18-L18</f>
        <v>0</v>
      </c>
      <c r="O18" s="21" t="n">
        <v>5000</v>
      </c>
      <c r="P18" s="22" t="n">
        <v>5000</v>
      </c>
      <c r="Q18" s="70" t="n">
        <f aca="false">P18-O18</f>
        <v>0</v>
      </c>
      <c r="R18" s="21" t="n">
        <v>5000</v>
      </c>
      <c r="S18" s="22" t="n">
        <v>5000</v>
      </c>
      <c r="T18" s="70" t="n">
        <f aca="false">S18-R18</f>
        <v>0</v>
      </c>
      <c r="U18" s="21" t="n">
        <v>10000</v>
      </c>
      <c r="V18" s="22" t="n">
        <v>10000</v>
      </c>
      <c r="W18" s="70" t="n">
        <f aca="false">V18-U18</f>
        <v>0</v>
      </c>
      <c r="X18" s="21" t="n">
        <f aca="false">5000+5000+5000+5000</f>
        <v>20000</v>
      </c>
      <c r="Y18" s="21" t="n">
        <f aca="false">5000+5000+5000+5000</f>
        <v>20000</v>
      </c>
      <c r="Z18" s="70" t="n">
        <f aca="false">Y18-X18</f>
        <v>0</v>
      </c>
      <c r="AA18" s="21" t="n">
        <v>5000</v>
      </c>
      <c r="AB18" s="22" t="n">
        <v>5000</v>
      </c>
      <c r="AC18" s="70" t="n">
        <f aca="false">AB18-AA18</f>
        <v>0</v>
      </c>
      <c r="AD18" s="21" t="n">
        <f aca="false">5000+5000+5000</f>
        <v>15000</v>
      </c>
      <c r="AE18" s="21" t="n">
        <f aca="false">5000+5000+5000</f>
        <v>15000</v>
      </c>
      <c r="AF18" s="70" t="n">
        <f aca="false">AE18-AD18</f>
        <v>0</v>
      </c>
      <c r="AG18" s="21" t="n">
        <v>5000</v>
      </c>
      <c r="AH18" s="22" t="n">
        <v>5000</v>
      </c>
      <c r="AI18" s="70" t="n">
        <f aca="false">AH18-AG18</f>
        <v>0</v>
      </c>
      <c r="AJ18" s="21" t="n">
        <f aca="false">5000+5000</f>
        <v>10000</v>
      </c>
      <c r="AK18" s="21" t="n">
        <f aca="false">5000+5000</f>
        <v>10000</v>
      </c>
      <c r="AL18" s="70" t="n">
        <f aca="false">AK18-AJ18</f>
        <v>0</v>
      </c>
      <c r="AM18" s="21" t="n">
        <v>10000</v>
      </c>
      <c r="AN18" s="22" t="n">
        <v>10000</v>
      </c>
      <c r="AO18" s="70" t="n">
        <f aca="false">AN18-AM18</f>
        <v>0</v>
      </c>
      <c r="AP18" s="21" t="n">
        <f aca="false">10000+5000</f>
        <v>15000</v>
      </c>
      <c r="AQ18" s="21" t="n">
        <f aca="false">10000+5000</f>
        <v>15000</v>
      </c>
      <c r="AR18" s="70" t="n">
        <f aca="false">AQ18-AP18</f>
        <v>0</v>
      </c>
      <c r="AS18" s="21"/>
      <c r="AT18" s="22"/>
      <c r="AU18" s="70" t="n">
        <f aca="false">AT18-AS18</f>
        <v>0</v>
      </c>
      <c r="AV18" s="21" t="n">
        <v>460000</v>
      </c>
      <c r="AW18" s="22" t="n">
        <v>460000</v>
      </c>
      <c r="AX18" s="70" t="n">
        <f aca="false">AW18-AV18</f>
        <v>0</v>
      </c>
      <c r="AY18" s="21"/>
      <c r="AZ18" s="22"/>
      <c r="BA18" s="70" t="n">
        <f aca="false">AZ18-AY18</f>
        <v>0</v>
      </c>
      <c r="BB18" s="21"/>
      <c r="BC18" s="22"/>
      <c r="BD18" s="70" t="n">
        <f aca="false">BC18-BB18</f>
        <v>0</v>
      </c>
      <c r="BE18" s="21"/>
      <c r="BF18" s="22"/>
      <c r="BG18" s="70" t="n">
        <f aca="false">BF18-BE18</f>
        <v>0</v>
      </c>
      <c r="BH18" s="21"/>
      <c r="BI18" s="22"/>
      <c r="BJ18" s="70" t="n">
        <f aca="false">BI18-BH18</f>
        <v>0</v>
      </c>
      <c r="BK18" s="21"/>
      <c r="BL18" s="22"/>
      <c r="BM18" s="70" t="n">
        <f aca="false">BL18-BK18</f>
        <v>0</v>
      </c>
      <c r="BN18" s="21"/>
      <c r="BO18" s="22"/>
      <c r="BP18" s="70" t="n">
        <f aca="false">BO18-BN18</f>
        <v>0</v>
      </c>
      <c r="BQ18" s="21"/>
      <c r="BR18" s="22"/>
      <c r="BS18" s="70" t="n">
        <f aca="false">BR18-BQ18</f>
        <v>0</v>
      </c>
      <c r="BT18" s="21"/>
      <c r="BU18" s="22"/>
      <c r="BV18" s="70" t="n">
        <f aca="false">BU18-BT18</f>
        <v>0</v>
      </c>
      <c r="BW18" s="21"/>
      <c r="BX18" s="22"/>
      <c r="BY18" s="70" t="n">
        <f aca="false">BX18-BW18</f>
        <v>0</v>
      </c>
      <c r="BZ18" s="21"/>
      <c r="CA18" s="22"/>
      <c r="CB18" s="70" t="n">
        <f aca="false">CA18-BZ18</f>
        <v>0</v>
      </c>
      <c r="CC18" s="21"/>
      <c r="CD18" s="22"/>
      <c r="CE18" s="70" t="n">
        <f aca="false">CD18-CC18</f>
        <v>0</v>
      </c>
      <c r="CF18" s="21"/>
      <c r="CG18" s="22"/>
      <c r="CH18" s="70" t="n">
        <f aca="false">CG18-CF18</f>
        <v>0</v>
      </c>
      <c r="CI18" s="21"/>
      <c r="CJ18" s="22"/>
      <c r="CK18" s="70" t="n">
        <f aca="false">CJ18-CI18</f>
        <v>0</v>
      </c>
      <c r="CL18" s="21"/>
      <c r="CM18" s="22"/>
      <c r="CN18" s="70" t="n">
        <f aca="false">CM18-CL18</f>
        <v>0</v>
      </c>
      <c r="CO18" s="21"/>
      <c r="CP18" s="22"/>
      <c r="CQ18" s="70" t="n">
        <f aca="false">CP18-CO18</f>
        <v>0</v>
      </c>
      <c r="CR18" s="21"/>
      <c r="CS18" s="22"/>
      <c r="CT18" s="70" t="n">
        <f aca="false">CS18-CR18</f>
        <v>0</v>
      </c>
      <c r="CU18" s="21"/>
      <c r="CV18" s="22"/>
      <c r="CW18" s="70" t="n">
        <f aca="false">CV18-CU18</f>
        <v>0</v>
      </c>
      <c r="CX18" s="21"/>
      <c r="CY18" s="22"/>
      <c r="CZ18" s="70" t="n">
        <f aca="false">CY18-CX18</f>
        <v>0</v>
      </c>
      <c r="DA18" s="21"/>
      <c r="DB18" s="22"/>
      <c r="DC18" s="70" t="n">
        <f aca="false">DB18-DA18</f>
        <v>0</v>
      </c>
      <c r="DD18" s="21"/>
      <c r="DE18" s="22"/>
      <c r="DF18" s="70" t="n">
        <f aca="false">DE18-DD18</f>
        <v>0</v>
      </c>
      <c r="DG18" s="21"/>
      <c r="DH18" s="22"/>
      <c r="DI18" s="70" t="n">
        <f aca="false">DH18-DG18</f>
        <v>0</v>
      </c>
      <c r="DJ18" s="21"/>
      <c r="DK18" s="22"/>
      <c r="DL18" s="70" t="n">
        <f aca="false">DK18-DJ18</f>
        <v>0</v>
      </c>
      <c r="DM18" s="21"/>
      <c r="DN18" s="22"/>
      <c r="DO18" s="70" t="n">
        <f aca="false">DN18-DM18</f>
        <v>0</v>
      </c>
      <c r="DP18" s="21"/>
      <c r="DQ18" s="22"/>
      <c r="DR18" s="70" t="n">
        <f aca="false">DQ18-DP18</f>
        <v>0</v>
      </c>
      <c r="DS18" s="70" t="n">
        <f aca="false">+C18+F18+I18+L18+O18+R18+U18+X18+AA18+AD18+AG18+AJ18+AM18+AP18+AS18+AV18+AY18+BB18+BE18+BH18+BK18+BN18+BQ18+BT18+BW18+BZ18+CC18+CF18+CI18+CL18+CO18+CR18+CU18+CX18+DA18+DD18+DG18+DJ18+DM18+DP18</f>
        <v>585000</v>
      </c>
      <c r="DT18" s="70" t="n">
        <f aca="false">+D18+G18+J18+M18+P18+S18+V18+Y18+AB18+AE18+AH18+AK18+AN18+AQ18+AT18+AW18+AZ18+BC18+BF18+BI18+BL18+BO18+BR18+BU18+BX18+CA18+CD18+CG18+CJ18+CM18+CP18+CS18+CV18+CY18+DB18+DE18+DH18+DK18+DN18+DQ18</f>
        <v>585000</v>
      </c>
      <c r="DU18" s="70" t="n">
        <f aca="false">DT18-DS18</f>
        <v>0</v>
      </c>
      <c r="DV18" s="22" t="n">
        <f aca="false">+DV17+DU18</f>
        <v>-314481</v>
      </c>
      <c r="DW18" s="74"/>
      <c r="DX18" s="70" t="n">
        <f aca="false">+DS18-AV18</f>
        <v>125000</v>
      </c>
      <c r="DY18" s="70" t="n">
        <f aca="false">+DT18-AW18</f>
        <v>125000</v>
      </c>
      <c r="DZ18" s="22" t="n">
        <f aca="false">+DY18-DX18</f>
        <v>0</v>
      </c>
      <c r="EA18" s="22" t="n">
        <f aca="false">+EA17+DZ18</f>
        <v>-160791</v>
      </c>
      <c r="EB18" s="74"/>
      <c r="EC18" s="22" t="n">
        <f aca="false">+AX18</f>
        <v>0</v>
      </c>
      <c r="ED18" s="22" t="n">
        <f aca="false">+EC18</f>
        <v>0</v>
      </c>
      <c r="EE18" s="74"/>
      <c r="EF18" s="74"/>
      <c r="EG18" s="74"/>
      <c r="EH18" s="74"/>
      <c r="EI18" s="74"/>
      <c r="EJ18" s="74"/>
      <c r="EK18" s="74"/>
    </row>
    <row r="19" customFormat="false" ht="12.75" hidden="false" customHeight="false" outlineLevel="0" collapsed="false">
      <c r="A19" s="69" t="n">
        <f aca="false">+BaseloadMarkets!A19</f>
        <v>36691</v>
      </c>
      <c r="B19" s="69" t="str">
        <f aca="false">+BaseloadMarkets!B19</f>
        <v>Wed</v>
      </c>
      <c r="C19" s="21" t="n">
        <v>5000</v>
      </c>
      <c r="D19" s="22" t="n">
        <v>5000</v>
      </c>
      <c r="E19" s="70" t="n">
        <f aca="false">D19-C19</f>
        <v>0</v>
      </c>
      <c r="F19" s="21" t="n">
        <v>5000</v>
      </c>
      <c r="G19" s="22" t="n">
        <v>5000</v>
      </c>
      <c r="H19" s="70" t="n">
        <f aca="false">G19-F19</f>
        <v>0</v>
      </c>
      <c r="I19" s="21" t="n">
        <v>5000</v>
      </c>
      <c r="J19" s="22" t="n">
        <v>5000</v>
      </c>
      <c r="K19" s="70" t="n">
        <f aca="false">J19-I19</f>
        <v>0</v>
      </c>
      <c r="L19" s="21" t="n">
        <v>10000</v>
      </c>
      <c r="M19" s="22" t="n">
        <v>5523</v>
      </c>
      <c r="N19" s="70" t="n">
        <f aca="false">M19-L19</f>
        <v>-4477</v>
      </c>
      <c r="O19" s="21" t="n">
        <v>5000</v>
      </c>
      <c r="P19" s="22" t="n">
        <v>5000</v>
      </c>
      <c r="Q19" s="70" t="n">
        <f aca="false">P19-O19</f>
        <v>0</v>
      </c>
      <c r="R19" s="21" t="n">
        <v>5000</v>
      </c>
      <c r="S19" s="22" t="n">
        <v>5000</v>
      </c>
      <c r="T19" s="70" t="n">
        <f aca="false">S19-R19</f>
        <v>0</v>
      </c>
      <c r="U19" s="21" t="n">
        <v>10000</v>
      </c>
      <c r="V19" s="22" t="n">
        <v>10000</v>
      </c>
      <c r="W19" s="70" t="n">
        <f aca="false">V19-U19</f>
        <v>0</v>
      </c>
      <c r="X19" s="21" t="n">
        <f aca="false">5000+5000+5000+5000</f>
        <v>20000</v>
      </c>
      <c r="Y19" s="21" t="n">
        <f aca="false">5000+5000+5000+5000</f>
        <v>20000</v>
      </c>
      <c r="Z19" s="70" t="n">
        <f aca="false">Y19-X19</f>
        <v>0</v>
      </c>
      <c r="AA19" s="21" t="n">
        <v>5000</v>
      </c>
      <c r="AB19" s="22" t="n">
        <v>5000</v>
      </c>
      <c r="AC19" s="70" t="n">
        <f aca="false">AB19-AA19</f>
        <v>0</v>
      </c>
      <c r="AD19" s="21" t="n">
        <f aca="false">5000+5000+5000</f>
        <v>15000</v>
      </c>
      <c r="AE19" s="21" t="n">
        <f aca="false">5000+5000+5000</f>
        <v>15000</v>
      </c>
      <c r="AF19" s="70" t="n">
        <f aca="false">AE19-AD19</f>
        <v>0</v>
      </c>
      <c r="AG19" s="21" t="n">
        <v>5000</v>
      </c>
      <c r="AH19" s="22" t="n">
        <v>5000</v>
      </c>
      <c r="AI19" s="70" t="n">
        <f aca="false">AH19-AG19</f>
        <v>0</v>
      </c>
      <c r="AJ19" s="21" t="n">
        <f aca="false">5000+5000</f>
        <v>10000</v>
      </c>
      <c r="AK19" s="21" t="n">
        <f aca="false">5000+5000</f>
        <v>10000</v>
      </c>
      <c r="AL19" s="70" t="n">
        <f aca="false">AK19-AJ19</f>
        <v>0</v>
      </c>
      <c r="AM19" s="21" t="n">
        <v>10000</v>
      </c>
      <c r="AN19" s="22" t="n">
        <v>10000</v>
      </c>
      <c r="AO19" s="70" t="n">
        <f aca="false">AN19-AM19</f>
        <v>0</v>
      </c>
      <c r="AP19" s="21" t="n">
        <f aca="false">10000+5000</f>
        <v>15000</v>
      </c>
      <c r="AQ19" s="21" t="n">
        <f aca="false">10000+5000</f>
        <v>15000</v>
      </c>
      <c r="AR19" s="70" t="n">
        <f aca="false">AQ19-AP19</f>
        <v>0</v>
      </c>
      <c r="AS19" s="21"/>
      <c r="AT19" s="22"/>
      <c r="AU19" s="70" t="n">
        <f aca="false">AT19-AS19</f>
        <v>0</v>
      </c>
      <c r="AV19" s="21" t="n">
        <v>320000</v>
      </c>
      <c r="AW19" s="22" t="n">
        <f aca="false">320000-9000+1779+2225-15000+7456</f>
        <v>307460</v>
      </c>
      <c r="AX19" s="70" t="n">
        <f aca="false">AW19-AV19</f>
        <v>-12540</v>
      </c>
      <c r="AY19" s="21"/>
      <c r="AZ19" s="22"/>
      <c r="BA19" s="70" t="n">
        <f aca="false">AZ19-AY19</f>
        <v>0</v>
      </c>
      <c r="BB19" s="21"/>
      <c r="BC19" s="22"/>
      <c r="BD19" s="70" t="n">
        <f aca="false">BC19-BB19</f>
        <v>0</v>
      </c>
      <c r="BE19" s="21"/>
      <c r="BF19" s="22"/>
      <c r="BG19" s="70" t="n">
        <f aca="false">BF19-BE19</f>
        <v>0</v>
      </c>
      <c r="BH19" s="21"/>
      <c r="BI19" s="22"/>
      <c r="BJ19" s="70" t="n">
        <f aca="false">BI19-BH19</f>
        <v>0</v>
      </c>
      <c r="BK19" s="21"/>
      <c r="BL19" s="22"/>
      <c r="BM19" s="70" t="n">
        <f aca="false">BL19-BK19</f>
        <v>0</v>
      </c>
      <c r="BN19" s="21"/>
      <c r="BO19" s="22"/>
      <c r="BP19" s="70" t="n">
        <f aca="false">BO19-BN19</f>
        <v>0</v>
      </c>
      <c r="BQ19" s="21"/>
      <c r="BR19" s="22"/>
      <c r="BS19" s="70" t="n">
        <f aca="false">BR19-BQ19</f>
        <v>0</v>
      </c>
      <c r="BT19" s="21"/>
      <c r="BU19" s="22"/>
      <c r="BV19" s="70" t="n">
        <f aca="false">BU19-BT19</f>
        <v>0</v>
      </c>
      <c r="BW19" s="21"/>
      <c r="BX19" s="22"/>
      <c r="BY19" s="70" t="n">
        <f aca="false">BX19-BW19</f>
        <v>0</v>
      </c>
      <c r="BZ19" s="21"/>
      <c r="CA19" s="22"/>
      <c r="CB19" s="70" t="n">
        <f aca="false">CA19-BZ19</f>
        <v>0</v>
      </c>
      <c r="CC19" s="21"/>
      <c r="CD19" s="22"/>
      <c r="CE19" s="70" t="n">
        <f aca="false">CD19-CC19</f>
        <v>0</v>
      </c>
      <c r="CF19" s="21"/>
      <c r="CG19" s="22"/>
      <c r="CH19" s="70" t="n">
        <f aca="false">CG19-CF19</f>
        <v>0</v>
      </c>
      <c r="CI19" s="21"/>
      <c r="CJ19" s="22"/>
      <c r="CK19" s="70" t="n">
        <f aca="false">CJ19-CI19</f>
        <v>0</v>
      </c>
      <c r="CL19" s="21"/>
      <c r="CM19" s="22"/>
      <c r="CN19" s="70" t="n">
        <f aca="false">CM19-CL19</f>
        <v>0</v>
      </c>
      <c r="CO19" s="21"/>
      <c r="CP19" s="22"/>
      <c r="CQ19" s="70" t="n">
        <f aca="false">CP19-CO19</f>
        <v>0</v>
      </c>
      <c r="CR19" s="21"/>
      <c r="CS19" s="22"/>
      <c r="CT19" s="70" t="n">
        <f aca="false">CS19-CR19</f>
        <v>0</v>
      </c>
      <c r="CU19" s="21"/>
      <c r="CV19" s="22"/>
      <c r="CW19" s="70" t="n">
        <f aca="false">CV19-CU19</f>
        <v>0</v>
      </c>
      <c r="CX19" s="21"/>
      <c r="CY19" s="22"/>
      <c r="CZ19" s="70" t="n">
        <f aca="false">CY19-CX19</f>
        <v>0</v>
      </c>
      <c r="DA19" s="21"/>
      <c r="DB19" s="22"/>
      <c r="DC19" s="70" t="n">
        <f aca="false">DB19-DA19</f>
        <v>0</v>
      </c>
      <c r="DD19" s="21"/>
      <c r="DE19" s="22"/>
      <c r="DF19" s="70" t="n">
        <f aca="false">DE19-DD19</f>
        <v>0</v>
      </c>
      <c r="DG19" s="21"/>
      <c r="DH19" s="22"/>
      <c r="DI19" s="70" t="n">
        <f aca="false">DH19-DG19</f>
        <v>0</v>
      </c>
      <c r="DJ19" s="21"/>
      <c r="DK19" s="22"/>
      <c r="DL19" s="70" t="n">
        <f aca="false">DK19-DJ19</f>
        <v>0</v>
      </c>
      <c r="DM19" s="21"/>
      <c r="DN19" s="22"/>
      <c r="DO19" s="70" t="n">
        <f aca="false">DN19-DM19</f>
        <v>0</v>
      </c>
      <c r="DP19" s="21"/>
      <c r="DQ19" s="22"/>
      <c r="DR19" s="70" t="n">
        <f aca="false">DQ19-DP19</f>
        <v>0</v>
      </c>
      <c r="DS19" s="70" t="n">
        <f aca="false">+C19+F19+I19+L19+O19+R19+U19+X19+AA19+AD19+AG19+AJ19+AM19+AP19+AS19+AV19+AY19+BB19+BE19+BH19+BK19+BN19+BQ19+BT19+BW19+BZ19+CC19+CF19+CI19+CL19+CO19+CR19+CU19+CX19+DA19+DD19+DG19+DJ19+DM19+DP19</f>
        <v>445000</v>
      </c>
      <c r="DT19" s="70" t="n">
        <f aca="false">+D19+G19+J19+M19+P19+S19+V19+Y19+AB19+AE19+AH19+AK19+AN19+AQ19+AT19+AW19+AZ19+BC19+BF19+BI19+BL19+BO19+BR19+BU19+BX19+CA19+CD19+CG19+CJ19+CM19+CP19+CS19+CV19+CY19+DB19+DE19+DH19+DK19+DN19+DQ19</f>
        <v>427983</v>
      </c>
      <c r="DU19" s="70" t="n">
        <f aca="false">DT19-DS19</f>
        <v>-17017</v>
      </c>
      <c r="DV19" s="22" t="n">
        <f aca="false">+DV18+DU19</f>
        <v>-331498</v>
      </c>
      <c r="DW19" s="74"/>
      <c r="DX19" s="70" t="n">
        <f aca="false">+DS19-AV19</f>
        <v>125000</v>
      </c>
      <c r="DY19" s="70" t="n">
        <f aca="false">+DT19-AW19</f>
        <v>120523</v>
      </c>
      <c r="DZ19" s="22" t="n">
        <f aca="false">+DY19-DX19</f>
        <v>-4477</v>
      </c>
      <c r="EA19" s="22" t="n">
        <f aca="false">+EA18+DZ19</f>
        <v>-165268</v>
      </c>
      <c r="EB19" s="74"/>
      <c r="EC19" s="22" t="n">
        <f aca="false">+AX19</f>
        <v>-12540</v>
      </c>
      <c r="ED19" s="22" t="n">
        <f aca="false">+EC19</f>
        <v>-12540</v>
      </c>
      <c r="EE19" s="74"/>
      <c r="EF19" s="74"/>
      <c r="EG19" s="74"/>
      <c r="EH19" s="74"/>
      <c r="EI19" s="74"/>
      <c r="EJ19" s="74"/>
      <c r="EK19" s="74"/>
    </row>
    <row r="20" customFormat="false" ht="12.75" hidden="false" customHeight="false" outlineLevel="0" collapsed="false">
      <c r="A20" s="69" t="n">
        <f aca="false">+BaseloadMarkets!A20</f>
        <v>36692</v>
      </c>
      <c r="B20" s="69" t="str">
        <f aca="false">+BaseloadMarkets!B20</f>
        <v>Thu</v>
      </c>
      <c r="C20" s="21" t="n">
        <v>5000</v>
      </c>
      <c r="D20" s="22" t="n">
        <v>5000</v>
      </c>
      <c r="E20" s="70" t="n">
        <f aca="false">D20-C20</f>
        <v>0</v>
      </c>
      <c r="F20" s="21" t="n">
        <v>5000</v>
      </c>
      <c r="G20" s="22" t="n">
        <v>5000</v>
      </c>
      <c r="H20" s="70" t="n">
        <f aca="false">G20-F20</f>
        <v>0</v>
      </c>
      <c r="I20" s="21" t="n">
        <v>5000</v>
      </c>
      <c r="J20" s="22" t="n">
        <v>5000</v>
      </c>
      <c r="K20" s="70" t="n">
        <f aca="false">J20-I20</f>
        <v>0</v>
      </c>
      <c r="L20" s="21" t="n">
        <v>10000</v>
      </c>
      <c r="M20" s="22" t="n">
        <v>5808</v>
      </c>
      <c r="N20" s="70" t="n">
        <f aca="false">M20-L20</f>
        <v>-4192</v>
      </c>
      <c r="O20" s="21" t="n">
        <v>5000</v>
      </c>
      <c r="P20" s="22" t="n">
        <v>5000</v>
      </c>
      <c r="Q20" s="70" t="n">
        <f aca="false">P20-O20</f>
        <v>0</v>
      </c>
      <c r="R20" s="21" t="n">
        <v>5000</v>
      </c>
      <c r="S20" s="22" t="n">
        <v>5000</v>
      </c>
      <c r="T20" s="70" t="n">
        <f aca="false">S20-R20</f>
        <v>0</v>
      </c>
      <c r="U20" s="21" t="n">
        <v>10000</v>
      </c>
      <c r="V20" s="22" t="n">
        <v>10000</v>
      </c>
      <c r="W20" s="70" t="n">
        <f aca="false">V20-U20</f>
        <v>0</v>
      </c>
      <c r="X20" s="21" t="n">
        <f aca="false">5000+5000+5000+5000</f>
        <v>20000</v>
      </c>
      <c r="Y20" s="21" t="n">
        <f aca="false">5000+5000+5000+5000</f>
        <v>20000</v>
      </c>
      <c r="Z20" s="70" t="n">
        <f aca="false">Y20-X20</f>
        <v>0</v>
      </c>
      <c r="AA20" s="21" t="n">
        <v>5000</v>
      </c>
      <c r="AB20" s="22" t="n">
        <v>5000</v>
      </c>
      <c r="AC20" s="70" t="n">
        <f aca="false">AB20-AA20</f>
        <v>0</v>
      </c>
      <c r="AD20" s="21" t="n">
        <f aca="false">5000+5000+5000</f>
        <v>15000</v>
      </c>
      <c r="AE20" s="21" t="n">
        <f aca="false">5000+5000+5000</f>
        <v>15000</v>
      </c>
      <c r="AF20" s="70" t="n">
        <f aca="false">AE20-AD20</f>
        <v>0</v>
      </c>
      <c r="AG20" s="21" t="n">
        <v>5000</v>
      </c>
      <c r="AH20" s="22" t="n">
        <v>5000</v>
      </c>
      <c r="AI20" s="70" t="n">
        <f aca="false">AH20-AG20</f>
        <v>0</v>
      </c>
      <c r="AJ20" s="21" t="n">
        <f aca="false">5000+5000</f>
        <v>10000</v>
      </c>
      <c r="AK20" s="21" t="n">
        <f aca="false">5000+5000</f>
        <v>10000</v>
      </c>
      <c r="AL20" s="70" t="n">
        <f aca="false">AK20-AJ20</f>
        <v>0</v>
      </c>
      <c r="AM20" s="21" t="n">
        <v>10000</v>
      </c>
      <c r="AN20" s="22" t="n">
        <v>10000</v>
      </c>
      <c r="AO20" s="70" t="n">
        <f aca="false">AN20-AM20</f>
        <v>0</v>
      </c>
      <c r="AP20" s="21" t="n">
        <f aca="false">10000+5000</f>
        <v>15000</v>
      </c>
      <c r="AQ20" s="21" t="n">
        <f aca="false">10000+5000</f>
        <v>15000</v>
      </c>
      <c r="AR20" s="70" t="n">
        <f aca="false">AQ20-AP20</f>
        <v>0</v>
      </c>
      <c r="AS20" s="21"/>
      <c r="AT20" s="22"/>
      <c r="AU20" s="70" t="n">
        <f aca="false">AT20-AS20</f>
        <v>0</v>
      </c>
      <c r="AV20" s="21" t="n">
        <v>215000</v>
      </c>
      <c r="AW20" s="22" t="n">
        <f aca="false">215000-20000+6198+6197-9000+1417+1772-15000+5000+4941-10000+5808</f>
        <v>192333</v>
      </c>
      <c r="AX20" s="70" t="n">
        <f aca="false">AW20-AV20</f>
        <v>-22667</v>
      </c>
      <c r="AY20" s="21"/>
      <c r="AZ20" s="22"/>
      <c r="BA20" s="70" t="n">
        <f aca="false">AZ20-AY20</f>
        <v>0</v>
      </c>
      <c r="BB20" s="21"/>
      <c r="BC20" s="22"/>
      <c r="BD20" s="70" t="n">
        <f aca="false">BC20-BB20</f>
        <v>0</v>
      </c>
      <c r="BE20" s="21"/>
      <c r="BF20" s="22"/>
      <c r="BG20" s="70" t="n">
        <f aca="false">BF20-BE20</f>
        <v>0</v>
      </c>
      <c r="BH20" s="21"/>
      <c r="BI20" s="22"/>
      <c r="BJ20" s="70" t="n">
        <f aca="false">BI20-BH20</f>
        <v>0</v>
      </c>
      <c r="BK20" s="21"/>
      <c r="BL20" s="22"/>
      <c r="BM20" s="70" t="n">
        <f aca="false">BL20-BK20</f>
        <v>0</v>
      </c>
      <c r="BN20" s="21"/>
      <c r="BO20" s="22"/>
      <c r="BP20" s="70" t="n">
        <f aca="false">BO20-BN20</f>
        <v>0</v>
      </c>
      <c r="BQ20" s="21"/>
      <c r="BR20" s="22"/>
      <c r="BS20" s="70" t="n">
        <f aca="false">BR20-BQ20</f>
        <v>0</v>
      </c>
      <c r="BT20" s="21"/>
      <c r="BU20" s="22"/>
      <c r="BV20" s="70" t="n">
        <f aca="false">BU20-BT20</f>
        <v>0</v>
      </c>
      <c r="BW20" s="21"/>
      <c r="BX20" s="22"/>
      <c r="BY20" s="70" t="n">
        <f aca="false">BX20-BW20</f>
        <v>0</v>
      </c>
      <c r="BZ20" s="21"/>
      <c r="CA20" s="22"/>
      <c r="CB20" s="70" t="n">
        <f aca="false">CA20-BZ20</f>
        <v>0</v>
      </c>
      <c r="CC20" s="21"/>
      <c r="CD20" s="22"/>
      <c r="CE20" s="70" t="n">
        <f aca="false">CD20-CC20</f>
        <v>0</v>
      </c>
      <c r="CF20" s="21"/>
      <c r="CG20" s="22"/>
      <c r="CH20" s="70" t="n">
        <f aca="false">CG20-CF20</f>
        <v>0</v>
      </c>
      <c r="CI20" s="21"/>
      <c r="CJ20" s="22"/>
      <c r="CK20" s="70" t="n">
        <f aca="false">CJ20-CI20</f>
        <v>0</v>
      </c>
      <c r="CL20" s="21"/>
      <c r="CM20" s="22"/>
      <c r="CN20" s="70" t="n">
        <f aca="false">CM20-CL20</f>
        <v>0</v>
      </c>
      <c r="CO20" s="21"/>
      <c r="CP20" s="22"/>
      <c r="CQ20" s="70" t="n">
        <f aca="false">CP20-CO20</f>
        <v>0</v>
      </c>
      <c r="CR20" s="21"/>
      <c r="CS20" s="22"/>
      <c r="CT20" s="70" t="n">
        <f aca="false">CS20-CR20</f>
        <v>0</v>
      </c>
      <c r="CU20" s="21"/>
      <c r="CV20" s="22"/>
      <c r="CW20" s="70" t="n">
        <f aca="false">CV20-CU20</f>
        <v>0</v>
      </c>
      <c r="CX20" s="21"/>
      <c r="CY20" s="22"/>
      <c r="CZ20" s="70" t="n">
        <f aca="false">CY20-CX20</f>
        <v>0</v>
      </c>
      <c r="DA20" s="21"/>
      <c r="DB20" s="22"/>
      <c r="DC20" s="70" t="n">
        <f aca="false">DB20-DA20</f>
        <v>0</v>
      </c>
      <c r="DD20" s="21"/>
      <c r="DE20" s="22"/>
      <c r="DF20" s="70" t="n">
        <f aca="false">DE20-DD20</f>
        <v>0</v>
      </c>
      <c r="DG20" s="21"/>
      <c r="DH20" s="22"/>
      <c r="DI20" s="70" t="n">
        <f aca="false">DH20-DG20</f>
        <v>0</v>
      </c>
      <c r="DJ20" s="21"/>
      <c r="DK20" s="22"/>
      <c r="DL20" s="70" t="n">
        <f aca="false">DK20-DJ20</f>
        <v>0</v>
      </c>
      <c r="DM20" s="21"/>
      <c r="DN20" s="22"/>
      <c r="DO20" s="70" t="n">
        <f aca="false">DN20-DM20</f>
        <v>0</v>
      </c>
      <c r="DP20" s="21"/>
      <c r="DQ20" s="22"/>
      <c r="DR20" s="70" t="n">
        <f aca="false">DQ20-DP20</f>
        <v>0</v>
      </c>
      <c r="DS20" s="70" t="n">
        <f aca="false">+C20+F20+I20+L20+O20+R20+U20+X20+AA20+AD20+AG20+AJ20+AM20+AP20+AS20+AV20+AY20+BB20+BE20+BH20+BK20+BN20+BQ20+BT20+BW20+BZ20+CC20+CF20+CI20+CL20+CO20+CR20+CU20+CX20+DA20+DD20+DG20+DJ20+DM20+DP20</f>
        <v>340000</v>
      </c>
      <c r="DT20" s="70" t="n">
        <f aca="false">+D20+G20+J20+M20+P20+S20+V20+Y20+AB20+AE20+AH20+AK20+AN20+AQ20+AT20+AW20+AZ20+BC20+BF20+BI20+BL20+BO20+BR20+BU20+BX20+CA20+CD20+CG20+CJ20+CM20+CP20+CS20+CV20+CY20+DB20+DE20+DH20+DK20+DN20+DQ20</f>
        <v>313141</v>
      </c>
      <c r="DU20" s="70" t="n">
        <f aca="false">DT20-DS20</f>
        <v>-26859</v>
      </c>
      <c r="DV20" s="22" t="n">
        <f aca="false">+DV19+DU20</f>
        <v>-358357</v>
      </c>
      <c r="DW20" s="74"/>
      <c r="DX20" s="70" t="n">
        <f aca="false">+DS20-AV20</f>
        <v>125000</v>
      </c>
      <c r="DY20" s="70" t="n">
        <f aca="false">+DT20-AW20</f>
        <v>120808</v>
      </c>
      <c r="DZ20" s="22" t="n">
        <f aca="false">+DY20-DX20</f>
        <v>-4192</v>
      </c>
      <c r="EA20" s="22" t="n">
        <f aca="false">+EA19+DZ20</f>
        <v>-169460</v>
      </c>
      <c r="EB20" s="74"/>
      <c r="EC20" s="22" t="n">
        <f aca="false">+AX20</f>
        <v>-22667</v>
      </c>
      <c r="ED20" s="22" t="n">
        <f aca="false">+EC20</f>
        <v>-22667</v>
      </c>
      <c r="EE20" s="74"/>
      <c r="EF20" s="74"/>
      <c r="EG20" s="74"/>
      <c r="EH20" s="74"/>
      <c r="EI20" s="74"/>
      <c r="EJ20" s="74"/>
      <c r="EK20" s="74"/>
    </row>
    <row r="21" customFormat="false" ht="12.75" hidden="false" customHeight="false" outlineLevel="0" collapsed="false">
      <c r="A21" s="69" t="n">
        <f aca="false">+BaseloadMarkets!A21</f>
        <v>36693</v>
      </c>
      <c r="B21" s="69" t="str">
        <f aca="false">+BaseloadMarkets!B21</f>
        <v>Fri</v>
      </c>
      <c r="C21" s="21" t="n">
        <v>5000</v>
      </c>
      <c r="D21" s="22" t="n">
        <v>5000</v>
      </c>
      <c r="E21" s="70" t="n">
        <f aca="false">D21-C21</f>
        <v>0</v>
      </c>
      <c r="F21" s="21" t="n">
        <v>5000</v>
      </c>
      <c r="G21" s="22" t="n">
        <v>5000</v>
      </c>
      <c r="H21" s="70" t="n">
        <f aca="false">G21-F21</f>
        <v>0</v>
      </c>
      <c r="I21" s="21" t="n">
        <v>5000</v>
      </c>
      <c r="J21" s="22" t="n">
        <v>5000</v>
      </c>
      <c r="K21" s="70" t="n">
        <f aca="false">J21-I21</f>
        <v>0</v>
      </c>
      <c r="L21" s="21" t="n">
        <v>10000</v>
      </c>
      <c r="M21" s="22" t="n">
        <v>10000</v>
      </c>
      <c r="N21" s="70" t="n">
        <f aca="false">M21-L21</f>
        <v>0</v>
      </c>
      <c r="O21" s="21" t="n">
        <v>5000</v>
      </c>
      <c r="P21" s="22" t="n">
        <v>5000</v>
      </c>
      <c r="Q21" s="70" t="n">
        <f aca="false">P21-O21</f>
        <v>0</v>
      </c>
      <c r="R21" s="21" t="n">
        <v>5000</v>
      </c>
      <c r="S21" s="22" t="n">
        <v>5000</v>
      </c>
      <c r="T21" s="70" t="n">
        <f aca="false">S21-R21</f>
        <v>0</v>
      </c>
      <c r="U21" s="21" t="n">
        <v>10000</v>
      </c>
      <c r="V21" s="22" t="n">
        <v>10000</v>
      </c>
      <c r="W21" s="70" t="n">
        <f aca="false">V21-U21</f>
        <v>0</v>
      </c>
      <c r="X21" s="21" t="n">
        <f aca="false">5000+5000+5000+5000</f>
        <v>20000</v>
      </c>
      <c r="Y21" s="21" t="n">
        <f aca="false">5000+5000+5000+5000</f>
        <v>20000</v>
      </c>
      <c r="Z21" s="70" t="n">
        <f aca="false">Y21-X21</f>
        <v>0</v>
      </c>
      <c r="AA21" s="21" t="n">
        <v>5000</v>
      </c>
      <c r="AB21" s="22" t="n">
        <v>5000</v>
      </c>
      <c r="AC21" s="70" t="n">
        <f aca="false">AB21-AA21</f>
        <v>0</v>
      </c>
      <c r="AD21" s="21" t="n">
        <f aca="false">5000+5000+5000</f>
        <v>15000</v>
      </c>
      <c r="AE21" s="21" t="n">
        <f aca="false">5000+5000+5000</f>
        <v>15000</v>
      </c>
      <c r="AF21" s="70" t="n">
        <f aca="false">AE21-AD21</f>
        <v>0</v>
      </c>
      <c r="AG21" s="21" t="n">
        <v>5000</v>
      </c>
      <c r="AH21" s="22" t="n">
        <v>5000</v>
      </c>
      <c r="AI21" s="70" t="n">
        <f aca="false">AH21-AG21</f>
        <v>0</v>
      </c>
      <c r="AJ21" s="21" t="n">
        <f aca="false">5000+5000</f>
        <v>10000</v>
      </c>
      <c r="AK21" s="21" t="n">
        <f aca="false">5000+5000</f>
        <v>10000</v>
      </c>
      <c r="AL21" s="70" t="n">
        <f aca="false">AK21-AJ21</f>
        <v>0</v>
      </c>
      <c r="AM21" s="21" t="n">
        <v>10000</v>
      </c>
      <c r="AN21" s="22" t="n">
        <v>10000</v>
      </c>
      <c r="AO21" s="70" t="n">
        <f aca="false">AN21-AM21</f>
        <v>0</v>
      </c>
      <c r="AP21" s="21" t="n">
        <f aca="false">10000+5000</f>
        <v>15000</v>
      </c>
      <c r="AQ21" s="21" t="n">
        <f aca="false">10000+5000</f>
        <v>15000</v>
      </c>
      <c r="AR21" s="70" t="n">
        <f aca="false">AQ21-AP21</f>
        <v>0</v>
      </c>
      <c r="AS21" s="21"/>
      <c r="AT21" s="22"/>
      <c r="AU21" s="70" t="n">
        <f aca="false">AT21-AS21</f>
        <v>0</v>
      </c>
      <c r="AV21" s="21" t="n">
        <v>130000</v>
      </c>
      <c r="AW21" s="22" t="n">
        <v>130000</v>
      </c>
      <c r="AX21" s="70" t="n">
        <f aca="false">AW21-AV21</f>
        <v>0</v>
      </c>
      <c r="AY21" s="21"/>
      <c r="AZ21" s="22"/>
      <c r="BA21" s="70" t="n">
        <f aca="false">AZ21-AY21</f>
        <v>0</v>
      </c>
      <c r="BB21" s="21"/>
      <c r="BC21" s="22"/>
      <c r="BD21" s="70" t="n">
        <f aca="false">BC21-BB21</f>
        <v>0</v>
      </c>
      <c r="BE21" s="21"/>
      <c r="BF21" s="22"/>
      <c r="BG21" s="70" t="n">
        <f aca="false">BF21-BE21</f>
        <v>0</v>
      </c>
      <c r="BH21" s="21"/>
      <c r="BI21" s="22"/>
      <c r="BJ21" s="70" t="n">
        <f aca="false">BI21-BH21</f>
        <v>0</v>
      </c>
      <c r="BK21" s="21"/>
      <c r="BL21" s="22"/>
      <c r="BM21" s="70" t="n">
        <f aca="false">BL21-BK21</f>
        <v>0</v>
      </c>
      <c r="BN21" s="21"/>
      <c r="BO21" s="22"/>
      <c r="BP21" s="70" t="n">
        <f aca="false">BO21-BN21</f>
        <v>0</v>
      </c>
      <c r="BQ21" s="21"/>
      <c r="BR21" s="22"/>
      <c r="BS21" s="70" t="n">
        <f aca="false">BR21-BQ21</f>
        <v>0</v>
      </c>
      <c r="BT21" s="21"/>
      <c r="BU21" s="22"/>
      <c r="BV21" s="70" t="n">
        <f aca="false">BU21-BT21</f>
        <v>0</v>
      </c>
      <c r="BW21" s="21"/>
      <c r="BX21" s="22"/>
      <c r="BY21" s="70" t="n">
        <f aca="false">BX21-BW21</f>
        <v>0</v>
      </c>
      <c r="BZ21" s="21"/>
      <c r="CA21" s="22"/>
      <c r="CB21" s="70" t="n">
        <f aca="false">CA21-BZ21</f>
        <v>0</v>
      </c>
      <c r="CC21" s="21"/>
      <c r="CD21" s="22"/>
      <c r="CE21" s="70" t="n">
        <f aca="false">CD21-CC21</f>
        <v>0</v>
      </c>
      <c r="CF21" s="21"/>
      <c r="CG21" s="22"/>
      <c r="CH21" s="70" t="n">
        <f aca="false">CG21-CF21</f>
        <v>0</v>
      </c>
      <c r="CI21" s="21"/>
      <c r="CJ21" s="22"/>
      <c r="CK21" s="70" t="n">
        <f aca="false">CJ21-CI21</f>
        <v>0</v>
      </c>
      <c r="CL21" s="21"/>
      <c r="CM21" s="22"/>
      <c r="CN21" s="70" t="n">
        <f aca="false">CM21-CL21</f>
        <v>0</v>
      </c>
      <c r="CO21" s="21"/>
      <c r="CP21" s="22"/>
      <c r="CQ21" s="70" t="n">
        <f aca="false">CP21-CO21</f>
        <v>0</v>
      </c>
      <c r="CR21" s="21"/>
      <c r="CS21" s="22"/>
      <c r="CT21" s="70" t="n">
        <f aca="false">CS21-CR21</f>
        <v>0</v>
      </c>
      <c r="CU21" s="21"/>
      <c r="CV21" s="22"/>
      <c r="CW21" s="70" t="n">
        <f aca="false">CV21-CU21</f>
        <v>0</v>
      </c>
      <c r="CX21" s="21"/>
      <c r="CY21" s="22"/>
      <c r="CZ21" s="70" t="n">
        <f aca="false">CY21-CX21</f>
        <v>0</v>
      </c>
      <c r="DA21" s="21"/>
      <c r="DB21" s="22"/>
      <c r="DC21" s="70" t="n">
        <f aca="false">DB21-DA21</f>
        <v>0</v>
      </c>
      <c r="DD21" s="21"/>
      <c r="DE21" s="22"/>
      <c r="DF21" s="70" t="n">
        <f aca="false">DE21-DD21</f>
        <v>0</v>
      </c>
      <c r="DG21" s="21"/>
      <c r="DH21" s="22"/>
      <c r="DI21" s="70" t="n">
        <f aca="false">DH21-DG21</f>
        <v>0</v>
      </c>
      <c r="DJ21" s="21"/>
      <c r="DK21" s="22"/>
      <c r="DL21" s="70" t="n">
        <f aca="false">DK21-DJ21</f>
        <v>0</v>
      </c>
      <c r="DM21" s="21"/>
      <c r="DN21" s="22"/>
      <c r="DO21" s="70" t="n">
        <f aca="false">DN21-DM21</f>
        <v>0</v>
      </c>
      <c r="DP21" s="21"/>
      <c r="DQ21" s="22"/>
      <c r="DR21" s="70" t="n">
        <f aca="false">DQ21-DP21</f>
        <v>0</v>
      </c>
      <c r="DS21" s="70" t="n">
        <f aca="false">+C21+F21+I21+L21+O21+R21+U21+X21+AA21+AD21+AG21+AJ21+AM21+AP21+AS21+AV21+AY21+BB21+BE21+BH21+BK21+BN21+BQ21+BT21+BW21+BZ21+CC21+CF21+CI21+CL21+CO21+CR21+CU21+CX21+DA21+DD21+DG21+DJ21+DM21+DP21</f>
        <v>255000</v>
      </c>
      <c r="DT21" s="70" t="n">
        <f aca="false">+D21+G21+J21+M21+P21+S21+V21+Y21+AB21+AE21+AH21+AK21+AN21+AQ21+AT21+AW21+AZ21+BC21+BF21+BI21+BL21+BO21+BR21+BU21+BX21+CA21+CD21+CG21+CJ21+CM21+CP21+CS21+CV21+CY21+DB21+DE21+DH21+DK21+DN21+DQ21</f>
        <v>255000</v>
      </c>
      <c r="DU21" s="70" t="n">
        <f aca="false">DT21-DS21</f>
        <v>0</v>
      </c>
      <c r="DV21" s="22" t="n">
        <f aca="false">+DV20+DU21</f>
        <v>-358357</v>
      </c>
      <c r="DW21" s="74"/>
      <c r="DX21" s="70" t="n">
        <f aca="false">+DS21-AV21</f>
        <v>125000</v>
      </c>
      <c r="DY21" s="70" t="n">
        <f aca="false">+DT21-AW21</f>
        <v>125000</v>
      </c>
      <c r="DZ21" s="22" t="n">
        <f aca="false">+DY21-DX21</f>
        <v>0</v>
      </c>
      <c r="EA21" s="22" t="n">
        <f aca="false">+EA20+DZ21</f>
        <v>-169460</v>
      </c>
      <c r="EB21" s="74"/>
      <c r="EC21" s="22" t="n">
        <f aca="false">+AX21</f>
        <v>0</v>
      </c>
      <c r="ED21" s="22" t="n">
        <f aca="false">+EC21</f>
        <v>0</v>
      </c>
      <c r="EE21" s="74"/>
      <c r="EF21" s="74"/>
      <c r="EG21" s="74"/>
      <c r="EH21" s="74"/>
      <c r="EI21" s="74"/>
      <c r="EJ21" s="74"/>
      <c r="EK21" s="74"/>
    </row>
    <row r="22" customFormat="false" ht="12.75" hidden="false" customHeight="false" outlineLevel="0" collapsed="false">
      <c r="A22" s="69" t="n">
        <f aca="false">+BaseloadMarkets!A22</f>
        <v>36694</v>
      </c>
      <c r="B22" s="69" t="str">
        <f aca="false">+BaseloadMarkets!B22</f>
        <v>Sat</v>
      </c>
      <c r="C22" s="21" t="n">
        <v>5000</v>
      </c>
      <c r="D22" s="22" t="n">
        <v>5000</v>
      </c>
      <c r="E22" s="70" t="n">
        <f aca="false">D22-C22</f>
        <v>0</v>
      </c>
      <c r="F22" s="21" t="n">
        <v>5000</v>
      </c>
      <c r="G22" s="22" t="n">
        <v>5000</v>
      </c>
      <c r="H22" s="70" t="n">
        <f aca="false">G22-F22</f>
        <v>0</v>
      </c>
      <c r="I22" s="21" t="n">
        <v>5000</v>
      </c>
      <c r="J22" s="22" t="n">
        <v>5000</v>
      </c>
      <c r="K22" s="70" t="n">
        <f aca="false">J22-I22</f>
        <v>0</v>
      </c>
      <c r="L22" s="21" t="n">
        <v>10000</v>
      </c>
      <c r="M22" s="22" t="n">
        <v>7405</v>
      </c>
      <c r="N22" s="70" t="n">
        <f aca="false">M22-L22</f>
        <v>-2595</v>
      </c>
      <c r="O22" s="21" t="n">
        <v>5000</v>
      </c>
      <c r="P22" s="22" t="n">
        <v>5000</v>
      </c>
      <c r="Q22" s="70" t="n">
        <f aca="false">P22-O22</f>
        <v>0</v>
      </c>
      <c r="R22" s="21" t="n">
        <v>5000</v>
      </c>
      <c r="S22" s="22" t="n">
        <v>5000</v>
      </c>
      <c r="T22" s="70" t="n">
        <f aca="false">S22-R22</f>
        <v>0</v>
      </c>
      <c r="U22" s="21" t="n">
        <v>10000</v>
      </c>
      <c r="V22" s="22" t="n">
        <v>10000</v>
      </c>
      <c r="W22" s="70" t="n">
        <f aca="false">V22-U22</f>
        <v>0</v>
      </c>
      <c r="X22" s="21" t="n">
        <f aca="false">5000+5000+5000+5000</f>
        <v>20000</v>
      </c>
      <c r="Y22" s="21" t="n">
        <f aca="false">5000+5000+5000+5000</f>
        <v>20000</v>
      </c>
      <c r="Z22" s="70" t="n">
        <f aca="false">Y22-X22</f>
        <v>0</v>
      </c>
      <c r="AA22" s="21" t="n">
        <v>5000</v>
      </c>
      <c r="AB22" s="22" t="n">
        <v>5000</v>
      </c>
      <c r="AC22" s="70" t="n">
        <f aca="false">AB22-AA22</f>
        <v>0</v>
      </c>
      <c r="AD22" s="21" t="n">
        <f aca="false">5000+5000+5000</f>
        <v>15000</v>
      </c>
      <c r="AE22" s="21" t="n">
        <f aca="false">5000+5000+5000</f>
        <v>15000</v>
      </c>
      <c r="AF22" s="70" t="n">
        <f aca="false">AE22-AD22</f>
        <v>0</v>
      </c>
      <c r="AG22" s="21" t="n">
        <v>5000</v>
      </c>
      <c r="AH22" s="22" t="n">
        <v>5000</v>
      </c>
      <c r="AI22" s="70" t="n">
        <f aca="false">AH22-AG22</f>
        <v>0</v>
      </c>
      <c r="AJ22" s="21" t="n">
        <f aca="false">5000+5000</f>
        <v>10000</v>
      </c>
      <c r="AK22" s="21" t="n">
        <f aca="false">5000+5000</f>
        <v>10000</v>
      </c>
      <c r="AL22" s="70" t="n">
        <f aca="false">AK22-AJ22</f>
        <v>0</v>
      </c>
      <c r="AM22" s="21" t="n">
        <v>10000</v>
      </c>
      <c r="AN22" s="22" t="n">
        <v>10000</v>
      </c>
      <c r="AO22" s="70" t="n">
        <f aca="false">AN22-AM22</f>
        <v>0</v>
      </c>
      <c r="AP22" s="21" t="n">
        <f aca="false">10000+5000</f>
        <v>15000</v>
      </c>
      <c r="AQ22" s="21" t="n">
        <f aca="false">10000+5000</f>
        <v>15000</v>
      </c>
      <c r="AR22" s="70" t="n">
        <f aca="false">AQ22-AP22</f>
        <v>0</v>
      </c>
      <c r="AS22" s="21"/>
      <c r="AT22" s="22"/>
      <c r="AU22" s="70" t="n">
        <f aca="false">AT22-AS22</f>
        <v>0</v>
      </c>
      <c r="AV22" s="21" t="n">
        <v>100000</v>
      </c>
      <c r="AW22" s="22" t="n">
        <v>83638</v>
      </c>
      <c r="AX22" s="70" t="n">
        <f aca="false">AW22-AV22</f>
        <v>-16362</v>
      </c>
      <c r="AY22" s="21"/>
      <c r="AZ22" s="22"/>
      <c r="BA22" s="70" t="n">
        <f aca="false">AZ22-AY22</f>
        <v>0</v>
      </c>
      <c r="BB22" s="21"/>
      <c r="BC22" s="22"/>
      <c r="BD22" s="70" t="n">
        <f aca="false">BC22-BB22</f>
        <v>0</v>
      </c>
      <c r="BE22" s="21"/>
      <c r="BF22" s="22"/>
      <c r="BG22" s="70" t="n">
        <f aca="false">BF22-BE22</f>
        <v>0</v>
      </c>
      <c r="BH22" s="21"/>
      <c r="BI22" s="22"/>
      <c r="BJ22" s="70" t="n">
        <f aca="false">BI22-BH22</f>
        <v>0</v>
      </c>
      <c r="BK22" s="21"/>
      <c r="BL22" s="22"/>
      <c r="BM22" s="70" t="n">
        <f aca="false">BL22-BK22</f>
        <v>0</v>
      </c>
      <c r="BN22" s="21"/>
      <c r="BO22" s="22"/>
      <c r="BP22" s="70" t="n">
        <f aca="false">BO22-BN22</f>
        <v>0</v>
      </c>
      <c r="BQ22" s="21"/>
      <c r="BR22" s="22"/>
      <c r="BS22" s="70" t="n">
        <f aca="false">BR22-BQ22</f>
        <v>0</v>
      </c>
      <c r="BT22" s="21"/>
      <c r="BU22" s="22"/>
      <c r="BV22" s="70" t="n">
        <f aca="false">BU22-BT22</f>
        <v>0</v>
      </c>
      <c r="BW22" s="21"/>
      <c r="BX22" s="22"/>
      <c r="BY22" s="70" t="n">
        <f aca="false">BX22-BW22</f>
        <v>0</v>
      </c>
      <c r="BZ22" s="21"/>
      <c r="CA22" s="22"/>
      <c r="CB22" s="70" t="n">
        <f aca="false">CA22-BZ22</f>
        <v>0</v>
      </c>
      <c r="CC22" s="21"/>
      <c r="CD22" s="22"/>
      <c r="CE22" s="70" t="n">
        <f aca="false">CD22-CC22</f>
        <v>0</v>
      </c>
      <c r="CF22" s="21"/>
      <c r="CG22" s="22"/>
      <c r="CH22" s="70" t="n">
        <f aca="false">CG22-CF22</f>
        <v>0</v>
      </c>
      <c r="CI22" s="21"/>
      <c r="CJ22" s="22"/>
      <c r="CK22" s="70" t="n">
        <f aca="false">CJ22-CI22</f>
        <v>0</v>
      </c>
      <c r="CL22" s="21"/>
      <c r="CM22" s="22"/>
      <c r="CN22" s="70" t="n">
        <f aca="false">CM22-CL22</f>
        <v>0</v>
      </c>
      <c r="CO22" s="21"/>
      <c r="CP22" s="22"/>
      <c r="CQ22" s="70" t="n">
        <f aca="false">CP22-CO22</f>
        <v>0</v>
      </c>
      <c r="CR22" s="21"/>
      <c r="CS22" s="22"/>
      <c r="CT22" s="70" t="n">
        <f aca="false">CS22-CR22</f>
        <v>0</v>
      </c>
      <c r="CU22" s="21"/>
      <c r="CV22" s="22"/>
      <c r="CW22" s="70" t="n">
        <f aca="false">CV22-CU22</f>
        <v>0</v>
      </c>
      <c r="CX22" s="21"/>
      <c r="CY22" s="22"/>
      <c r="CZ22" s="70" t="n">
        <f aca="false">CY22-CX22</f>
        <v>0</v>
      </c>
      <c r="DA22" s="21"/>
      <c r="DB22" s="22"/>
      <c r="DC22" s="70" t="n">
        <f aca="false">DB22-DA22</f>
        <v>0</v>
      </c>
      <c r="DD22" s="21"/>
      <c r="DE22" s="22"/>
      <c r="DF22" s="70" t="n">
        <f aca="false">DE22-DD22</f>
        <v>0</v>
      </c>
      <c r="DG22" s="21"/>
      <c r="DH22" s="22"/>
      <c r="DI22" s="70" t="n">
        <f aca="false">DH22-DG22</f>
        <v>0</v>
      </c>
      <c r="DJ22" s="21"/>
      <c r="DK22" s="22"/>
      <c r="DL22" s="70" t="n">
        <f aca="false">DK22-DJ22</f>
        <v>0</v>
      </c>
      <c r="DM22" s="21"/>
      <c r="DN22" s="22"/>
      <c r="DO22" s="70" t="n">
        <f aca="false">DN22-DM22</f>
        <v>0</v>
      </c>
      <c r="DP22" s="21"/>
      <c r="DQ22" s="22"/>
      <c r="DR22" s="70" t="n">
        <f aca="false">DQ22-DP22</f>
        <v>0</v>
      </c>
      <c r="DS22" s="70" t="n">
        <f aca="false">+C22+F22+I22+L22+O22+R22+U22+X22+AA22+AD22+AG22+AJ22+AM22+AP22+AS22+AV22+AY22+BB22+BE22+BH22+BK22+BN22+BQ22+BT22+BW22+BZ22+CC22+CF22+CI22+CL22+CO22+CR22+CU22+CX22+DA22+DD22+DG22+DJ22+DM22+DP22</f>
        <v>225000</v>
      </c>
      <c r="DT22" s="70" t="n">
        <f aca="false">+D22+G22+J22+M22+P22+S22+V22+Y22+AB22+AE22+AH22+AK22+AN22+AQ22+AT22+AW22+AZ22+BC22+BF22+BI22+BL22+BO22+BR22+BU22+BX22+CA22+CD22+CG22+CJ22+CM22+CP22+CS22+CV22+CY22+DB22+DE22+DH22+DK22+DN22+DQ22</f>
        <v>206043</v>
      </c>
      <c r="DU22" s="70" t="n">
        <f aca="false">DT22-DS22</f>
        <v>-18957</v>
      </c>
      <c r="DV22" s="22" t="n">
        <f aca="false">+DV21+DU22</f>
        <v>-377314</v>
      </c>
      <c r="DW22" s="74"/>
      <c r="DX22" s="70" t="n">
        <f aca="false">+DS22-AV22</f>
        <v>125000</v>
      </c>
      <c r="DY22" s="70" t="n">
        <f aca="false">+DT22-AW22</f>
        <v>122405</v>
      </c>
      <c r="DZ22" s="22" t="n">
        <f aca="false">+DY22-DX22</f>
        <v>-2595</v>
      </c>
      <c r="EA22" s="22" t="n">
        <f aca="false">+EA21+DZ22</f>
        <v>-172055</v>
      </c>
      <c r="EB22" s="74"/>
      <c r="EC22" s="22" t="n">
        <f aca="false">+AX22</f>
        <v>-16362</v>
      </c>
      <c r="ED22" s="22" t="n">
        <f aca="false">+EC22</f>
        <v>-16362</v>
      </c>
      <c r="EE22" s="74"/>
      <c r="EF22" s="74"/>
      <c r="EG22" s="74"/>
      <c r="EH22" s="74"/>
      <c r="EI22" s="74"/>
      <c r="EJ22" s="74"/>
      <c r="EK22" s="74"/>
    </row>
    <row r="23" customFormat="false" ht="12.75" hidden="false" customHeight="false" outlineLevel="0" collapsed="false">
      <c r="A23" s="69" t="n">
        <f aca="false">+BaseloadMarkets!A23</f>
        <v>36695</v>
      </c>
      <c r="B23" s="69" t="str">
        <f aca="false">+BaseloadMarkets!B23</f>
        <v>Sun</v>
      </c>
      <c r="C23" s="21" t="n">
        <v>5000</v>
      </c>
      <c r="D23" s="22" t="n">
        <v>5000</v>
      </c>
      <c r="E23" s="70" t="n">
        <f aca="false">D23-C23</f>
        <v>0</v>
      </c>
      <c r="F23" s="21" t="n">
        <v>5000</v>
      </c>
      <c r="G23" s="22" t="n">
        <v>5000</v>
      </c>
      <c r="H23" s="70" t="n">
        <f aca="false">G23-F23</f>
        <v>0</v>
      </c>
      <c r="I23" s="21" t="n">
        <v>5000</v>
      </c>
      <c r="J23" s="22" t="n">
        <v>5000</v>
      </c>
      <c r="K23" s="70" t="n">
        <f aca="false">J23-I23</f>
        <v>0</v>
      </c>
      <c r="L23" s="21" t="n">
        <v>10000</v>
      </c>
      <c r="M23" s="22" t="n">
        <v>6928</v>
      </c>
      <c r="N23" s="70" t="n">
        <f aca="false">M23-L23</f>
        <v>-3072</v>
      </c>
      <c r="O23" s="21" t="n">
        <v>5000</v>
      </c>
      <c r="P23" s="22" t="n">
        <v>5000</v>
      </c>
      <c r="Q23" s="70" t="n">
        <f aca="false">P23-O23</f>
        <v>0</v>
      </c>
      <c r="R23" s="21" t="n">
        <v>5000</v>
      </c>
      <c r="S23" s="22" t="n">
        <v>5000</v>
      </c>
      <c r="T23" s="70" t="n">
        <f aca="false">S23-R23</f>
        <v>0</v>
      </c>
      <c r="U23" s="21" t="n">
        <v>10000</v>
      </c>
      <c r="V23" s="22" t="n">
        <v>10000</v>
      </c>
      <c r="W23" s="70" t="n">
        <f aca="false">V23-U23</f>
        <v>0</v>
      </c>
      <c r="X23" s="21" t="n">
        <f aca="false">5000+5000+5000+5000</f>
        <v>20000</v>
      </c>
      <c r="Y23" s="21" t="n">
        <f aca="false">5000+5000+5000+5000</f>
        <v>20000</v>
      </c>
      <c r="Z23" s="70" t="n">
        <f aca="false">Y23-X23</f>
        <v>0</v>
      </c>
      <c r="AA23" s="21" t="n">
        <v>5000</v>
      </c>
      <c r="AB23" s="22" t="n">
        <v>5000</v>
      </c>
      <c r="AC23" s="70" t="n">
        <f aca="false">AB23-AA23</f>
        <v>0</v>
      </c>
      <c r="AD23" s="21" t="n">
        <f aca="false">5000+5000+5000</f>
        <v>15000</v>
      </c>
      <c r="AE23" s="21" t="n">
        <f aca="false">5000+5000+5000</f>
        <v>15000</v>
      </c>
      <c r="AF23" s="70" t="n">
        <f aca="false">AE23-AD23</f>
        <v>0</v>
      </c>
      <c r="AG23" s="21" t="n">
        <v>5000</v>
      </c>
      <c r="AH23" s="22" t="n">
        <v>5000</v>
      </c>
      <c r="AI23" s="70" t="n">
        <f aca="false">AH23-AG23</f>
        <v>0</v>
      </c>
      <c r="AJ23" s="21" t="n">
        <f aca="false">5000+5000</f>
        <v>10000</v>
      </c>
      <c r="AK23" s="21" t="n">
        <f aca="false">5000+5000</f>
        <v>10000</v>
      </c>
      <c r="AL23" s="70" t="n">
        <f aca="false">AK23-AJ23</f>
        <v>0</v>
      </c>
      <c r="AM23" s="21" t="n">
        <v>10000</v>
      </c>
      <c r="AN23" s="22" t="n">
        <v>10000</v>
      </c>
      <c r="AO23" s="70" t="n">
        <f aca="false">AN23-AM23</f>
        <v>0</v>
      </c>
      <c r="AP23" s="21" t="n">
        <f aca="false">10000+5000</f>
        <v>15000</v>
      </c>
      <c r="AQ23" s="21" t="n">
        <f aca="false">10000+5000</f>
        <v>15000</v>
      </c>
      <c r="AR23" s="70" t="n">
        <f aca="false">AQ23-AP23</f>
        <v>0</v>
      </c>
      <c r="AS23" s="21"/>
      <c r="AT23" s="22"/>
      <c r="AU23" s="70" t="n">
        <f aca="false">AT23-AS23</f>
        <v>0</v>
      </c>
      <c r="AV23" s="21" t="n">
        <v>100000</v>
      </c>
      <c r="AW23" s="22" t="n">
        <v>84108</v>
      </c>
      <c r="AX23" s="70" t="n">
        <f aca="false">AW23-AV23</f>
        <v>-15892</v>
      </c>
      <c r="AY23" s="21"/>
      <c r="AZ23" s="22"/>
      <c r="BA23" s="70" t="n">
        <f aca="false">AZ23-AY23</f>
        <v>0</v>
      </c>
      <c r="BB23" s="21"/>
      <c r="BC23" s="22"/>
      <c r="BD23" s="70" t="n">
        <f aca="false">BC23-BB23</f>
        <v>0</v>
      </c>
      <c r="BE23" s="21"/>
      <c r="BF23" s="22"/>
      <c r="BG23" s="70" t="n">
        <f aca="false">BF23-BE23</f>
        <v>0</v>
      </c>
      <c r="BH23" s="21"/>
      <c r="BI23" s="22"/>
      <c r="BJ23" s="70" t="n">
        <f aca="false">BI23-BH23</f>
        <v>0</v>
      </c>
      <c r="BK23" s="21"/>
      <c r="BL23" s="22"/>
      <c r="BM23" s="70" t="n">
        <f aca="false">BL23-BK23</f>
        <v>0</v>
      </c>
      <c r="BN23" s="21"/>
      <c r="BO23" s="22"/>
      <c r="BP23" s="70" t="n">
        <f aca="false">BO23-BN23</f>
        <v>0</v>
      </c>
      <c r="BQ23" s="21"/>
      <c r="BR23" s="22"/>
      <c r="BS23" s="70" t="n">
        <f aca="false">BR23-BQ23</f>
        <v>0</v>
      </c>
      <c r="BT23" s="21"/>
      <c r="BU23" s="22"/>
      <c r="BV23" s="70" t="n">
        <f aca="false">BU23-BT23</f>
        <v>0</v>
      </c>
      <c r="BW23" s="21"/>
      <c r="BX23" s="22"/>
      <c r="BY23" s="70" t="n">
        <f aca="false">BX23-BW23</f>
        <v>0</v>
      </c>
      <c r="BZ23" s="21"/>
      <c r="CA23" s="22"/>
      <c r="CB23" s="70" t="n">
        <f aca="false">CA23-BZ23</f>
        <v>0</v>
      </c>
      <c r="CC23" s="21"/>
      <c r="CD23" s="22"/>
      <c r="CE23" s="70" t="n">
        <f aca="false">CD23-CC23</f>
        <v>0</v>
      </c>
      <c r="CF23" s="21"/>
      <c r="CG23" s="22"/>
      <c r="CH23" s="70" t="n">
        <f aca="false">CG23-CF23</f>
        <v>0</v>
      </c>
      <c r="CI23" s="21"/>
      <c r="CJ23" s="22"/>
      <c r="CK23" s="70" t="n">
        <f aca="false">CJ23-CI23</f>
        <v>0</v>
      </c>
      <c r="CL23" s="21"/>
      <c r="CM23" s="22"/>
      <c r="CN23" s="70" t="n">
        <f aca="false">CM23-CL23</f>
        <v>0</v>
      </c>
      <c r="CO23" s="21"/>
      <c r="CP23" s="22"/>
      <c r="CQ23" s="70" t="n">
        <f aca="false">CP23-CO23</f>
        <v>0</v>
      </c>
      <c r="CR23" s="21"/>
      <c r="CS23" s="22"/>
      <c r="CT23" s="70" t="n">
        <f aca="false">CS23-CR23</f>
        <v>0</v>
      </c>
      <c r="CU23" s="21"/>
      <c r="CV23" s="22"/>
      <c r="CW23" s="70" t="n">
        <f aca="false">CV23-CU23</f>
        <v>0</v>
      </c>
      <c r="CX23" s="21"/>
      <c r="CY23" s="22"/>
      <c r="CZ23" s="70" t="n">
        <f aca="false">CY23-CX23</f>
        <v>0</v>
      </c>
      <c r="DA23" s="21"/>
      <c r="DB23" s="22"/>
      <c r="DC23" s="70" t="n">
        <f aca="false">DB23-DA23</f>
        <v>0</v>
      </c>
      <c r="DD23" s="21"/>
      <c r="DE23" s="22"/>
      <c r="DF23" s="70" t="n">
        <f aca="false">DE23-DD23</f>
        <v>0</v>
      </c>
      <c r="DG23" s="21"/>
      <c r="DH23" s="22"/>
      <c r="DI23" s="70" t="n">
        <f aca="false">DH23-DG23</f>
        <v>0</v>
      </c>
      <c r="DJ23" s="21"/>
      <c r="DK23" s="22"/>
      <c r="DL23" s="70" t="n">
        <f aca="false">DK23-DJ23</f>
        <v>0</v>
      </c>
      <c r="DM23" s="21"/>
      <c r="DN23" s="22"/>
      <c r="DO23" s="70" t="n">
        <f aca="false">DN23-DM23</f>
        <v>0</v>
      </c>
      <c r="DP23" s="21"/>
      <c r="DQ23" s="22"/>
      <c r="DR23" s="70" t="n">
        <f aca="false">DQ23-DP23</f>
        <v>0</v>
      </c>
      <c r="DS23" s="70" t="n">
        <f aca="false">+C23+F23+I23+L23+O23+R23+U23+X23+AA23+AD23+AG23+AJ23+AM23+AP23+AS23+AV23+AY23+BB23+BE23+BH23+BK23+BN23+BQ23+BT23+BW23+BZ23+CC23+CF23+CI23+CL23+CO23+CR23+CU23+CX23+DA23+DD23+DG23+DJ23+DM23+DP23</f>
        <v>225000</v>
      </c>
      <c r="DT23" s="70" t="n">
        <f aca="false">+D23+G23+J23+M23+P23+S23+V23+Y23+AB23+AE23+AH23+AK23+AN23+AQ23+AT23+AW23+AZ23+BC23+BF23+BI23+BL23+BO23+BR23+BU23+BX23+CA23+CD23+CG23+CJ23+CM23+CP23+CS23+CV23+CY23+DB23+DE23+DH23+DK23+DN23+DQ23</f>
        <v>206036</v>
      </c>
      <c r="DU23" s="70" t="n">
        <f aca="false">DT23-DS23</f>
        <v>-18964</v>
      </c>
      <c r="DV23" s="22" t="n">
        <f aca="false">+DV22+DU23</f>
        <v>-396278</v>
      </c>
      <c r="DW23" s="74"/>
      <c r="DX23" s="70" t="n">
        <f aca="false">+DS23-AV23</f>
        <v>125000</v>
      </c>
      <c r="DY23" s="70" t="n">
        <f aca="false">+DT23-AW23</f>
        <v>121928</v>
      </c>
      <c r="DZ23" s="22" t="n">
        <f aca="false">+DY23-DX23</f>
        <v>-3072</v>
      </c>
      <c r="EA23" s="22" t="n">
        <f aca="false">+EA22+DZ23</f>
        <v>-175127</v>
      </c>
      <c r="EB23" s="74"/>
      <c r="EC23" s="22" t="n">
        <f aca="false">+AX23</f>
        <v>-15892</v>
      </c>
      <c r="ED23" s="22" t="n">
        <f aca="false">+EC23</f>
        <v>-15892</v>
      </c>
      <c r="EE23" s="74"/>
      <c r="EF23" s="74"/>
      <c r="EG23" s="74"/>
      <c r="EH23" s="74"/>
      <c r="EI23" s="74"/>
      <c r="EJ23" s="74"/>
      <c r="EK23" s="74"/>
    </row>
    <row r="24" customFormat="false" ht="12.75" hidden="false" customHeight="false" outlineLevel="0" collapsed="false">
      <c r="A24" s="69" t="n">
        <f aca="false">+BaseloadMarkets!A24</f>
        <v>36696</v>
      </c>
      <c r="B24" s="69" t="str">
        <f aca="false">+BaseloadMarkets!B24</f>
        <v>Mon</v>
      </c>
      <c r="C24" s="21" t="n">
        <v>5000</v>
      </c>
      <c r="D24" s="22" t="n">
        <v>5000</v>
      </c>
      <c r="E24" s="70" t="n">
        <f aca="false">D24-C24</f>
        <v>0</v>
      </c>
      <c r="F24" s="21" t="n">
        <v>5000</v>
      </c>
      <c r="G24" s="22" t="n">
        <v>5000</v>
      </c>
      <c r="H24" s="70" t="n">
        <f aca="false">G24-F24</f>
        <v>0</v>
      </c>
      <c r="I24" s="21" t="n">
        <v>5000</v>
      </c>
      <c r="J24" s="22" t="n">
        <v>5000</v>
      </c>
      <c r="K24" s="70" t="n">
        <f aca="false">J24-I24</f>
        <v>0</v>
      </c>
      <c r="L24" s="21" t="n">
        <v>10000</v>
      </c>
      <c r="M24" s="22" t="n">
        <v>6354</v>
      </c>
      <c r="N24" s="70" t="n">
        <f aca="false">M24-L24</f>
        <v>-3646</v>
      </c>
      <c r="O24" s="21" t="n">
        <v>5000</v>
      </c>
      <c r="P24" s="22" t="n">
        <v>5000</v>
      </c>
      <c r="Q24" s="70" t="n">
        <f aca="false">P24-O24</f>
        <v>0</v>
      </c>
      <c r="R24" s="21" t="n">
        <v>5000</v>
      </c>
      <c r="S24" s="22" t="n">
        <v>5000</v>
      </c>
      <c r="T24" s="70" t="n">
        <f aca="false">S24-R24</f>
        <v>0</v>
      </c>
      <c r="U24" s="21" t="n">
        <v>10000</v>
      </c>
      <c r="V24" s="22" t="n">
        <v>10000</v>
      </c>
      <c r="W24" s="70" t="n">
        <f aca="false">V24-U24</f>
        <v>0</v>
      </c>
      <c r="X24" s="21" t="n">
        <f aca="false">5000+5000+5000+5000</f>
        <v>20000</v>
      </c>
      <c r="Y24" s="21" t="n">
        <f aca="false">5000+5000+5000+5000</f>
        <v>20000</v>
      </c>
      <c r="Z24" s="70" t="n">
        <f aca="false">Y24-X24</f>
        <v>0</v>
      </c>
      <c r="AA24" s="21" t="n">
        <v>5000</v>
      </c>
      <c r="AB24" s="22" t="n">
        <v>5000</v>
      </c>
      <c r="AC24" s="70" t="n">
        <f aca="false">AB24-AA24</f>
        <v>0</v>
      </c>
      <c r="AD24" s="21" t="n">
        <f aca="false">5000+5000+5000</f>
        <v>15000</v>
      </c>
      <c r="AE24" s="21" t="n">
        <f aca="false">5000+5000+5000</f>
        <v>15000</v>
      </c>
      <c r="AF24" s="70" t="n">
        <f aca="false">AE24-AD24</f>
        <v>0</v>
      </c>
      <c r="AG24" s="21" t="n">
        <v>5000</v>
      </c>
      <c r="AH24" s="22" t="n">
        <v>5000</v>
      </c>
      <c r="AI24" s="70" t="n">
        <f aca="false">AH24-AG24</f>
        <v>0</v>
      </c>
      <c r="AJ24" s="21" t="n">
        <f aca="false">5000+5000</f>
        <v>10000</v>
      </c>
      <c r="AK24" s="21" t="n">
        <f aca="false">5000+5000</f>
        <v>10000</v>
      </c>
      <c r="AL24" s="70" t="n">
        <f aca="false">AK24-AJ24</f>
        <v>0</v>
      </c>
      <c r="AM24" s="21" t="n">
        <v>10000</v>
      </c>
      <c r="AN24" s="22" t="n">
        <v>10000</v>
      </c>
      <c r="AO24" s="70" t="n">
        <f aca="false">AN24-AM24</f>
        <v>0</v>
      </c>
      <c r="AP24" s="21" t="n">
        <f aca="false">10000+5000</f>
        <v>15000</v>
      </c>
      <c r="AQ24" s="21" t="n">
        <f aca="false">10000+5000</f>
        <v>15000</v>
      </c>
      <c r="AR24" s="70" t="n">
        <f aca="false">AQ24-AP24</f>
        <v>0</v>
      </c>
      <c r="AS24" s="21"/>
      <c r="AT24" s="22"/>
      <c r="AU24" s="70" t="n">
        <f aca="false">AT24-AS24</f>
        <v>0</v>
      </c>
      <c r="AV24" s="21" t="n">
        <v>100000</v>
      </c>
      <c r="AW24" s="22" t="n">
        <f aca="false">100000-19000+6282-10000+9996-15000+10025</f>
        <v>82303</v>
      </c>
      <c r="AX24" s="70" t="n">
        <f aca="false">AW24-AV24</f>
        <v>-17697</v>
      </c>
      <c r="AY24" s="21"/>
      <c r="AZ24" s="22"/>
      <c r="BA24" s="70" t="n">
        <f aca="false">AZ24-AY24</f>
        <v>0</v>
      </c>
      <c r="BB24" s="21"/>
      <c r="BC24" s="22"/>
      <c r="BD24" s="70" t="n">
        <f aca="false">BC24-BB24</f>
        <v>0</v>
      </c>
      <c r="BE24" s="21"/>
      <c r="BF24" s="22"/>
      <c r="BG24" s="70" t="n">
        <f aca="false">BF24-BE24</f>
        <v>0</v>
      </c>
      <c r="BH24" s="21"/>
      <c r="BI24" s="22"/>
      <c r="BJ24" s="70" t="n">
        <f aca="false">BI24-BH24</f>
        <v>0</v>
      </c>
      <c r="BK24" s="21"/>
      <c r="BL24" s="22"/>
      <c r="BM24" s="70" t="n">
        <f aca="false">BL24-BK24</f>
        <v>0</v>
      </c>
      <c r="BN24" s="21"/>
      <c r="BO24" s="22"/>
      <c r="BP24" s="70" t="n">
        <f aca="false">BO24-BN24</f>
        <v>0</v>
      </c>
      <c r="BQ24" s="21"/>
      <c r="BR24" s="22"/>
      <c r="BS24" s="70" t="n">
        <f aca="false">BR24-BQ24</f>
        <v>0</v>
      </c>
      <c r="BT24" s="21"/>
      <c r="BU24" s="22"/>
      <c r="BV24" s="70" t="n">
        <f aca="false">BU24-BT24</f>
        <v>0</v>
      </c>
      <c r="BW24" s="21"/>
      <c r="BX24" s="22"/>
      <c r="BY24" s="70" t="n">
        <f aca="false">BX24-BW24</f>
        <v>0</v>
      </c>
      <c r="BZ24" s="21"/>
      <c r="CA24" s="22"/>
      <c r="CB24" s="70" t="n">
        <f aca="false">CA24-BZ24</f>
        <v>0</v>
      </c>
      <c r="CC24" s="21"/>
      <c r="CD24" s="22"/>
      <c r="CE24" s="70" t="n">
        <f aca="false">CD24-CC24</f>
        <v>0</v>
      </c>
      <c r="CF24" s="21"/>
      <c r="CG24" s="22"/>
      <c r="CH24" s="70" t="n">
        <f aca="false">CG24-CF24</f>
        <v>0</v>
      </c>
      <c r="CI24" s="21"/>
      <c r="CJ24" s="22"/>
      <c r="CK24" s="70" t="n">
        <f aca="false">CJ24-CI24</f>
        <v>0</v>
      </c>
      <c r="CL24" s="21"/>
      <c r="CM24" s="22"/>
      <c r="CN24" s="70" t="n">
        <f aca="false">CM24-CL24</f>
        <v>0</v>
      </c>
      <c r="CO24" s="21"/>
      <c r="CP24" s="22"/>
      <c r="CQ24" s="70" t="n">
        <f aca="false">CP24-CO24</f>
        <v>0</v>
      </c>
      <c r="CR24" s="21"/>
      <c r="CS24" s="22"/>
      <c r="CT24" s="70" t="n">
        <f aca="false">CS24-CR24</f>
        <v>0</v>
      </c>
      <c r="CU24" s="21"/>
      <c r="CV24" s="22"/>
      <c r="CW24" s="70" t="n">
        <f aca="false">CV24-CU24</f>
        <v>0</v>
      </c>
      <c r="CX24" s="21"/>
      <c r="CY24" s="22"/>
      <c r="CZ24" s="70" t="n">
        <f aca="false">CY24-CX24</f>
        <v>0</v>
      </c>
      <c r="DA24" s="21"/>
      <c r="DB24" s="22"/>
      <c r="DC24" s="70" t="n">
        <f aca="false">DB24-DA24</f>
        <v>0</v>
      </c>
      <c r="DD24" s="21"/>
      <c r="DE24" s="22"/>
      <c r="DF24" s="70" t="n">
        <f aca="false">DE24-DD24</f>
        <v>0</v>
      </c>
      <c r="DG24" s="21"/>
      <c r="DH24" s="22"/>
      <c r="DI24" s="70" t="n">
        <f aca="false">DH24-DG24</f>
        <v>0</v>
      </c>
      <c r="DJ24" s="21"/>
      <c r="DK24" s="22"/>
      <c r="DL24" s="70" t="n">
        <f aca="false">DK24-DJ24</f>
        <v>0</v>
      </c>
      <c r="DM24" s="21"/>
      <c r="DN24" s="22"/>
      <c r="DO24" s="70" t="n">
        <f aca="false">DN24-DM24</f>
        <v>0</v>
      </c>
      <c r="DP24" s="21"/>
      <c r="DQ24" s="22"/>
      <c r="DR24" s="70" t="n">
        <f aca="false">DQ24-DP24</f>
        <v>0</v>
      </c>
      <c r="DS24" s="70" t="n">
        <f aca="false">+C24+F24+I24+L24+O24+R24+U24+X24+AA24+AD24+AG24+AJ24+AM24+AP24+AS24+AV24+AY24+BB24+BE24+BH24+BK24+BN24+BQ24+BT24+BW24+BZ24+CC24+CF24+CI24+CL24+CO24+CR24+CU24+CX24+DA24+DD24+DG24+DJ24+DM24+DP24</f>
        <v>225000</v>
      </c>
      <c r="DT24" s="70" t="n">
        <f aca="false">+D24+G24+J24+M24+P24+S24+V24+Y24+AB24+AE24+AH24+AK24+AN24+AQ24+AT24+AW24+AZ24+BC24+BF24+BI24+BL24+BO24+BR24+BU24+BX24+CA24+CD24+CG24+CJ24+CM24+CP24+CS24+CV24+CY24+DB24+DE24+DH24+DK24+DN24+DQ24</f>
        <v>203657</v>
      </c>
      <c r="DU24" s="70" t="n">
        <f aca="false">DT24-DS24</f>
        <v>-21343</v>
      </c>
      <c r="DV24" s="22" t="n">
        <f aca="false">+DV23+DU24</f>
        <v>-417621</v>
      </c>
      <c r="DW24" s="74"/>
      <c r="DX24" s="70" t="n">
        <f aca="false">+DS24-AV24</f>
        <v>125000</v>
      </c>
      <c r="DY24" s="70" t="n">
        <f aca="false">+DT24-AW24</f>
        <v>121354</v>
      </c>
      <c r="DZ24" s="22" t="n">
        <f aca="false">+DY24-DX24</f>
        <v>-3646</v>
      </c>
      <c r="EA24" s="22" t="n">
        <f aca="false">+EA23+DZ24</f>
        <v>-178773</v>
      </c>
      <c r="EB24" s="74"/>
      <c r="EC24" s="22" t="n">
        <f aca="false">+AX24</f>
        <v>-17697</v>
      </c>
      <c r="ED24" s="22" t="n">
        <f aca="false">+EC24</f>
        <v>-17697</v>
      </c>
      <c r="EE24" s="74"/>
      <c r="EF24" s="74"/>
      <c r="EG24" s="74"/>
      <c r="EH24" s="74"/>
      <c r="EI24" s="74"/>
      <c r="EJ24" s="74"/>
      <c r="EK24" s="74"/>
    </row>
    <row r="25" customFormat="false" ht="12.75" hidden="false" customHeight="false" outlineLevel="0" collapsed="false">
      <c r="A25" s="69" t="n">
        <f aca="false">+BaseloadMarkets!A25</f>
        <v>36697</v>
      </c>
      <c r="B25" s="69" t="str">
        <f aca="false">+BaseloadMarkets!B25</f>
        <v>Tues</v>
      </c>
      <c r="C25" s="21" t="n">
        <v>5000</v>
      </c>
      <c r="D25" s="22" t="n">
        <v>5000</v>
      </c>
      <c r="E25" s="70" t="n">
        <f aca="false">D25-C25</f>
        <v>0</v>
      </c>
      <c r="F25" s="21" t="n">
        <v>5000</v>
      </c>
      <c r="G25" s="22" t="n">
        <v>5000</v>
      </c>
      <c r="H25" s="70" t="n">
        <f aca="false">G25-F25</f>
        <v>0</v>
      </c>
      <c r="I25" s="21" t="n">
        <v>5000</v>
      </c>
      <c r="J25" s="22" t="n">
        <v>5000</v>
      </c>
      <c r="K25" s="70" t="n">
        <f aca="false">J25-I25</f>
        <v>0</v>
      </c>
      <c r="L25" s="21" t="n">
        <v>10000</v>
      </c>
      <c r="M25" s="22" t="n">
        <v>10000</v>
      </c>
      <c r="N25" s="70" t="n">
        <f aca="false">M25-L25</f>
        <v>0</v>
      </c>
      <c r="O25" s="21" t="n">
        <v>5000</v>
      </c>
      <c r="P25" s="22" t="n">
        <v>5000</v>
      </c>
      <c r="Q25" s="70" t="n">
        <f aca="false">P25-O25</f>
        <v>0</v>
      </c>
      <c r="R25" s="21" t="n">
        <v>5000</v>
      </c>
      <c r="S25" s="22" t="n">
        <v>5000</v>
      </c>
      <c r="T25" s="70" t="n">
        <f aca="false">S25-R25</f>
        <v>0</v>
      </c>
      <c r="U25" s="21" t="n">
        <v>10000</v>
      </c>
      <c r="V25" s="22" t="n">
        <v>10000</v>
      </c>
      <c r="W25" s="70" t="n">
        <f aca="false">V25-U25</f>
        <v>0</v>
      </c>
      <c r="X25" s="21" t="n">
        <f aca="false">5000+5000+5000+5000</f>
        <v>20000</v>
      </c>
      <c r="Y25" s="21" t="n">
        <f aca="false">5000+5000+5000+5000</f>
        <v>20000</v>
      </c>
      <c r="Z25" s="70" t="n">
        <f aca="false">Y25-X25</f>
        <v>0</v>
      </c>
      <c r="AA25" s="21" t="n">
        <v>5000</v>
      </c>
      <c r="AB25" s="22" t="n">
        <v>5000</v>
      </c>
      <c r="AC25" s="70" t="n">
        <f aca="false">AB25-AA25</f>
        <v>0</v>
      </c>
      <c r="AD25" s="21" t="n">
        <f aca="false">5000+5000+5000</f>
        <v>15000</v>
      </c>
      <c r="AE25" s="21" t="n">
        <f aca="false">5000+5000+5000</f>
        <v>15000</v>
      </c>
      <c r="AF25" s="70" t="n">
        <f aca="false">AE25-AD25</f>
        <v>0</v>
      </c>
      <c r="AG25" s="21" t="n">
        <v>5000</v>
      </c>
      <c r="AH25" s="22" t="n">
        <v>5000</v>
      </c>
      <c r="AI25" s="70" t="n">
        <f aca="false">AH25-AG25</f>
        <v>0</v>
      </c>
      <c r="AJ25" s="21" t="n">
        <f aca="false">5000+5000</f>
        <v>10000</v>
      </c>
      <c r="AK25" s="21" t="n">
        <f aca="false">5000+5000</f>
        <v>10000</v>
      </c>
      <c r="AL25" s="70" t="n">
        <f aca="false">AK25-AJ25</f>
        <v>0</v>
      </c>
      <c r="AM25" s="21" t="n">
        <v>10000</v>
      </c>
      <c r="AN25" s="22" t="n">
        <v>10000</v>
      </c>
      <c r="AO25" s="70" t="n">
        <f aca="false">AN25-AM25</f>
        <v>0</v>
      </c>
      <c r="AP25" s="21" t="n">
        <f aca="false">10000+5000</f>
        <v>15000</v>
      </c>
      <c r="AQ25" s="21" t="n">
        <f aca="false">10000+5000</f>
        <v>15000</v>
      </c>
      <c r="AR25" s="70" t="n">
        <f aca="false">AQ25-AP25</f>
        <v>0</v>
      </c>
      <c r="AS25" s="21"/>
      <c r="AT25" s="22"/>
      <c r="AU25" s="70" t="n">
        <f aca="false">AT25-AS25</f>
        <v>0</v>
      </c>
      <c r="AV25" s="21" t="n">
        <v>155000</v>
      </c>
      <c r="AW25" s="22" t="n">
        <v>155000</v>
      </c>
      <c r="AX25" s="70" t="n">
        <f aca="false">AW25-AV25</f>
        <v>0</v>
      </c>
      <c r="AY25" s="21"/>
      <c r="AZ25" s="22"/>
      <c r="BA25" s="70" t="n">
        <f aca="false">AZ25-AY25</f>
        <v>0</v>
      </c>
      <c r="BB25" s="21"/>
      <c r="BC25" s="22"/>
      <c r="BD25" s="70" t="n">
        <f aca="false">BC25-BB25</f>
        <v>0</v>
      </c>
      <c r="BE25" s="21"/>
      <c r="BF25" s="22"/>
      <c r="BG25" s="70" t="n">
        <f aca="false">BF25-BE25</f>
        <v>0</v>
      </c>
      <c r="BH25" s="21"/>
      <c r="BI25" s="22"/>
      <c r="BJ25" s="70" t="n">
        <f aca="false">BI25-BH25</f>
        <v>0</v>
      </c>
      <c r="BK25" s="21"/>
      <c r="BL25" s="22"/>
      <c r="BM25" s="70" t="n">
        <f aca="false">BL25-BK25</f>
        <v>0</v>
      </c>
      <c r="BN25" s="21"/>
      <c r="BO25" s="22"/>
      <c r="BP25" s="70" t="n">
        <f aca="false">BO25-BN25</f>
        <v>0</v>
      </c>
      <c r="BQ25" s="21"/>
      <c r="BR25" s="22"/>
      <c r="BS25" s="70" t="n">
        <f aca="false">BR25-BQ25</f>
        <v>0</v>
      </c>
      <c r="BT25" s="21"/>
      <c r="BU25" s="22"/>
      <c r="BV25" s="70" t="n">
        <f aca="false">BU25-BT25</f>
        <v>0</v>
      </c>
      <c r="BW25" s="21"/>
      <c r="BX25" s="22"/>
      <c r="BY25" s="70" t="n">
        <f aca="false">BX25-BW25</f>
        <v>0</v>
      </c>
      <c r="BZ25" s="21"/>
      <c r="CA25" s="22"/>
      <c r="CB25" s="70" t="n">
        <f aca="false">CA25-BZ25</f>
        <v>0</v>
      </c>
      <c r="CC25" s="21"/>
      <c r="CD25" s="22"/>
      <c r="CE25" s="70" t="n">
        <f aca="false">CD25-CC25</f>
        <v>0</v>
      </c>
      <c r="CF25" s="21"/>
      <c r="CG25" s="22"/>
      <c r="CH25" s="70" t="n">
        <f aca="false">CG25-CF25</f>
        <v>0</v>
      </c>
      <c r="CI25" s="21"/>
      <c r="CJ25" s="22"/>
      <c r="CK25" s="70" t="n">
        <f aca="false">CJ25-CI25</f>
        <v>0</v>
      </c>
      <c r="CL25" s="21"/>
      <c r="CM25" s="22"/>
      <c r="CN25" s="70" t="n">
        <f aca="false">CM25-CL25</f>
        <v>0</v>
      </c>
      <c r="CO25" s="21"/>
      <c r="CP25" s="22"/>
      <c r="CQ25" s="70" t="n">
        <f aca="false">CP25-CO25</f>
        <v>0</v>
      </c>
      <c r="CR25" s="21"/>
      <c r="CS25" s="22"/>
      <c r="CT25" s="70" t="n">
        <f aca="false">CS25-CR25</f>
        <v>0</v>
      </c>
      <c r="CU25" s="21"/>
      <c r="CV25" s="22"/>
      <c r="CW25" s="70" t="n">
        <f aca="false">CV25-CU25</f>
        <v>0</v>
      </c>
      <c r="CX25" s="21"/>
      <c r="CY25" s="22"/>
      <c r="CZ25" s="70" t="n">
        <f aca="false">CY25-CX25</f>
        <v>0</v>
      </c>
      <c r="DA25" s="21"/>
      <c r="DB25" s="22"/>
      <c r="DC25" s="70" t="n">
        <f aca="false">DB25-DA25</f>
        <v>0</v>
      </c>
      <c r="DD25" s="21"/>
      <c r="DE25" s="22"/>
      <c r="DF25" s="70" t="n">
        <f aca="false">DE25-DD25</f>
        <v>0</v>
      </c>
      <c r="DG25" s="21"/>
      <c r="DH25" s="22"/>
      <c r="DI25" s="70" t="n">
        <f aca="false">DH25-DG25</f>
        <v>0</v>
      </c>
      <c r="DJ25" s="21"/>
      <c r="DK25" s="22"/>
      <c r="DL25" s="70" t="n">
        <f aca="false">DK25-DJ25</f>
        <v>0</v>
      </c>
      <c r="DM25" s="21"/>
      <c r="DN25" s="22"/>
      <c r="DO25" s="70" t="n">
        <f aca="false">DN25-DM25</f>
        <v>0</v>
      </c>
      <c r="DP25" s="21"/>
      <c r="DQ25" s="22"/>
      <c r="DR25" s="70" t="n">
        <f aca="false">DQ25-DP25</f>
        <v>0</v>
      </c>
      <c r="DS25" s="70" t="n">
        <f aca="false">+C25+F25+I25+L25+O25+R25+U25+X25+AA25+AD25+AG25+AJ25+AM25+AP25+AS25+AV25+AY25+BB25+BE25+BH25+BK25+BN25+BQ25+BT25+BW25+BZ25+CC25+CF25+CI25+CL25+CO25+CR25+CU25+CX25+DA25+DD25+DG25+DJ25+DM25+DP25</f>
        <v>280000</v>
      </c>
      <c r="DT25" s="70" t="n">
        <f aca="false">+D25+G25+J25+M25+P25+S25+V25+Y25+AB25+AE25+AH25+AK25+AN25+AQ25+AT25+AW25+AZ25+BC25+BF25+BI25+BL25+BO25+BR25+BU25+BX25+CA25+CD25+CG25+CJ25+CM25+CP25+CS25+CV25+CY25+DB25+DE25+DH25+DK25+DN25+DQ25</f>
        <v>280000</v>
      </c>
      <c r="DU25" s="70" t="n">
        <f aca="false">DT25-DS25</f>
        <v>0</v>
      </c>
      <c r="DV25" s="22" t="n">
        <f aca="false">+DV24+DU25</f>
        <v>-417621</v>
      </c>
      <c r="DW25" s="74"/>
      <c r="DX25" s="70" t="n">
        <f aca="false">+DS25-AV25</f>
        <v>125000</v>
      </c>
      <c r="DY25" s="70" t="n">
        <f aca="false">+DT25-AW25</f>
        <v>125000</v>
      </c>
      <c r="DZ25" s="22" t="n">
        <f aca="false">+DY25-DX25</f>
        <v>0</v>
      </c>
      <c r="EA25" s="22" t="n">
        <f aca="false">+EA24+DZ25</f>
        <v>-178773</v>
      </c>
      <c r="EB25" s="74"/>
      <c r="EC25" s="22" t="n">
        <f aca="false">+AX25</f>
        <v>0</v>
      </c>
      <c r="ED25" s="22" t="n">
        <f aca="false">+EC25</f>
        <v>0</v>
      </c>
      <c r="EE25" s="74"/>
      <c r="EF25" s="74"/>
      <c r="EG25" s="74"/>
      <c r="EH25" s="74"/>
      <c r="EI25" s="74"/>
      <c r="EJ25" s="74"/>
      <c r="EK25" s="74"/>
    </row>
    <row r="26" customFormat="false" ht="12.75" hidden="false" customHeight="false" outlineLevel="0" collapsed="false">
      <c r="A26" s="69" t="n">
        <f aca="false">+BaseloadMarkets!A26</f>
        <v>36698</v>
      </c>
      <c r="B26" s="69" t="str">
        <f aca="false">+BaseloadMarkets!B26</f>
        <v>Wed</v>
      </c>
      <c r="C26" s="21" t="n">
        <v>5000</v>
      </c>
      <c r="D26" s="22" t="n">
        <v>5000</v>
      </c>
      <c r="E26" s="70" t="n">
        <f aca="false">D26-C26</f>
        <v>0</v>
      </c>
      <c r="F26" s="21" t="n">
        <v>5000</v>
      </c>
      <c r="G26" s="22" t="n">
        <v>5000</v>
      </c>
      <c r="H26" s="70" t="n">
        <f aca="false">G26-F26</f>
        <v>0</v>
      </c>
      <c r="I26" s="21" t="n">
        <v>5000</v>
      </c>
      <c r="J26" s="22" t="n">
        <v>5000</v>
      </c>
      <c r="K26" s="70" t="n">
        <f aca="false">J26-I26</f>
        <v>0</v>
      </c>
      <c r="L26" s="21" t="n">
        <v>10000</v>
      </c>
      <c r="M26" s="22" t="n">
        <v>10000</v>
      </c>
      <c r="N26" s="70" t="n">
        <f aca="false">M26-L26</f>
        <v>0</v>
      </c>
      <c r="O26" s="21" t="n">
        <v>5000</v>
      </c>
      <c r="P26" s="22" t="n">
        <v>5000</v>
      </c>
      <c r="Q26" s="70" t="n">
        <f aca="false">P26-O26</f>
        <v>0</v>
      </c>
      <c r="R26" s="21" t="n">
        <v>5000</v>
      </c>
      <c r="S26" s="22" t="n">
        <v>5000</v>
      </c>
      <c r="T26" s="70" t="n">
        <f aca="false">S26-R26</f>
        <v>0</v>
      </c>
      <c r="U26" s="21" t="n">
        <v>10000</v>
      </c>
      <c r="V26" s="22" t="n">
        <v>10000</v>
      </c>
      <c r="W26" s="70" t="n">
        <f aca="false">V26-U26</f>
        <v>0</v>
      </c>
      <c r="X26" s="21" t="n">
        <f aca="false">5000+5000+5000+5000</f>
        <v>20000</v>
      </c>
      <c r="Y26" s="21" t="n">
        <f aca="false">5000+5000+5000+5000</f>
        <v>20000</v>
      </c>
      <c r="Z26" s="70" t="n">
        <f aca="false">Y26-X26</f>
        <v>0</v>
      </c>
      <c r="AA26" s="21" t="n">
        <v>5000</v>
      </c>
      <c r="AB26" s="22" t="n">
        <v>5000</v>
      </c>
      <c r="AC26" s="70" t="n">
        <f aca="false">AB26-AA26</f>
        <v>0</v>
      </c>
      <c r="AD26" s="21" t="n">
        <f aca="false">5000+5000+5000</f>
        <v>15000</v>
      </c>
      <c r="AE26" s="21" t="n">
        <f aca="false">5000+5000+5000</f>
        <v>15000</v>
      </c>
      <c r="AF26" s="70" t="n">
        <f aca="false">AE26-AD26</f>
        <v>0</v>
      </c>
      <c r="AG26" s="21" t="n">
        <v>5000</v>
      </c>
      <c r="AH26" s="22" t="n">
        <v>5000</v>
      </c>
      <c r="AI26" s="70" t="n">
        <f aca="false">AH26-AG26</f>
        <v>0</v>
      </c>
      <c r="AJ26" s="21" t="n">
        <f aca="false">5000+5000</f>
        <v>10000</v>
      </c>
      <c r="AK26" s="21" t="n">
        <f aca="false">5000+5000</f>
        <v>10000</v>
      </c>
      <c r="AL26" s="70" t="n">
        <f aca="false">AK26-AJ26</f>
        <v>0</v>
      </c>
      <c r="AM26" s="21" t="n">
        <v>10000</v>
      </c>
      <c r="AN26" s="22" t="n">
        <v>10000</v>
      </c>
      <c r="AO26" s="70" t="n">
        <f aca="false">AN26-AM26</f>
        <v>0</v>
      </c>
      <c r="AP26" s="21" t="n">
        <f aca="false">10000+5000</f>
        <v>15000</v>
      </c>
      <c r="AQ26" s="21" t="n">
        <f aca="false">10000+5000</f>
        <v>15000</v>
      </c>
      <c r="AR26" s="70" t="n">
        <f aca="false">AQ26-AP26</f>
        <v>0</v>
      </c>
      <c r="AS26" s="21"/>
      <c r="AT26" s="22"/>
      <c r="AU26" s="70" t="n">
        <f aca="false">AT26-AS26</f>
        <v>0</v>
      </c>
      <c r="AV26" s="21" t="n">
        <v>125000</v>
      </c>
      <c r="AW26" s="22" t="n">
        <v>125000</v>
      </c>
      <c r="AX26" s="70" t="n">
        <f aca="false">AW26-AV26</f>
        <v>0</v>
      </c>
      <c r="AY26" s="21"/>
      <c r="AZ26" s="22"/>
      <c r="BA26" s="70" t="n">
        <f aca="false">AZ26-AY26</f>
        <v>0</v>
      </c>
      <c r="BB26" s="21"/>
      <c r="BC26" s="22"/>
      <c r="BD26" s="70" t="n">
        <f aca="false">BC26-BB26</f>
        <v>0</v>
      </c>
      <c r="BE26" s="21"/>
      <c r="BF26" s="22"/>
      <c r="BG26" s="70" t="n">
        <f aca="false">BF26-BE26</f>
        <v>0</v>
      </c>
      <c r="BH26" s="21"/>
      <c r="BI26" s="22"/>
      <c r="BJ26" s="70" t="n">
        <f aca="false">BI26-BH26</f>
        <v>0</v>
      </c>
      <c r="BK26" s="21"/>
      <c r="BL26" s="22"/>
      <c r="BM26" s="70" t="n">
        <f aca="false">BL26-BK26</f>
        <v>0</v>
      </c>
      <c r="BN26" s="21"/>
      <c r="BO26" s="22"/>
      <c r="BP26" s="70" t="n">
        <f aca="false">BO26-BN26</f>
        <v>0</v>
      </c>
      <c r="BQ26" s="21"/>
      <c r="BR26" s="22"/>
      <c r="BS26" s="70" t="n">
        <f aca="false">BR26-BQ26</f>
        <v>0</v>
      </c>
      <c r="BT26" s="21"/>
      <c r="BU26" s="22"/>
      <c r="BV26" s="70" t="n">
        <f aca="false">BU26-BT26</f>
        <v>0</v>
      </c>
      <c r="BW26" s="21"/>
      <c r="BX26" s="22"/>
      <c r="BY26" s="70" t="n">
        <f aca="false">BX26-BW26</f>
        <v>0</v>
      </c>
      <c r="BZ26" s="21"/>
      <c r="CA26" s="22"/>
      <c r="CB26" s="70" t="n">
        <f aca="false">CA26-BZ26</f>
        <v>0</v>
      </c>
      <c r="CC26" s="21"/>
      <c r="CD26" s="22"/>
      <c r="CE26" s="70" t="n">
        <f aca="false">CD26-CC26</f>
        <v>0</v>
      </c>
      <c r="CF26" s="21"/>
      <c r="CG26" s="22"/>
      <c r="CH26" s="70" t="n">
        <f aca="false">CG26-CF26</f>
        <v>0</v>
      </c>
      <c r="CI26" s="21"/>
      <c r="CJ26" s="22"/>
      <c r="CK26" s="70" t="n">
        <f aca="false">CJ26-CI26</f>
        <v>0</v>
      </c>
      <c r="CL26" s="21"/>
      <c r="CM26" s="22"/>
      <c r="CN26" s="70" t="n">
        <f aca="false">CM26-CL26</f>
        <v>0</v>
      </c>
      <c r="CO26" s="21"/>
      <c r="CP26" s="22"/>
      <c r="CQ26" s="70" t="n">
        <f aca="false">CP26-CO26</f>
        <v>0</v>
      </c>
      <c r="CR26" s="21"/>
      <c r="CS26" s="22"/>
      <c r="CT26" s="70" t="n">
        <f aca="false">CS26-CR26</f>
        <v>0</v>
      </c>
      <c r="CU26" s="21"/>
      <c r="CV26" s="22"/>
      <c r="CW26" s="70" t="n">
        <f aca="false">CV26-CU26</f>
        <v>0</v>
      </c>
      <c r="CX26" s="21"/>
      <c r="CY26" s="22"/>
      <c r="CZ26" s="70" t="n">
        <f aca="false">CY26-CX26</f>
        <v>0</v>
      </c>
      <c r="DA26" s="21"/>
      <c r="DB26" s="22"/>
      <c r="DC26" s="70" t="n">
        <f aca="false">DB26-DA26</f>
        <v>0</v>
      </c>
      <c r="DD26" s="21"/>
      <c r="DE26" s="22"/>
      <c r="DF26" s="70" t="n">
        <f aca="false">DE26-DD26</f>
        <v>0</v>
      </c>
      <c r="DG26" s="21"/>
      <c r="DH26" s="22"/>
      <c r="DI26" s="70" t="n">
        <f aca="false">DH26-DG26</f>
        <v>0</v>
      </c>
      <c r="DJ26" s="21"/>
      <c r="DK26" s="22"/>
      <c r="DL26" s="70" t="n">
        <f aca="false">DK26-DJ26</f>
        <v>0</v>
      </c>
      <c r="DM26" s="21"/>
      <c r="DN26" s="22"/>
      <c r="DO26" s="70" t="n">
        <f aca="false">DN26-DM26</f>
        <v>0</v>
      </c>
      <c r="DP26" s="21"/>
      <c r="DQ26" s="22"/>
      <c r="DR26" s="70" t="n">
        <f aca="false">DQ26-DP26</f>
        <v>0</v>
      </c>
      <c r="DS26" s="70" t="n">
        <f aca="false">+C26+F26+I26+L26+O26+R26+U26+X26+AA26+AD26+AG26+AJ26+AM26+AP26+AS26+AV26+AY26+BB26+BE26+BH26+BK26+BN26+BQ26+BT26+BW26+BZ26+CC26+CF26+CI26+CL26+CO26+CR26+CU26+CX26+DA26+DD26+DG26+DJ26+DM26+DP26</f>
        <v>250000</v>
      </c>
      <c r="DT26" s="70" t="n">
        <f aca="false">+D26+G26+J26+M26+P26+S26+V26+Y26+AB26+AE26+AH26+AK26+AN26+AQ26+AT26+AW26+AZ26+BC26+BF26+BI26+BL26+BO26+BR26+BU26+BX26+CA26+CD26+CG26+CJ26+CM26+CP26+CS26+CV26+CY26+DB26+DE26+DH26+DK26+DN26+DQ26</f>
        <v>250000</v>
      </c>
      <c r="DU26" s="70" t="n">
        <f aca="false">DT26-DS26</f>
        <v>0</v>
      </c>
      <c r="DV26" s="22" t="n">
        <f aca="false">+DV25+DU26</f>
        <v>-417621</v>
      </c>
      <c r="DW26" s="74"/>
      <c r="DX26" s="70" t="n">
        <f aca="false">+DS26-AV26</f>
        <v>125000</v>
      </c>
      <c r="DY26" s="70" t="n">
        <f aca="false">+DT26-AW26</f>
        <v>125000</v>
      </c>
      <c r="DZ26" s="22" t="n">
        <f aca="false">+DY26-DX26</f>
        <v>0</v>
      </c>
      <c r="EA26" s="22" t="n">
        <f aca="false">+EA25+DZ26</f>
        <v>-178773</v>
      </c>
      <c r="EB26" s="74"/>
      <c r="EC26" s="22" t="n">
        <f aca="false">+AX26</f>
        <v>0</v>
      </c>
      <c r="ED26" s="22" t="n">
        <f aca="false">+EC26</f>
        <v>0</v>
      </c>
      <c r="EE26" s="74"/>
      <c r="EF26" s="74"/>
      <c r="EG26" s="74"/>
      <c r="EH26" s="74"/>
      <c r="EI26" s="74"/>
      <c r="EJ26" s="74"/>
      <c r="EK26" s="74"/>
    </row>
    <row r="27" customFormat="false" ht="12.75" hidden="false" customHeight="false" outlineLevel="0" collapsed="false">
      <c r="A27" s="69" t="n">
        <f aca="false">+BaseloadMarkets!A27</f>
        <v>36699</v>
      </c>
      <c r="B27" s="69" t="str">
        <f aca="false">+BaseloadMarkets!B27</f>
        <v>Thu</v>
      </c>
      <c r="C27" s="21" t="n">
        <v>5000</v>
      </c>
      <c r="D27" s="22" t="n">
        <v>5000</v>
      </c>
      <c r="E27" s="70" t="n">
        <f aca="false">D27-C27</f>
        <v>0</v>
      </c>
      <c r="F27" s="21" t="n">
        <v>5000</v>
      </c>
      <c r="G27" s="22" t="n">
        <v>5000</v>
      </c>
      <c r="H27" s="70" t="n">
        <f aca="false">G27-F27</f>
        <v>0</v>
      </c>
      <c r="I27" s="21" t="n">
        <v>5000</v>
      </c>
      <c r="J27" s="22" t="n">
        <v>5000</v>
      </c>
      <c r="K27" s="70" t="n">
        <f aca="false">J27-I27</f>
        <v>0</v>
      </c>
      <c r="L27" s="21" t="n">
        <v>10000</v>
      </c>
      <c r="M27" s="22" t="n">
        <v>10000</v>
      </c>
      <c r="N27" s="70" t="n">
        <f aca="false">M27-L27</f>
        <v>0</v>
      </c>
      <c r="O27" s="21" t="n">
        <v>5000</v>
      </c>
      <c r="P27" s="22" t="n">
        <v>5000</v>
      </c>
      <c r="Q27" s="70" t="n">
        <f aca="false">P27-O27</f>
        <v>0</v>
      </c>
      <c r="R27" s="21" t="n">
        <v>5000</v>
      </c>
      <c r="S27" s="22" t="n">
        <v>5000</v>
      </c>
      <c r="T27" s="70" t="n">
        <f aca="false">S27-R27</f>
        <v>0</v>
      </c>
      <c r="U27" s="21" t="n">
        <v>10000</v>
      </c>
      <c r="V27" s="22" t="n">
        <v>10000</v>
      </c>
      <c r="W27" s="70" t="n">
        <f aca="false">V27-U27</f>
        <v>0</v>
      </c>
      <c r="X27" s="21" t="n">
        <f aca="false">5000+5000+5000+5000</f>
        <v>20000</v>
      </c>
      <c r="Y27" s="21" t="n">
        <f aca="false">5000+5000+5000+5000</f>
        <v>20000</v>
      </c>
      <c r="Z27" s="70" t="n">
        <f aca="false">Y27-X27</f>
        <v>0</v>
      </c>
      <c r="AA27" s="21" t="n">
        <v>5000</v>
      </c>
      <c r="AB27" s="22" t="n">
        <v>5000</v>
      </c>
      <c r="AC27" s="70" t="n">
        <f aca="false">AB27-AA27</f>
        <v>0</v>
      </c>
      <c r="AD27" s="21" t="n">
        <f aca="false">5000+5000+5000</f>
        <v>15000</v>
      </c>
      <c r="AE27" s="21" t="n">
        <f aca="false">5000+5000+5000</f>
        <v>15000</v>
      </c>
      <c r="AF27" s="70" t="n">
        <f aca="false">AE27-AD27</f>
        <v>0</v>
      </c>
      <c r="AG27" s="21" t="n">
        <v>5000</v>
      </c>
      <c r="AH27" s="22" t="n">
        <v>5000</v>
      </c>
      <c r="AI27" s="70" t="n">
        <f aca="false">AH27-AG27</f>
        <v>0</v>
      </c>
      <c r="AJ27" s="21" t="n">
        <f aca="false">5000+5000</f>
        <v>10000</v>
      </c>
      <c r="AK27" s="21" t="n">
        <f aca="false">5000+5000</f>
        <v>10000</v>
      </c>
      <c r="AL27" s="70" t="n">
        <f aca="false">AK27-AJ27</f>
        <v>0</v>
      </c>
      <c r="AM27" s="21" t="n">
        <v>10000</v>
      </c>
      <c r="AN27" s="22" t="n">
        <v>10000</v>
      </c>
      <c r="AO27" s="70" t="n">
        <f aca="false">AN27-AM27</f>
        <v>0</v>
      </c>
      <c r="AP27" s="21" t="n">
        <f aca="false">10000+5000</f>
        <v>15000</v>
      </c>
      <c r="AQ27" s="21" t="n">
        <f aca="false">10000+5000</f>
        <v>15000</v>
      </c>
      <c r="AR27" s="70" t="n">
        <f aca="false">AQ27-AP27</f>
        <v>0</v>
      </c>
      <c r="AS27" s="21"/>
      <c r="AT27" s="22"/>
      <c r="AU27" s="70" t="n">
        <f aca="false">AT27-AS27</f>
        <v>0</v>
      </c>
      <c r="AV27" s="21" t="n">
        <v>135000</v>
      </c>
      <c r="AW27" s="22" t="n">
        <f aca="false">135000-4000+1446</f>
        <v>132446</v>
      </c>
      <c r="AX27" s="70" t="n">
        <f aca="false">AW27-AV27</f>
        <v>-2554</v>
      </c>
      <c r="AY27" s="21"/>
      <c r="AZ27" s="22"/>
      <c r="BA27" s="70" t="n">
        <f aca="false">AZ27-AY27</f>
        <v>0</v>
      </c>
      <c r="BB27" s="21"/>
      <c r="BC27" s="22"/>
      <c r="BD27" s="70" t="n">
        <f aca="false">BC27-BB27</f>
        <v>0</v>
      </c>
      <c r="BE27" s="21"/>
      <c r="BF27" s="22"/>
      <c r="BG27" s="70" t="n">
        <f aca="false">BF27-BE27</f>
        <v>0</v>
      </c>
      <c r="BH27" s="21"/>
      <c r="BI27" s="22"/>
      <c r="BJ27" s="70" t="n">
        <f aca="false">BI27-BH27</f>
        <v>0</v>
      </c>
      <c r="BK27" s="21"/>
      <c r="BL27" s="22"/>
      <c r="BM27" s="70" t="n">
        <f aca="false">BL27-BK27</f>
        <v>0</v>
      </c>
      <c r="BN27" s="21"/>
      <c r="BO27" s="22"/>
      <c r="BP27" s="70" t="n">
        <f aca="false">BO27-BN27</f>
        <v>0</v>
      </c>
      <c r="BQ27" s="21"/>
      <c r="BR27" s="22"/>
      <c r="BS27" s="70" t="n">
        <f aca="false">BR27-BQ27</f>
        <v>0</v>
      </c>
      <c r="BT27" s="21"/>
      <c r="BU27" s="22"/>
      <c r="BV27" s="70" t="n">
        <f aca="false">BU27-BT27</f>
        <v>0</v>
      </c>
      <c r="BW27" s="21"/>
      <c r="BX27" s="22"/>
      <c r="BY27" s="70" t="n">
        <f aca="false">BX27-BW27</f>
        <v>0</v>
      </c>
      <c r="BZ27" s="21"/>
      <c r="CA27" s="22"/>
      <c r="CB27" s="70" t="n">
        <f aca="false">CA27-BZ27</f>
        <v>0</v>
      </c>
      <c r="CC27" s="21"/>
      <c r="CD27" s="22"/>
      <c r="CE27" s="70" t="n">
        <f aca="false">CD27-CC27</f>
        <v>0</v>
      </c>
      <c r="CF27" s="21"/>
      <c r="CG27" s="22"/>
      <c r="CH27" s="70" t="n">
        <f aca="false">CG27-CF27</f>
        <v>0</v>
      </c>
      <c r="CI27" s="21"/>
      <c r="CJ27" s="22"/>
      <c r="CK27" s="70" t="n">
        <f aca="false">CJ27-CI27</f>
        <v>0</v>
      </c>
      <c r="CL27" s="21"/>
      <c r="CM27" s="22"/>
      <c r="CN27" s="70" t="n">
        <f aca="false">CM27-CL27</f>
        <v>0</v>
      </c>
      <c r="CO27" s="21"/>
      <c r="CP27" s="22"/>
      <c r="CQ27" s="70" t="n">
        <f aca="false">CP27-CO27</f>
        <v>0</v>
      </c>
      <c r="CR27" s="21"/>
      <c r="CS27" s="22"/>
      <c r="CT27" s="70" t="n">
        <f aca="false">CS27-CR27</f>
        <v>0</v>
      </c>
      <c r="CU27" s="21"/>
      <c r="CV27" s="22"/>
      <c r="CW27" s="70" t="n">
        <f aca="false">CV27-CU27</f>
        <v>0</v>
      </c>
      <c r="CX27" s="21"/>
      <c r="CY27" s="22"/>
      <c r="CZ27" s="70" t="n">
        <f aca="false">CY27-CX27</f>
        <v>0</v>
      </c>
      <c r="DA27" s="21"/>
      <c r="DB27" s="22"/>
      <c r="DC27" s="70" t="n">
        <f aca="false">DB27-DA27</f>
        <v>0</v>
      </c>
      <c r="DD27" s="21"/>
      <c r="DE27" s="22"/>
      <c r="DF27" s="70" t="n">
        <f aca="false">DE27-DD27</f>
        <v>0</v>
      </c>
      <c r="DG27" s="21"/>
      <c r="DH27" s="22"/>
      <c r="DI27" s="70" t="n">
        <f aca="false">DH27-DG27</f>
        <v>0</v>
      </c>
      <c r="DJ27" s="21"/>
      <c r="DK27" s="22"/>
      <c r="DL27" s="70" t="n">
        <f aca="false">DK27-DJ27</f>
        <v>0</v>
      </c>
      <c r="DM27" s="21"/>
      <c r="DN27" s="22"/>
      <c r="DO27" s="70" t="n">
        <f aca="false">DN27-DM27</f>
        <v>0</v>
      </c>
      <c r="DP27" s="21"/>
      <c r="DQ27" s="22"/>
      <c r="DR27" s="70" t="n">
        <f aca="false">DQ27-DP27</f>
        <v>0</v>
      </c>
      <c r="DS27" s="70" t="n">
        <f aca="false">+C27+F27+I27+L27+O27+R27+U27+X27+AA27+AD27+AG27+AJ27+AM27+AP27+AS27+AV27+AY27+BB27+BE27+BH27+BK27+BN27+BQ27+BT27+BW27+BZ27+CC27+CF27+CI27+CL27+CO27+CR27+CU27+CX27+DA27+DD27+DG27+DJ27+DM27+DP27</f>
        <v>260000</v>
      </c>
      <c r="DT27" s="70" t="n">
        <f aca="false">+D27+G27+J27+M27+P27+S27+V27+Y27+AB27+AE27+AH27+AK27+AN27+AQ27+AT27+AW27+AZ27+BC27+BF27+BI27+BL27+BO27+BR27+BU27+BX27+CA27+CD27+CG27+CJ27+CM27+CP27+CS27+CV27+CY27+DB27+DE27+DH27+DK27+DN27+DQ27</f>
        <v>257446</v>
      </c>
      <c r="DU27" s="70" t="n">
        <f aca="false">DT27-DS27</f>
        <v>-2554</v>
      </c>
      <c r="DV27" s="22" t="n">
        <f aca="false">+DV26+DU27</f>
        <v>-420175</v>
      </c>
      <c r="DW27" s="74"/>
      <c r="DX27" s="70" t="n">
        <f aca="false">+DS27-AV27</f>
        <v>125000</v>
      </c>
      <c r="DY27" s="70" t="n">
        <f aca="false">+DT27-AW27</f>
        <v>125000</v>
      </c>
      <c r="DZ27" s="22" t="n">
        <f aca="false">+DY27-DX27</f>
        <v>0</v>
      </c>
      <c r="EA27" s="22" t="n">
        <f aca="false">+EA26+DZ27</f>
        <v>-178773</v>
      </c>
      <c r="EB27" s="74"/>
      <c r="EC27" s="22" t="n">
        <f aca="false">+AX27</f>
        <v>-2554</v>
      </c>
      <c r="ED27" s="22" t="n">
        <f aca="false">+EC27</f>
        <v>-2554</v>
      </c>
      <c r="EE27" s="74"/>
      <c r="EF27" s="74"/>
      <c r="EG27" s="74"/>
      <c r="EH27" s="74"/>
      <c r="EI27" s="74"/>
      <c r="EJ27" s="74"/>
      <c r="EK27" s="74"/>
    </row>
    <row r="28" customFormat="false" ht="12.75" hidden="false" customHeight="false" outlineLevel="0" collapsed="false">
      <c r="A28" s="69" t="n">
        <f aca="false">+BaseloadMarkets!A28</f>
        <v>36700</v>
      </c>
      <c r="B28" s="69" t="str">
        <f aca="false">+BaseloadMarkets!B28</f>
        <v>Fri</v>
      </c>
      <c r="C28" s="21" t="n">
        <v>5000</v>
      </c>
      <c r="D28" s="22" t="n">
        <v>5000</v>
      </c>
      <c r="E28" s="70" t="n">
        <f aca="false">D28-C28</f>
        <v>0</v>
      </c>
      <c r="F28" s="21" t="n">
        <v>5000</v>
      </c>
      <c r="G28" s="22" t="n">
        <v>5000</v>
      </c>
      <c r="H28" s="70" t="n">
        <f aca="false">G28-F28</f>
        <v>0</v>
      </c>
      <c r="I28" s="21" t="n">
        <v>5000</v>
      </c>
      <c r="J28" s="22" t="n">
        <v>5000</v>
      </c>
      <c r="K28" s="70" t="n">
        <f aca="false">J28-I28</f>
        <v>0</v>
      </c>
      <c r="L28" s="21" t="n">
        <v>10000</v>
      </c>
      <c r="M28" s="22" t="n">
        <v>10000</v>
      </c>
      <c r="N28" s="70" t="n">
        <f aca="false">M28-L28</f>
        <v>0</v>
      </c>
      <c r="O28" s="21" t="n">
        <v>5000</v>
      </c>
      <c r="P28" s="22" t="n">
        <v>5000</v>
      </c>
      <c r="Q28" s="70" t="n">
        <f aca="false">P28-O28</f>
        <v>0</v>
      </c>
      <c r="R28" s="21" t="n">
        <v>5000</v>
      </c>
      <c r="S28" s="22" t="n">
        <v>5000</v>
      </c>
      <c r="T28" s="70" t="n">
        <f aca="false">S28-R28</f>
        <v>0</v>
      </c>
      <c r="U28" s="21" t="n">
        <v>10000</v>
      </c>
      <c r="V28" s="22" t="n">
        <v>10000</v>
      </c>
      <c r="W28" s="70" t="n">
        <f aca="false">V28-U28</f>
        <v>0</v>
      </c>
      <c r="X28" s="21" t="n">
        <f aca="false">5000+5000+5000+5000</f>
        <v>20000</v>
      </c>
      <c r="Y28" s="21" t="n">
        <f aca="false">5000+5000+5000+5000</f>
        <v>20000</v>
      </c>
      <c r="Z28" s="70" t="n">
        <f aca="false">Y28-X28</f>
        <v>0</v>
      </c>
      <c r="AA28" s="21" t="n">
        <v>5000</v>
      </c>
      <c r="AB28" s="22" t="n">
        <v>5000</v>
      </c>
      <c r="AC28" s="70" t="n">
        <f aca="false">AB28-AA28</f>
        <v>0</v>
      </c>
      <c r="AD28" s="21" t="n">
        <f aca="false">5000+5000+5000</f>
        <v>15000</v>
      </c>
      <c r="AE28" s="21" t="n">
        <f aca="false">5000+5000+5000</f>
        <v>15000</v>
      </c>
      <c r="AF28" s="70" t="n">
        <f aca="false">AE28-AD28</f>
        <v>0</v>
      </c>
      <c r="AG28" s="21" t="n">
        <v>5000</v>
      </c>
      <c r="AH28" s="22" t="n">
        <v>5000</v>
      </c>
      <c r="AI28" s="70" t="n">
        <f aca="false">AH28-AG28</f>
        <v>0</v>
      </c>
      <c r="AJ28" s="21" t="n">
        <f aca="false">5000+5000</f>
        <v>10000</v>
      </c>
      <c r="AK28" s="21" t="n">
        <f aca="false">5000+5000</f>
        <v>10000</v>
      </c>
      <c r="AL28" s="70" t="n">
        <f aca="false">AK28-AJ28</f>
        <v>0</v>
      </c>
      <c r="AM28" s="21" t="n">
        <v>10000</v>
      </c>
      <c r="AN28" s="22" t="n">
        <v>10000</v>
      </c>
      <c r="AO28" s="70" t="n">
        <f aca="false">AN28-AM28</f>
        <v>0</v>
      </c>
      <c r="AP28" s="21" t="n">
        <f aca="false">10000+5000</f>
        <v>15000</v>
      </c>
      <c r="AQ28" s="21" t="n">
        <f aca="false">10000+5000</f>
        <v>15000</v>
      </c>
      <c r="AR28" s="70" t="n">
        <f aca="false">AQ28-AP28</f>
        <v>0</v>
      </c>
      <c r="AS28" s="21"/>
      <c r="AT28" s="22"/>
      <c r="AU28" s="70" t="n">
        <f aca="false">AT28-AS28</f>
        <v>0</v>
      </c>
      <c r="AV28" s="21" t="n">
        <v>505000</v>
      </c>
      <c r="AW28" s="22" t="n">
        <f aca="false">505000-19000+2061+1698+1698+4438-10000+8989</f>
        <v>494884</v>
      </c>
      <c r="AX28" s="70" t="n">
        <f aca="false">AW28-AV28</f>
        <v>-10116</v>
      </c>
      <c r="AY28" s="21"/>
      <c r="AZ28" s="22"/>
      <c r="BA28" s="70" t="n">
        <f aca="false">AZ28-AY28</f>
        <v>0</v>
      </c>
      <c r="BB28" s="21"/>
      <c r="BC28" s="22"/>
      <c r="BD28" s="70" t="n">
        <f aca="false">BC28-BB28</f>
        <v>0</v>
      </c>
      <c r="BE28" s="21"/>
      <c r="BF28" s="22"/>
      <c r="BG28" s="70" t="n">
        <f aca="false">BF28-BE28</f>
        <v>0</v>
      </c>
      <c r="BH28" s="21"/>
      <c r="BI28" s="22"/>
      <c r="BJ28" s="70" t="n">
        <f aca="false">BI28-BH28</f>
        <v>0</v>
      </c>
      <c r="BK28" s="21"/>
      <c r="BL28" s="22"/>
      <c r="BM28" s="70" t="n">
        <f aca="false">BL28-BK28</f>
        <v>0</v>
      </c>
      <c r="BN28" s="21"/>
      <c r="BO28" s="22"/>
      <c r="BP28" s="70" t="n">
        <f aca="false">BO28-BN28</f>
        <v>0</v>
      </c>
      <c r="BQ28" s="21"/>
      <c r="BR28" s="22"/>
      <c r="BS28" s="70" t="n">
        <f aca="false">BR28-BQ28</f>
        <v>0</v>
      </c>
      <c r="BT28" s="21"/>
      <c r="BU28" s="22"/>
      <c r="BV28" s="70" t="n">
        <f aca="false">BU28-BT28</f>
        <v>0</v>
      </c>
      <c r="BW28" s="21"/>
      <c r="BX28" s="22"/>
      <c r="BY28" s="70" t="n">
        <f aca="false">BX28-BW28</f>
        <v>0</v>
      </c>
      <c r="BZ28" s="21"/>
      <c r="CA28" s="22"/>
      <c r="CB28" s="70" t="n">
        <f aca="false">CA28-BZ28</f>
        <v>0</v>
      </c>
      <c r="CC28" s="21"/>
      <c r="CD28" s="22"/>
      <c r="CE28" s="70" t="n">
        <f aca="false">CD28-CC28</f>
        <v>0</v>
      </c>
      <c r="CF28" s="21"/>
      <c r="CG28" s="22"/>
      <c r="CH28" s="70" t="n">
        <f aca="false">CG28-CF28</f>
        <v>0</v>
      </c>
      <c r="CI28" s="21"/>
      <c r="CJ28" s="22"/>
      <c r="CK28" s="70" t="n">
        <f aca="false">CJ28-CI28</f>
        <v>0</v>
      </c>
      <c r="CL28" s="21"/>
      <c r="CM28" s="22"/>
      <c r="CN28" s="70" t="n">
        <f aca="false">CM28-CL28</f>
        <v>0</v>
      </c>
      <c r="CO28" s="21"/>
      <c r="CP28" s="22"/>
      <c r="CQ28" s="70" t="n">
        <f aca="false">CP28-CO28</f>
        <v>0</v>
      </c>
      <c r="CR28" s="21"/>
      <c r="CS28" s="22"/>
      <c r="CT28" s="70" t="n">
        <f aca="false">CS28-CR28</f>
        <v>0</v>
      </c>
      <c r="CU28" s="21"/>
      <c r="CV28" s="22"/>
      <c r="CW28" s="70" t="n">
        <f aca="false">CV28-CU28</f>
        <v>0</v>
      </c>
      <c r="CX28" s="21"/>
      <c r="CY28" s="22"/>
      <c r="CZ28" s="70" t="n">
        <f aca="false">CY28-CX28</f>
        <v>0</v>
      </c>
      <c r="DA28" s="21"/>
      <c r="DB28" s="22"/>
      <c r="DC28" s="70" t="n">
        <f aca="false">DB28-DA28</f>
        <v>0</v>
      </c>
      <c r="DD28" s="21"/>
      <c r="DE28" s="22"/>
      <c r="DF28" s="70" t="n">
        <f aca="false">DE28-DD28</f>
        <v>0</v>
      </c>
      <c r="DG28" s="21"/>
      <c r="DH28" s="22"/>
      <c r="DI28" s="70" t="n">
        <f aca="false">DH28-DG28</f>
        <v>0</v>
      </c>
      <c r="DJ28" s="21"/>
      <c r="DK28" s="22"/>
      <c r="DL28" s="70" t="n">
        <f aca="false">DK28-DJ28</f>
        <v>0</v>
      </c>
      <c r="DM28" s="21"/>
      <c r="DN28" s="22"/>
      <c r="DO28" s="70" t="n">
        <f aca="false">DN28-DM28</f>
        <v>0</v>
      </c>
      <c r="DP28" s="21"/>
      <c r="DQ28" s="22"/>
      <c r="DR28" s="70" t="n">
        <f aca="false">DQ28-DP28</f>
        <v>0</v>
      </c>
      <c r="DS28" s="70" t="n">
        <f aca="false">+C28+F28+I28+L28+O28+R28+U28+X28+AA28+AD28+AG28+AJ28+AM28+AP28+AS28+AV28+AY28+BB28+BE28+BH28+BK28+BN28+BQ28+BT28+BW28+BZ28+CC28+CF28+CI28+CL28+CO28+CR28+CU28+CX28+DA28+DD28+DG28+DJ28+DM28+DP28</f>
        <v>630000</v>
      </c>
      <c r="DT28" s="70" t="n">
        <f aca="false">+D28+G28+J28+M28+P28+S28+V28+Y28+AB28+AE28+AH28+AK28+AN28+AQ28+AT28+AW28+AZ28+BC28+BF28+BI28+BL28+BO28+BR28+BU28+BX28+CA28+CD28+CG28+CJ28+CM28+CP28+CS28+CV28+CY28+DB28+DE28+DH28+DK28+DN28+DQ28</f>
        <v>619884</v>
      </c>
      <c r="DU28" s="70" t="n">
        <f aca="false">DT28-DS28</f>
        <v>-10116</v>
      </c>
      <c r="DV28" s="22" t="n">
        <f aca="false">+DV27+DU28</f>
        <v>-430291</v>
      </c>
      <c r="DW28" s="74"/>
      <c r="DX28" s="70" t="n">
        <f aca="false">+DS28-AV28</f>
        <v>125000</v>
      </c>
      <c r="DY28" s="70" t="n">
        <f aca="false">+DT28-AW28</f>
        <v>125000</v>
      </c>
      <c r="DZ28" s="22" t="n">
        <f aca="false">+DY28-DX28</f>
        <v>0</v>
      </c>
      <c r="EA28" s="22" t="n">
        <f aca="false">+EA27+DZ28</f>
        <v>-178773</v>
      </c>
      <c r="EB28" s="74"/>
      <c r="EC28" s="22" t="n">
        <f aca="false">+AX28</f>
        <v>-10116</v>
      </c>
      <c r="ED28" s="22" t="n">
        <f aca="false">+EC28</f>
        <v>-10116</v>
      </c>
      <c r="EE28" s="74"/>
      <c r="EF28" s="74"/>
      <c r="EG28" s="74"/>
      <c r="EH28" s="74"/>
      <c r="EI28" s="74"/>
      <c r="EJ28" s="74"/>
      <c r="EK28" s="74"/>
    </row>
    <row r="29" customFormat="false" ht="12.75" hidden="false" customHeight="false" outlineLevel="0" collapsed="false">
      <c r="A29" s="69" t="n">
        <f aca="false">+BaseloadMarkets!A29</f>
        <v>36701</v>
      </c>
      <c r="B29" s="69" t="str">
        <f aca="false">+BaseloadMarkets!B29</f>
        <v>Sat</v>
      </c>
      <c r="C29" s="21" t="n">
        <v>5000</v>
      </c>
      <c r="D29" s="22" t="n">
        <v>5000</v>
      </c>
      <c r="E29" s="70" t="n">
        <f aca="false">D29-C29</f>
        <v>0</v>
      </c>
      <c r="F29" s="21" t="n">
        <v>5000</v>
      </c>
      <c r="G29" s="22" t="n">
        <v>5000</v>
      </c>
      <c r="H29" s="70" t="n">
        <f aca="false">G29-F29</f>
        <v>0</v>
      </c>
      <c r="I29" s="21" t="n">
        <v>5000</v>
      </c>
      <c r="J29" s="22" t="n">
        <v>5000</v>
      </c>
      <c r="K29" s="70" t="n">
        <f aca="false">J29-I29</f>
        <v>0</v>
      </c>
      <c r="L29" s="21" t="n">
        <v>10000</v>
      </c>
      <c r="M29" s="22" t="n">
        <v>10000</v>
      </c>
      <c r="N29" s="70" t="n">
        <f aca="false">M29-L29</f>
        <v>0</v>
      </c>
      <c r="O29" s="21" t="n">
        <v>5000</v>
      </c>
      <c r="P29" s="22" t="n">
        <v>5000</v>
      </c>
      <c r="Q29" s="70" t="n">
        <f aca="false">P29-O29</f>
        <v>0</v>
      </c>
      <c r="R29" s="21" t="n">
        <v>5000</v>
      </c>
      <c r="S29" s="22" t="n">
        <v>5000</v>
      </c>
      <c r="T29" s="70" t="n">
        <f aca="false">S29-R29</f>
        <v>0</v>
      </c>
      <c r="U29" s="21" t="n">
        <v>10000</v>
      </c>
      <c r="V29" s="22" t="n">
        <v>10000</v>
      </c>
      <c r="W29" s="70" t="n">
        <f aca="false">V29-U29</f>
        <v>0</v>
      </c>
      <c r="X29" s="21" t="n">
        <f aca="false">5000+5000+5000+5000</f>
        <v>20000</v>
      </c>
      <c r="Y29" s="21" t="n">
        <f aca="false">5000+5000+5000+5000</f>
        <v>20000</v>
      </c>
      <c r="Z29" s="70" t="n">
        <f aca="false">Y29-X29</f>
        <v>0</v>
      </c>
      <c r="AA29" s="21" t="n">
        <v>5000</v>
      </c>
      <c r="AB29" s="22" t="n">
        <v>5000</v>
      </c>
      <c r="AC29" s="70" t="n">
        <f aca="false">AB29-AA29</f>
        <v>0</v>
      </c>
      <c r="AD29" s="21" t="n">
        <f aca="false">5000+5000+5000</f>
        <v>15000</v>
      </c>
      <c r="AE29" s="21" t="n">
        <f aca="false">5000+5000+5000</f>
        <v>15000</v>
      </c>
      <c r="AF29" s="70" t="n">
        <f aca="false">AE29-AD29</f>
        <v>0</v>
      </c>
      <c r="AG29" s="21" t="n">
        <v>5000</v>
      </c>
      <c r="AH29" s="22" t="n">
        <v>5000</v>
      </c>
      <c r="AI29" s="70" t="n">
        <f aca="false">AH29-AG29</f>
        <v>0</v>
      </c>
      <c r="AJ29" s="21" t="n">
        <f aca="false">5000+5000</f>
        <v>10000</v>
      </c>
      <c r="AK29" s="21" t="n">
        <f aca="false">5000+5000</f>
        <v>10000</v>
      </c>
      <c r="AL29" s="70" t="n">
        <f aca="false">AK29-AJ29</f>
        <v>0</v>
      </c>
      <c r="AM29" s="21" t="n">
        <v>10000</v>
      </c>
      <c r="AN29" s="22" t="n">
        <v>10000</v>
      </c>
      <c r="AO29" s="70" t="n">
        <f aca="false">AN29-AM29</f>
        <v>0</v>
      </c>
      <c r="AP29" s="21" t="n">
        <f aca="false">10000+5000</f>
        <v>15000</v>
      </c>
      <c r="AQ29" s="21" t="n">
        <f aca="false">10000+5000</f>
        <v>15000</v>
      </c>
      <c r="AR29" s="70" t="n">
        <f aca="false">AQ29-AP29</f>
        <v>0</v>
      </c>
      <c r="AS29" s="21"/>
      <c r="AT29" s="22"/>
      <c r="AU29" s="70" t="n">
        <f aca="false">AT29-AS29</f>
        <v>0</v>
      </c>
      <c r="AV29" s="21" t="n">
        <v>175000</v>
      </c>
      <c r="AW29" s="22" t="n">
        <f aca="false">175000-25000-19000+21996+2362+2828+3010</f>
        <v>161196</v>
      </c>
      <c r="AX29" s="70" t="n">
        <f aca="false">AW29-AV29</f>
        <v>-13804</v>
      </c>
      <c r="AY29" s="21"/>
      <c r="AZ29" s="22"/>
      <c r="BA29" s="70" t="n">
        <f aca="false">AZ29-AY29</f>
        <v>0</v>
      </c>
      <c r="BB29" s="21"/>
      <c r="BC29" s="22"/>
      <c r="BD29" s="70" t="n">
        <f aca="false">BC29-BB29</f>
        <v>0</v>
      </c>
      <c r="BE29" s="21"/>
      <c r="BF29" s="22"/>
      <c r="BG29" s="70" t="n">
        <f aca="false">BF29-BE29</f>
        <v>0</v>
      </c>
      <c r="BH29" s="21"/>
      <c r="BI29" s="22"/>
      <c r="BJ29" s="70" t="n">
        <f aca="false">BI29-BH29</f>
        <v>0</v>
      </c>
      <c r="BK29" s="21"/>
      <c r="BL29" s="22"/>
      <c r="BM29" s="70" t="n">
        <f aca="false">BL29-BK29</f>
        <v>0</v>
      </c>
      <c r="BN29" s="21"/>
      <c r="BO29" s="22"/>
      <c r="BP29" s="70" t="n">
        <f aca="false">BO29-BN29</f>
        <v>0</v>
      </c>
      <c r="BQ29" s="21"/>
      <c r="BR29" s="22"/>
      <c r="BS29" s="70" t="n">
        <f aca="false">BR29-BQ29</f>
        <v>0</v>
      </c>
      <c r="BT29" s="21"/>
      <c r="BU29" s="22"/>
      <c r="BV29" s="70" t="n">
        <f aca="false">BU29-BT29</f>
        <v>0</v>
      </c>
      <c r="BW29" s="21"/>
      <c r="BX29" s="22"/>
      <c r="BY29" s="70" t="n">
        <f aca="false">BX29-BW29</f>
        <v>0</v>
      </c>
      <c r="BZ29" s="21"/>
      <c r="CA29" s="22"/>
      <c r="CB29" s="70" t="n">
        <f aca="false">CA29-BZ29</f>
        <v>0</v>
      </c>
      <c r="CC29" s="21"/>
      <c r="CD29" s="22"/>
      <c r="CE29" s="70" t="n">
        <f aca="false">CD29-CC29</f>
        <v>0</v>
      </c>
      <c r="CF29" s="21"/>
      <c r="CG29" s="22"/>
      <c r="CH29" s="70" t="n">
        <f aca="false">CG29-CF29</f>
        <v>0</v>
      </c>
      <c r="CI29" s="21"/>
      <c r="CJ29" s="22"/>
      <c r="CK29" s="70" t="n">
        <f aca="false">CJ29-CI29</f>
        <v>0</v>
      </c>
      <c r="CL29" s="21"/>
      <c r="CM29" s="22"/>
      <c r="CN29" s="70" t="n">
        <f aca="false">CM29-CL29</f>
        <v>0</v>
      </c>
      <c r="CO29" s="21"/>
      <c r="CP29" s="22"/>
      <c r="CQ29" s="70" t="n">
        <f aca="false">CP29-CO29</f>
        <v>0</v>
      </c>
      <c r="CR29" s="21"/>
      <c r="CS29" s="22"/>
      <c r="CT29" s="70" t="n">
        <f aca="false">CS29-CR29</f>
        <v>0</v>
      </c>
      <c r="CU29" s="21"/>
      <c r="CV29" s="22"/>
      <c r="CW29" s="70" t="n">
        <f aca="false">CV29-CU29</f>
        <v>0</v>
      </c>
      <c r="CX29" s="21"/>
      <c r="CY29" s="22"/>
      <c r="CZ29" s="70" t="n">
        <f aca="false">CY29-CX29</f>
        <v>0</v>
      </c>
      <c r="DA29" s="21"/>
      <c r="DB29" s="22"/>
      <c r="DC29" s="70" t="n">
        <f aca="false">DB29-DA29</f>
        <v>0</v>
      </c>
      <c r="DD29" s="21"/>
      <c r="DE29" s="22"/>
      <c r="DF29" s="70" t="n">
        <f aca="false">DE29-DD29</f>
        <v>0</v>
      </c>
      <c r="DG29" s="21"/>
      <c r="DH29" s="22"/>
      <c r="DI29" s="70" t="n">
        <f aca="false">DH29-DG29</f>
        <v>0</v>
      </c>
      <c r="DJ29" s="21"/>
      <c r="DK29" s="22"/>
      <c r="DL29" s="70" t="n">
        <f aca="false">DK29-DJ29</f>
        <v>0</v>
      </c>
      <c r="DM29" s="21"/>
      <c r="DN29" s="22"/>
      <c r="DO29" s="70" t="n">
        <f aca="false">DN29-DM29</f>
        <v>0</v>
      </c>
      <c r="DP29" s="21"/>
      <c r="DQ29" s="22"/>
      <c r="DR29" s="70" t="n">
        <f aca="false">DQ29-DP29</f>
        <v>0</v>
      </c>
      <c r="DS29" s="70" t="n">
        <f aca="false">+C29+F29+I29+L29+O29+R29+U29+X29+AA29+AD29+AG29+AJ29+AM29+AP29+AS29+AV29+AY29+BB29+BE29+BH29+BK29+BN29+BQ29+BT29+BW29+BZ29+CC29+CF29+CI29+CL29+CO29+CR29+CU29+CX29+DA29+DD29+DG29+DJ29+DM29+DP29</f>
        <v>300000</v>
      </c>
      <c r="DT29" s="70" t="n">
        <f aca="false">+D29+G29+J29+M29+P29+S29+V29+Y29+AB29+AE29+AH29+AK29+AN29+AQ29+AT29+AW29+AZ29+BC29+BF29+BI29+BL29+BO29+BR29+BU29+BX29+CA29+CD29+CG29+CJ29+CM29+CP29+CS29+CV29+CY29+DB29+DE29+DH29+DK29+DN29+DQ29</f>
        <v>286196</v>
      </c>
      <c r="DU29" s="70" t="n">
        <f aca="false">DT29-DS29</f>
        <v>-13804</v>
      </c>
      <c r="DV29" s="22" t="n">
        <f aca="false">+DV28+DU29</f>
        <v>-444095</v>
      </c>
      <c r="DW29" s="74"/>
      <c r="DX29" s="70" t="n">
        <f aca="false">+DS29-AV29</f>
        <v>125000</v>
      </c>
      <c r="DY29" s="70" t="n">
        <f aca="false">+DT29-AW29</f>
        <v>125000</v>
      </c>
      <c r="DZ29" s="22" t="n">
        <f aca="false">+DY29-DX29</f>
        <v>0</v>
      </c>
      <c r="EA29" s="22" t="n">
        <f aca="false">+EA28+DZ29</f>
        <v>-178773</v>
      </c>
      <c r="EB29" s="74"/>
      <c r="EC29" s="22" t="n">
        <f aca="false">+AX29</f>
        <v>-13804</v>
      </c>
      <c r="ED29" s="22" t="n">
        <f aca="false">+EC29</f>
        <v>-13804</v>
      </c>
      <c r="EE29" s="74"/>
      <c r="EF29" s="74"/>
      <c r="EG29" s="74"/>
      <c r="EH29" s="74"/>
      <c r="EI29" s="74"/>
      <c r="EJ29" s="74"/>
      <c r="EK29" s="74"/>
    </row>
    <row r="30" customFormat="false" ht="12.75" hidden="false" customHeight="false" outlineLevel="0" collapsed="false">
      <c r="A30" s="69" t="n">
        <f aca="false">+BaseloadMarkets!A30</f>
        <v>36702</v>
      </c>
      <c r="B30" s="69" t="str">
        <f aca="false">+BaseloadMarkets!B30</f>
        <v>Sun</v>
      </c>
      <c r="C30" s="21" t="n">
        <v>5000</v>
      </c>
      <c r="D30" s="22" t="n">
        <v>5000</v>
      </c>
      <c r="E30" s="70" t="n">
        <f aca="false">D30-C30</f>
        <v>0</v>
      </c>
      <c r="F30" s="21" t="n">
        <v>5000</v>
      </c>
      <c r="G30" s="22" t="n">
        <v>5000</v>
      </c>
      <c r="H30" s="70" t="n">
        <f aca="false">G30-F30</f>
        <v>0</v>
      </c>
      <c r="I30" s="21" t="n">
        <v>5000</v>
      </c>
      <c r="J30" s="22" t="n">
        <v>5000</v>
      </c>
      <c r="K30" s="70" t="n">
        <f aca="false">J30-I30</f>
        <v>0</v>
      </c>
      <c r="L30" s="21" t="n">
        <v>10000</v>
      </c>
      <c r="M30" s="22" t="n">
        <v>10000</v>
      </c>
      <c r="N30" s="70" t="n">
        <f aca="false">M30-L30</f>
        <v>0</v>
      </c>
      <c r="O30" s="21" t="n">
        <v>5000</v>
      </c>
      <c r="P30" s="22" t="n">
        <v>5000</v>
      </c>
      <c r="Q30" s="70" t="n">
        <f aca="false">P30-O30</f>
        <v>0</v>
      </c>
      <c r="R30" s="21" t="n">
        <v>5000</v>
      </c>
      <c r="S30" s="22" t="n">
        <v>5000</v>
      </c>
      <c r="T30" s="70" t="n">
        <f aca="false">S30-R30</f>
        <v>0</v>
      </c>
      <c r="U30" s="21" t="n">
        <v>10000</v>
      </c>
      <c r="V30" s="22" t="n">
        <v>10000</v>
      </c>
      <c r="W30" s="70" t="n">
        <f aca="false">V30-U30</f>
        <v>0</v>
      </c>
      <c r="X30" s="21" t="n">
        <f aca="false">5000+5000+5000+5000</f>
        <v>20000</v>
      </c>
      <c r="Y30" s="21" t="n">
        <f aca="false">5000+5000+5000+5000</f>
        <v>20000</v>
      </c>
      <c r="Z30" s="70" t="n">
        <f aca="false">Y30-X30</f>
        <v>0</v>
      </c>
      <c r="AA30" s="21" t="n">
        <v>5000</v>
      </c>
      <c r="AB30" s="22" t="n">
        <v>5000</v>
      </c>
      <c r="AC30" s="70" t="n">
        <f aca="false">AB30-AA30</f>
        <v>0</v>
      </c>
      <c r="AD30" s="21" t="n">
        <f aca="false">5000+5000+5000</f>
        <v>15000</v>
      </c>
      <c r="AE30" s="21" t="n">
        <f aca="false">5000+5000+5000</f>
        <v>15000</v>
      </c>
      <c r="AF30" s="70" t="n">
        <f aca="false">AE30-AD30</f>
        <v>0</v>
      </c>
      <c r="AG30" s="21" t="n">
        <v>5000</v>
      </c>
      <c r="AH30" s="22" t="n">
        <v>5000</v>
      </c>
      <c r="AI30" s="70" t="n">
        <f aca="false">AH30-AG30</f>
        <v>0</v>
      </c>
      <c r="AJ30" s="21" t="n">
        <f aca="false">5000+5000</f>
        <v>10000</v>
      </c>
      <c r="AK30" s="21" t="n">
        <f aca="false">5000+5000</f>
        <v>10000</v>
      </c>
      <c r="AL30" s="70" t="n">
        <f aca="false">AK30-AJ30</f>
        <v>0</v>
      </c>
      <c r="AM30" s="21" t="n">
        <v>10000</v>
      </c>
      <c r="AN30" s="22" t="n">
        <v>10000</v>
      </c>
      <c r="AO30" s="70" t="n">
        <f aca="false">AN30-AM30</f>
        <v>0</v>
      </c>
      <c r="AP30" s="21" t="n">
        <f aca="false">10000+5000</f>
        <v>15000</v>
      </c>
      <c r="AQ30" s="21" t="n">
        <f aca="false">10000+5000</f>
        <v>15000</v>
      </c>
      <c r="AR30" s="70" t="n">
        <f aca="false">AQ30-AP30</f>
        <v>0</v>
      </c>
      <c r="AS30" s="21"/>
      <c r="AT30" s="22"/>
      <c r="AU30" s="70" t="n">
        <f aca="false">AT30-AS30</f>
        <v>0</v>
      </c>
      <c r="AV30" s="21" t="n">
        <v>175000</v>
      </c>
      <c r="AW30" s="22" t="n">
        <f aca="false">175000-25000-19000+21700+2262+3129+3129+2926</f>
        <v>164146</v>
      </c>
      <c r="AX30" s="70" t="n">
        <f aca="false">AW30-AV30</f>
        <v>-10854</v>
      </c>
      <c r="AY30" s="21"/>
      <c r="AZ30" s="22"/>
      <c r="BA30" s="70" t="n">
        <f aca="false">AZ30-AY30</f>
        <v>0</v>
      </c>
      <c r="BB30" s="21"/>
      <c r="BC30" s="22"/>
      <c r="BD30" s="70" t="n">
        <f aca="false">BC30-BB30</f>
        <v>0</v>
      </c>
      <c r="BE30" s="21"/>
      <c r="BF30" s="22"/>
      <c r="BG30" s="70" t="n">
        <f aca="false">BF30-BE30</f>
        <v>0</v>
      </c>
      <c r="BH30" s="21"/>
      <c r="BI30" s="22"/>
      <c r="BJ30" s="70" t="n">
        <f aca="false">BI30-BH30</f>
        <v>0</v>
      </c>
      <c r="BK30" s="21"/>
      <c r="BL30" s="22"/>
      <c r="BM30" s="70" t="n">
        <f aca="false">BL30-BK30</f>
        <v>0</v>
      </c>
      <c r="BN30" s="21"/>
      <c r="BO30" s="22"/>
      <c r="BP30" s="70" t="n">
        <f aca="false">BO30-BN30</f>
        <v>0</v>
      </c>
      <c r="BQ30" s="21"/>
      <c r="BR30" s="22"/>
      <c r="BS30" s="70" t="n">
        <f aca="false">BR30-BQ30</f>
        <v>0</v>
      </c>
      <c r="BT30" s="21"/>
      <c r="BU30" s="22"/>
      <c r="BV30" s="70" t="n">
        <f aca="false">BU30-BT30</f>
        <v>0</v>
      </c>
      <c r="BW30" s="21"/>
      <c r="BX30" s="22"/>
      <c r="BY30" s="70" t="n">
        <f aca="false">BX30-BW30</f>
        <v>0</v>
      </c>
      <c r="BZ30" s="21"/>
      <c r="CA30" s="22"/>
      <c r="CB30" s="70" t="n">
        <f aca="false">CA30-BZ30</f>
        <v>0</v>
      </c>
      <c r="CC30" s="21"/>
      <c r="CD30" s="22"/>
      <c r="CE30" s="70" t="n">
        <f aca="false">CD30-CC30</f>
        <v>0</v>
      </c>
      <c r="CF30" s="21"/>
      <c r="CG30" s="22"/>
      <c r="CH30" s="70" t="n">
        <f aca="false">CG30-CF30</f>
        <v>0</v>
      </c>
      <c r="CI30" s="21"/>
      <c r="CJ30" s="22"/>
      <c r="CK30" s="70" t="n">
        <f aca="false">CJ30-CI30</f>
        <v>0</v>
      </c>
      <c r="CL30" s="21"/>
      <c r="CM30" s="22"/>
      <c r="CN30" s="70" t="n">
        <f aca="false">CM30-CL30</f>
        <v>0</v>
      </c>
      <c r="CO30" s="21"/>
      <c r="CP30" s="22"/>
      <c r="CQ30" s="70" t="n">
        <f aca="false">CP30-CO30</f>
        <v>0</v>
      </c>
      <c r="CR30" s="21"/>
      <c r="CS30" s="22"/>
      <c r="CT30" s="70" t="n">
        <f aca="false">CS30-CR30</f>
        <v>0</v>
      </c>
      <c r="CU30" s="21"/>
      <c r="CV30" s="22"/>
      <c r="CW30" s="70" t="n">
        <f aca="false">CV30-CU30</f>
        <v>0</v>
      </c>
      <c r="CX30" s="21"/>
      <c r="CY30" s="22"/>
      <c r="CZ30" s="70" t="n">
        <f aca="false">CY30-CX30</f>
        <v>0</v>
      </c>
      <c r="DA30" s="21"/>
      <c r="DB30" s="22"/>
      <c r="DC30" s="70" t="n">
        <f aca="false">DB30-DA30</f>
        <v>0</v>
      </c>
      <c r="DD30" s="21"/>
      <c r="DE30" s="22"/>
      <c r="DF30" s="70" t="n">
        <f aca="false">DE30-DD30</f>
        <v>0</v>
      </c>
      <c r="DG30" s="21"/>
      <c r="DH30" s="22"/>
      <c r="DI30" s="70" t="n">
        <f aca="false">DH30-DG30</f>
        <v>0</v>
      </c>
      <c r="DJ30" s="21"/>
      <c r="DK30" s="22"/>
      <c r="DL30" s="70" t="n">
        <f aca="false">DK30-DJ30</f>
        <v>0</v>
      </c>
      <c r="DM30" s="21"/>
      <c r="DN30" s="22"/>
      <c r="DO30" s="70" t="n">
        <f aca="false">DN30-DM30</f>
        <v>0</v>
      </c>
      <c r="DP30" s="21"/>
      <c r="DQ30" s="22"/>
      <c r="DR30" s="70" t="n">
        <f aca="false">DQ30-DP30</f>
        <v>0</v>
      </c>
      <c r="DS30" s="70" t="n">
        <f aca="false">+C30+F30+I30+L30+O30+R30+U30+X30+AA30+AD30+AG30+AJ30+AM30+AP30+AS30+AV30+AY30+BB30+BE30+BH30+BK30+BN30+BQ30+BT30+BW30+BZ30+CC30+CF30+CI30+CL30+CO30+CR30+CU30+CX30+DA30+DD30+DG30+DJ30+DM30+DP30</f>
        <v>300000</v>
      </c>
      <c r="DT30" s="70" t="n">
        <f aca="false">+D30+G30+J30+M30+P30+S30+V30+Y30+AB30+AE30+AH30+AK30+AN30+AQ30+AT30+AW30+AZ30+BC30+BF30+BI30+BL30+BO30+BR30+BU30+BX30+CA30+CD30+CG30+CJ30+CM30+CP30+CS30+CV30+CY30+DB30+DE30+DH30+DK30+DN30+DQ30</f>
        <v>289146</v>
      </c>
      <c r="DU30" s="70" t="n">
        <f aca="false">DT30-DS30</f>
        <v>-10854</v>
      </c>
      <c r="DV30" s="22" t="n">
        <f aca="false">+DV29+DU30</f>
        <v>-454949</v>
      </c>
      <c r="DW30" s="74"/>
      <c r="DX30" s="70" t="n">
        <f aca="false">+DS30-AV30</f>
        <v>125000</v>
      </c>
      <c r="DY30" s="70" t="n">
        <f aca="false">+DT30-AW30</f>
        <v>125000</v>
      </c>
      <c r="DZ30" s="22" t="n">
        <f aca="false">+DY30-DX30</f>
        <v>0</v>
      </c>
      <c r="EA30" s="22" t="n">
        <f aca="false">+EA29+DZ30</f>
        <v>-178773</v>
      </c>
      <c r="EB30" s="74"/>
      <c r="EC30" s="22" t="n">
        <f aca="false">+AX30</f>
        <v>-10854</v>
      </c>
      <c r="ED30" s="22" t="n">
        <f aca="false">+EC30</f>
        <v>-10854</v>
      </c>
      <c r="EE30" s="74"/>
      <c r="EF30" s="74"/>
      <c r="EG30" s="74"/>
      <c r="EH30" s="74"/>
      <c r="EI30" s="74"/>
      <c r="EJ30" s="74"/>
      <c r="EK30" s="74"/>
    </row>
    <row r="31" customFormat="false" ht="12.75" hidden="false" customHeight="false" outlineLevel="0" collapsed="false">
      <c r="A31" s="69" t="n">
        <f aca="false">+BaseloadMarkets!A31</f>
        <v>36703</v>
      </c>
      <c r="B31" s="69" t="str">
        <f aca="false">+BaseloadMarkets!B31</f>
        <v>Mon</v>
      </c>
      <c r="C31" s="21" t="n">
        <v>5000</v>
      </c>
      <c r="D31" s="22" t="n">
        <v>5000</v>
      </c>
      <c r="E31" s="70" t="n">
        <f aca="false">D31-C31</f>
        <v>0</v>
      </c>
      <c r="F31" s="21" t="n">
        <v>5000</v>
      </c>
      <c r="G31" s="22" t="n">
        <v>5000</v>
      </c>
      <c r="H31" s="70" t="n">
        <f aca="false">G31-F31</f>
        <v>0</v>
      </c>
      <c r="I31" s="21" t="n">
        <v>5000</v>
      </c>
      <c r="J31" s="22" t="n">
        <v>5000</v>
      </c>
      <c r="K31" s="70" t="n">
        <f aca="false">J31-I31</f>
        <v>0</v>
      </c>
      <c r="L31" s="21" t="n">
        <v>10000</v>
      </c>
      <c r="M31" s="22" t="n">
        <v>10000</v>
      </c>
      <c r="N31" s="70" t="n">
        <f aca="false">M31-L31</f>
        <v>0</v>
      </c>
      <c r="O31" s="21" t="n">
        <v>5000</v>
      </c>
      <c r="P31" s="22" t="n">
        <v>5000</v>
      </c>
      <c r="Q31" s="70" t="n">
        <f aca="false">P31-O31</f>
        <v>0</v>
      </c>
      <c r="R31" s="21" t="n">
        <v>5000</v>
      </c>
      <c r="S31" s="22" t="n">
        <v>5000</v>
      </c>
      <c r="T31" s="70" t="n">
        <f aca="false">S31-R31</f>
        <v>0</v>
      </c>
      <c r="U31" s="21" t="n">
        <v>10000</v>
      </c>
      <c r="V31" s="22" t="n">
        <v>10000</v>
      </c>
      <c r="W31" s="70" t="n">
        <f aca="false">V31-U31</f>
        <v>0</v>
      </c>
      <c r="X31" s="21" t="n">
        <f aca="false">5000+5000+5000+5000</f>
        <v>20000</v>
      </c>
      <c r="Y31" s="21" t="n">
        <f aca="false">5000+5000+5000+5000</f>
        <v>20000</v>
      </c>
      <c r="Z31" s="70" t="n">
        <f aca="false">Y31-X31</f>
        <v>0</v>
      </c>
      <c r="AA31" s="21" t="n">
        <v>5000</v>
      </c>
      <c r="AB31" s="22" t="n">
        <v>5000</v>
      </c>
      <c r="AC31" s="70" t="n">
        <f aca="false">AB31-AA31</f>
        <v>0</v>
      </c>
      <c r="AD31" s="21" t="n">
        <f aca="false">5000+5000+5000</f>
        <v>15000</v>
      </c>
      <c r="AE31" s="21" t="n">
        <f aca="false">5000+5000+5000</f>
        <v>15000</v>
      </c>
      <c r="AF31" s="70" t="n">
        <f aca="false">AE31-AD31</f>
        <v>0</v>
      </c>
      <c r="AG31" s="21" t="n">
        <v>5000</v>
      </c>
      <c r="AH31" s="22" t="n">
        <v>5000</v>
      </c>
      <c r="AI31" s="70" t="n">
        <f aca="false">AH31-AG31</f>
        <v>0</v>
      </c>
      <c r="AJ31" s="21" t="n">
        <f aca="false">5000+5000</f>
        <v>10000</v>
      </c>
      <c r="AK31" s="21" t="n">
        <f aca="false">5000+5000</f>
        <v>10000</v>
      </c>
      <c r="AL31" s="70" t="n">
        <f aca="false">AK31-AJ31</f>
        <v>0</v>
      </c>
      <c r="AM31" s="21" t="n">
        <v>10000</v>
      </c>
      <c r="AN31" s="22" t="n">
        <v>10000</v>
      </c>
      <c r="AO31" s="70" t="n">
        <f aca="false">AN31-AM31</f>
        <v>0</v>
      </c>
      <c r="AP31" s="21" t="n">
        <f aca="false">10000+5000</f>
        <v>15000</v>
      </c>
      <c r="AQ31" s="21" t="n">
        <f aca="false">10000+5000</f>
        <v>15000</v>
      </c>
      <c r="AR31" s="70" t="n">
        <f aca="false">AQ31-AP31</f>
        <v>0</v>
      </c>
      <c r="AS31" s="21"/>
      <c r="AT31" s="22"/>
      <c r="AU31" s="70" t="n">
        <f aca="false">AT31-AS31</f>
        <v>0</v>
      </c>
      <c r="AV31" s="21" t="n">
        <v>175000</v>
      </c>
      <c r="AW31" s="22" t="n">
        <f aca="false">175000-25000-5000-19000+19815+4640+2261+3057+3057+3848</f>
        <v>162678</v>
      </c>
      <c r="AX31" s="70" t="n">
        <f aca="false">AW31-AV31</f>
        <v>-12322</v>
      </c>
      <c r="AY31" s="21"/>
      <c r="AZ31" s="22"/>
      <c r="BA31" s="70" t="n">
        <f aca="false">AZ31-AY31</f>
        <v>0</v>
      </c>
      <c r="BB31" s="21"/>
      <c r="BC31" s="22"/>
      <c r="BD31" s="70" t="n">
        <f aca="false">BC31-BB31</f>
        <v>0</v>
      </c>
      <c r="BE31" s="21"/>
      <c r="BF31" s="22"/>
      <c r="BG31" s="70" t="n">
        <f aca="false">BF31-BE31</f>
        <v>0</v>
      </c>
      <c r="BH31" s="21"/>
      <c r="BI31" s="22"/>
      <c r="BJ31" s="70" t="n">
        <f aca="false">BI31-BH31</f>
        <v>0</v>
      </c>
      <c r="BK31" s="21"/>
      <c r="BL31" s="22"/>
      <c r="BM31" s="70" t="n">
        <f aca="false">BL31-BK31</f>
        <v>0</v>
      </c>
      <c r="BN31" s="21"/>
      <c r="BO31" s="22"/>
      <c r="BP31" s="70" t="n">
        <f aca="false">BO31-BN31</f>
        <v>0</v>
      </c>
      <c r="BQ31" s="21"/>
      <c r="BR31" s="22"/>
      <c r="BS31" s="70" t="n">
        <f aca="false">BR31-BQ31</f>
        <v>0</v>
      </c>
      <c r="BT31" s="21"/>
      <c r="BU31" s="22"/>
      <c r="BV31" s="70" t="n">
        <f aca="false">BU31-BT31</f>
        <v>0</v>
      </c>
      <c r="BW31" s="21"/>
      <c r="BX31" s="22"/>
      <c r="BY31" s="70" t="n">
        <f aca="false">BX31-BW31</f>
        <v>0</v>
      </c>
      <c r="BZ31" s="21"/>
      <c r="CA31" s="22"/>
      <c r="CB31" s="70" t="n">
        <f aca="false">CA31-BZ31</f>
        <v>0</v>
      </c>
      <c r="CC31" s="21"/>
      <c r="CD31" s="22"/>
      <c r="CE31" s="70" t="n">
        <f aca="false">CD31-CC31</f>
        <v>0</v>
      </c>
      <c r="CF31" s="21"/>
      <c r="CG31" s="22"/>
      <c r="CH31" s="70" t="n">
        <f aca="false">CG31-CF31</f>
        <v>0</v>
      </c>
      <c r="CI31" s="21"/>
      <c r="CJ31" s="22"/>
      <c r="CK31" s="70" t="n">
        <f aca="false">CJ31-CI31</f>
        <v>0</v>
      </c>
      <c r="CL31" s="21"/>
      <c r="CM31" s="22"/>
      <c r="CN31" s="70" t="n">
        <f aca="false">CM31-CL31</f>
        <v>0</v>
      </c>
      <c r="CO31" s="21"/>
      <c r="CP31" s="22"/>
      <c r="CQ31" s="70" t="n">
        <f aca="false">CP31-CO31</f>
        <v>0</v>
      </c>
      <c r="CR31" s="21"/>
      <c r="CS31" s="22"/>
      <c r="CT31" s="70" t="n">
        <f aca="false">CS31-CR31</f>
        <v>0</v>
      </c>
      <c r="CU31" s="21"/>
      <c r="CV31" s="22"/>
      <c r="CW31" s="70" t="n">
        <f aca="false">CV31-CU31</f>
        <v>0</v>
      </c>
      <c r="CX31" s="21"/>
      <c r="CY31" s="22"/>
      <c r="CZ31" s="70" t="n">
        <f aca="false">CY31-CX31</f>
        <v>0</v>
      </c>
      <c r="DA31" s="21"/>
      <c r="DB31" s="22"/>
      <c r="DC31" s="70" t="n">
        <f aca="false">DB31-DA31</f>
        <v>0</v>
      </c>
      <c r="DD31" s="21"/>
      <c r="DE31" s="22"/>
      <c r="DF31" s="70" t="n">
        <f aca="false">DE31-DD31</f>
        <v>0</v>
      </c>
      <c r="DG31" s="21"/>
      <c r="DH31" s="22"/>
      <c r="DI31" s="70" t="n">
        <f aca="false">DH31-DG31</f>
        <v>0</v>
      </c>
      <c r="DJ31" s="21"/>
      <c r="DK31" s="22"/>
      <c r="DL31" s="70" t="n">
        <f aca="false">DK31-DJ31</f>
        <v>0</v>
      </c>
      <c r="DM31" s="21"/>
      <c r="DN31" s="22"/>
      <c r="DO31" s="70" t="n">
        <f aca="false">DN31-DM31</f>
        <v>0</v>
      </c>
      <c r="DP31" s="21"/>
      <c r="DQ31" s="22"/>
      <c r="DR31" s="70" t="n">
        <f aca="false">DQ31-DP31</f>
        <v>0</v>
      </c>
      <c r="DS31" s="70" t="n">
        <f aca="false">+C31+F31+I31+L31+O31+R31+U31+X31+AA31+AD31+AG31+AJ31+AM31+AP31+AS31+AV31+AY31+BB31+BE31+BH31+BK31+BN31+BQ31+BT31+BW31+BZ31+CC31+CF31+CI31+CL31+CO31+CR31+CU31+CX31+DA31+DD31+DG31+DJ31+DM31+DP31</f>
        <v>300000</v>
      </c>
      <c r="DT31" s="70" t="n">
        <f aca="false">+D31+G31+J31+M31+P31+S31+V31+Y31+AB31+AE31+AH31+AK31+AN31+AQ31+AT31+AW31+AZ31+BC31+BF31+BI31+BL31+BO31+BR31+BU31+BX31+CA31+CD31+CG31+CJ31+CM31+CP31+CS31+CV31+CY31+DB31+DE31+DH31+DK31+DN31+DQ31</f>
        <v>287678</v>
      </c>
      <c r="DU31" s="70" t="n">
        <f aca="false">DT31-DS31</f>
        <v>-12322</v>
      </c>
      <c r="DV31" s="22" t="n">
        <f aca="false">+DV30+DU31</f>
        <v>-467271</v>
      </c>
      <c r="DW31" s="74"/>
      <c r="DX31" s="70" t="n">
        <f aca="false">+DS31-AV31</f>
        <v>125000</v>
      </c>
      <c r="DY31" s="70" t="n">
        <f aca="false">+DT31-AW31</f>
        <v>125000</v>
      </c>
      <c r="DZ31" s="22" t="n">
        <f aca="false">+DY31-DX31</f>
        <v>0</v>
      </c>
      <c r="EA31" s="22" t="n">
        <f aca="false">+EA30+DZ31</f>
        <v>-178773</v>
      </c>
      <c r="EB31" s="74"/>
      <c r="EC31" s="22" t="n">
        <f aca="false">+AX31</f>
        <v>-12322</v>
      </c>
      <c r="ED31" s="22" t="n">
        <f aca="false">+EC31</f>
        <v>-12322</v>
      </c>
      <c r="EE31" s="74"/>
      <c r="EF31" s="74"/>
      <c r="EG31" s="74"/>
      <c r="EH31" s="74"/>
      <c r="EI31" s="74"/>
      <c r="EJ31" s="74"/>
      <c r="EK31" s="74"/>
    </row>
    <row r="32" customFormat="false" ht="12.75" hidden="false" customHeight="false" outlineLevel="0" collapsed="false">
      <c r="A32" s="69" t="n">
        <f aca="false">+BaseloadMarkets!A32</f>
        <v>36704</v>
      </c>
      <c r="B32" s="69" t="str">
        <f aca="false">+BaseloadMarkets!B32</f>
        <v>Tues</v>
      </c>
      <c r="C32" s="21" t="n">
        <v>5000</v>
      </c>
      <c r="D32" s="22" t="n">
        <v>5000</v>
      </c>
      <c r="E32" s="70" t="n">
        <f aca="false">D32-C32</f>
        <v>0</v>
      </c>
      <c r="F32" s="21" t="n">
        <v>5000</v>
      </c>
      <c r="G32" s="22" t="n">
        <v>5000</v>
      </c>
      <c r="H32" s="70" t="n">
        <f aca="false">G32-F32</f>
        <v>0</v>
      </c>
      <c r="I32" s="21" t="n">
        <v>5000</v>
      </c>
      <c r="J32" s="22" t="n">
        <v>5000</v>
      </c>
      <c r="K32" s="70" t="n">
        <f aca="false">J32-I32</f>
        <v>0</v>
      </c>
      <c r="L32" s="21" t="n">
        <v>10000</v>
      </c>
      <c r="M32" s="22" t="n">
        <v>10000</v>
      </c>
      <c r="N32" s="70" t="n">
        <f aca="false">M32-L32</f>
        <v>0</v>
      </c>
      <c r="O32" s="21" t="n">
        <v>5000</v>
      </c>
      <c r="P32" s="22" t="n">
        <v>5000</v>
      </c>
      <c r="Q32" s="70" t="n">
        <f aca="false">P32-O32</f>
        <v>0</v>
      </c>
      <c r="R32" s="21" t="n">
        <v>5000</v>
      </c>
      <c r="S32" s="22" t="n">
        <v>5000</v>
      </c>
      <c r="T32" s="70" t="n">
        <f aca="false">S32-R32</f>
        <v>0</v>
      </c>
      <c r="U32" s="21" t="n">
        <v>10000</v>
      </c>
      <c r="V32" s="22" t="n">
        <v>10000</v>
      </c>
      <c r="W32" s="70" t="n">
        <f aca="false">V32-U32</f>
        <v>0</v>
      </c>
      <c r="X32" s="21" t="n">
        <f aca="false">5000+5000+5000+5000</f>
        <v>20000</v>
      </c>
      <c r="Y32" s="21" t="n">
        <f aca="false">5000+5000+5000+5000</f>
        <v>20000</v>
      </c>
      <c r="Z32" s="70" t="n">
        <f aca="false">Y32-X32</f>
        <v>0</v>
      </c>
      <c r="AA32" s="21" t="n">
        <v>5000</v>
      </c>
      <c r="AB32" s="22" t="n">
        <v>5000</v>
      </c>
      <c r="AC32" s="70" t="n">
        <f aca="false">AB32-AA32</f>
        <v>0</v>
      </c>
      <c r="AD32" s="21" t="n">
        <f aca="false">5000+5000+5000</f>
        <v>15000</v>
      </c>
      <c r="AE32" s="21" t="n">
        <f aca="false">5000+5000+5000</f>
        <v>15000</v>
      </c>
      <c r="AF32" s="70" t="n">
        <f aca="false">AE32-AD32</f>
        <v>0</v>
      </c>
      <c r="AG32" s="21" t="n">
        <v>5000</v>
      </c>
      <c r="AH32" s="22" t="n">
        <v>5000</v>
      </c>
      <c r="AI32" s="70" t="n">
        <f aca="false">AH32-AG32</f>
        <v>0</v>
      </c>
      <c r="AJ32" s="21" t="n">
        <f aca="false">5000+5000</f>
        <v>10000</v>
      </c>
      <c r="AK32" s="21" t="n">
        <f aca="false">5000+5000</f>
        <v>10000</v>
      </c>
      <c r="AL32" s="70" t="n">
        <f aca="false">AK32-AJ32</f>
        <v>0</v>
      </c>
      <c r="AM32" s="21" t="n">
        <v>10000</v>
      </c>
      <c r="AN32" s="22" t="n">
        <v>10000</v>
      </c>
      <c r="AO32" s="70" t="n">
        <f aca="false">AN32-AM32</f>
        <v>0</v>
      </c>
      <c r="AP32" s="21" t="n">
        <f aca="false">10000+5000</f>
        <v>15000</v>
      </c>
      <c r="AQ32" s="21" t="n">
        <f aca="false">10000+5000</f>
        <v>15000</v>
      </c>
      <c r="AR32" s="70" t="n">
        <f aca="false">AQ32-AP32</f>
        <v>0</v>
      </c>
      <c r="AS32" s="21"/>
      <c r="AT32" s="22"/>
      <c r="AU32" s="70" t="n">
        <f aca="false">AT32-AS32</f>
        <v>0</v>
      </c>
      <c r="AV32" s="21" t="n">
        <v>475000</v>
      </c>
      <c r="AW32" s="22" t="n">
        <f aca="false">475000-19000+2678+1564+1357+4015-5000+4015</f>
        <v>464629</v>
      </c>
      <c r="AX32" s="70" t="n">
        <f aca="false">AW32-AV32</f>
        <v>-10371</v>
      </c>
      <c r="AY32" s="21"/>
      <c r="AZ32" s="22"/>
      <c r="BA32" s="70" t="n">
        <f aca="false">AZ32-AY32</f>
        <v>0</v>
      </c>
      <c r="BB32" s="21"/>
      <c r="BC32" s="22"/>
      <c r="BD32" s="70" t="n">
        <f aca="false">BC32-BB32</f>
        <v>0</v>
      </c>
      <c r="BE32" s="21"/>
      <c r="BF32" s="22"/>
      <c r="BG32" s="70" t="n">
        <f aca="false">BF32-BE32</f>
        <v>0</v>
      </c>
      <c r="BH32" s="21"/>
      <c r="BI32" s="22"/>
      <c r="BJ32" s="70" t="n">
        <f aca="false">BI32-BH32</f>
        <v>0</v>
      </c>
      <c r="BK32" s="21"/>
      <c r="BL32" s="22"/>
      <c r="BM32" s="70" t="n">
        <f aca="false">BL32-BK32</f>
        <v>0</v>
      </c>
      <c r="BN32" s="21"/>
      <c r="BO32" s="22"/>
      <c r="BP32" s="70" t="n">
        <f aca="false">BO32-BN32</f>
        <v>0</v>
      </c>
      <c r="BQ32" s="21"/>
      <c r="BR32" s="22"/>
      <c r="BS32" s="70" t="n">
        <f aca="false">BR32-BQ32</f>
        <v>0</v>
      </c>
      <c r="BT32" s="21"/>
      <c r="BU32" s="22"/>
      <c r="BV32" s="70" t="n">
        <f aca="false">BU32-BT32</f>
        <v>0</v>
      </c>
      <c r="BW32" s="21"/>
      <c r="BX32" s="22"/>
      <c r="BY32" s="70" t="n">
        <f aca="false">BX32-BW32</f>
        <v>0</v>
      </c>
      <c r="BZ32" s="21"/>
      <c r="CA32" s="22"/>
      <c r="CB32" s="70" t="n">
        <f aca="false">CA32-BZ32</f>
        <v>0</v>
      </c>
      <c r="CC32" s="21"/>
      <c r="CD32" s="22"/>
      <c r="CE32" s="70" t="n">
        <f aca="false">CD32-CC32</f>
        <v>0</v>
      </c>
      <c r="CF32" s="21"/>
      <c r="CG32" s="22"/>
      <c r="CH32" s="70" t="n">
        <f aca="false">CG32-CF32</f>
        <v>0</v>
      </c>
      <c r="CI32" s="21"/>
      <c r="CJ32" s="22"/>
      <c r="CK32" s="70" t="n">
        <f aca="false">CJ32-CI32</f>
        <v>0</v>
      </c>
      <c r="CL32" s="21"/>
      <c r="CM32" s="22"/>
      <c r="CN32" s="70" t="n">
        <f aca="false">CM32-CL32</f>
        <v>0</v>
      </c>
      <c r="CO32" s="21"/>
      <c r="CP32" s="22"/>
      <c r="CQ32" s="70" t="n">
        <f aca="false">CP32-CO32</f>
        <v>0</v>
      </c>
      <c r="CR32" s="21"/>
      <c r="CS32" s="22"/>
      <c r="CT32" s="70" t="n">
        <f aca="false">CS32-CR32</f>
        <v>0</v>
      </c>
      <c r="CU32" s="21"/>
      <c r="CV32" s="22"/>
      <c r="CW32" s="70" t="n">
        <f aca="false">CV32-CU32</f>
        <v>0</v>
      </c>
      <c r="CX32" s="21"/>
      <c r="CY32" s="22"/>
      <c r="CZ32" s="70" t="n">
        <f aca="false">CY32-CX32</f>
        <v>0</v>
      </c>
      <c r="DA32" s="21"/>
      <c r="DB32" s="22"/>
      <c r="DC32" s="70" t="n">
        <f aca="false">DB32-DA32</f>
        <v>0</v>
      </c>
      <c r="DD32" s="21"/>
      <c r="DE32" s="22"/>
      <c r="DF32" s="70" t="n">
        <f aca="false">DE32-DD32</f>
        <v>0</v>
      </c>
      <c r="DG32" s="21"/>
      <c r="DH32" s="22"/>
      <c r="DI32" s="70" t="n">
        <f aca="false">DH32-DG32</f>
        <v>0</v>
      </c>
      <c r="DJ32" s="21"/>
      <c r="DK32" s="22"/>
      <c r="DL32" s="70" t="n">
        <f aca="false">DK32-DJ32</f>
        <v>0</v>
      </c>
      <c r="DM32" s="21"/>
      <c r="DN32" s="22"/>
      <c r="DO32" s="70" t="n">
        <f aca="false">DN32-DM32</f>
        <v>0</v>
      </c>
      <c r="DP32" s="21"/>
      <c r="DQ32" s="22"/>
      <c r="DR32" s="70" t="n">
        <f aca="false">DQ32-DP32</f>
        <v>0</v>
      </c>
      <c r="DS32" s="70" t="n">
        <f aca="false">+C32+F32+I32+L32+O32+R32+U32+X32+AA32+AD32+AG32+AJ32+AM32+AP32+AS32+AV32+AY32+BB32+BE32+BH32+BK32+BN32+BQ32+BT32+BW32+BZ32+CC32+CF32+CI32+CL32+CO32+CR32+CU32+CX32+DA32+DD32+DG32+DJ32+DM32+DP32</f>
        <v>600000</v>
      </c>
      <c r="DT32" s="70" t="n">
        <f aca="false">+D32+G32+J32+M32+P32+S32+V32+Y32+AB32+AE32+AH32+AK32+AN32+AQ32+AT32+AW32+AZ32+BC32+BF32+BI32+BL32+BO32+BR32+BU32+BX32+CA32+CD32+CG32+CJ32+CM32+CP32+CS32+CV32+CY32+DB32+DE32+DH32+DK32+DN32+DQ32</f>
        <v>589629</v>
      </c>
      <c r="DU32" s="70" t="n">
        <f aca="false">DT32-DS32</f>
        <v>-10371</v>
      </c>
      <c r="DV32" s="22" t="n">
        <f aca="false">+DV31+DU32</f>
        <v>-477642</v>
      </c>
      <c r="DW32" s="74"/>
      <c r="DX32" s="70" t="n">
        <f aca="false">+DS32-AV32</f>
        <v>125000</v>
      </c>
      <c r="DY32" s="70" t="n">
        <f aca="false">+DT32-AW32</f>
        <v>125000</v>
      </c>
      <c r="DZ32" s="22" t="n">
        <f aca="false">+DY32-DX32</f>
        <v>0</v>
      </c>
      <c r="EA32" s="22" t="n">
        <f aca="false">+EA31+DZ32</f>
        <v>-178773</v>
      </c>
      <c r="EB32" s="74"/>
      <c r="EC32" s="22" t="n">
        <f aca="false">+AX32</f>
        <v>-10371</v>
      </c>
      <c r="ED32" s="22" t="n">
        <f aca="false">+EC32</f>
        <v>-10371</v>
      </c>
      <c r="EE32" s="74"/>
      <c r="EF32" s="74"/>
      <c r="EG32" s="74"/>
      <c r="EH32" s="74"/>
      <c r="EI32" s="74"/>
      <c r="EJ32" s="74"/>
      <c r="EK32" s="74"/>
    </row>
    <row r="33" customFormat="false" ht="12.75" hidden="false" customHeight="false" outlineLevel="0" collapsed="false">
      <c r="A33" s="69" t="n">
        <f aca="false">+BaseloadMarkets!A33</f>
        <v>36705</v>
      </c>
      <c r="B33" s="69" t="str">
        <f aca="false">+BaseloadMarkets!B33</f>
        <v>Wed</v>
      </c>
      <c r="C33" s="21" t="n">
        <v>5000</v>
      </c>
      <c r="D33" s="22" t="n">
        <v>5000</v>
      </c>
      <c r="E33" s="70" t="n">
        <f aca="false">D33-C33</f>
        <v>0</v>
      </c>
      <c r="F33" s="21" t="n">
        <v>5000</v>
      </c>
      <c r="G33" s="22" t="n">
        <v>5000</v>
      </c>
      <c r="H33" s="70" t="n">
        <f aca="false">G33-F33</f>
        <v>0</v>
      </c>
      <c r="I33" s="21" t="n">
        <v>5000</v>
      </c>
      <c r="J33" s="22" t="n">
        <v>5000</v>
      </c>
      <c r="K33" s="70" t="n">
        <f aca="false">J33-I33</f>
        <v>0</v>
      </c>
      <c r="L33" s="21" t="n">
        <v>10000</v>
      </c>
      <c r="M33" s="22" t="n">
        <v>5049</v>
      </c>
      <c r="N33" s="70" t="n">
        <f aca="false">M33-L33</f>
        <v>-4951</v>
      </c>
      <c r="O33" s="21" t="n">
        <v>5000</v>
      </c>
      <c r="P33" s="22" t="n">
        <v>5000</v>
      </c>
      <c r="Q33" s="70" t="n">
        <f aca="false">P33-O33</f>
        <v>0</v>
      </c>
      <c r="R33" s="21" t="n">
        <v>5000</v>
      </c>
      <c r="S33" s="22" t="n">
        <v>5000</v>
      </c>
      <c r="T33" s="70" t="n">
        <f aca="false">S33-R33</f>
        <v>0</v>
      </c>
      <c r="U33" s="21" t="n">
        <v>10000</v>
      </c>
      <c r="V33" s="22" t="n">
        <v>10000</v>
      </c>
      <c r="W33" s="70" t="n">
        <f aca="false">V33-U33</f>
        <v>0</v>
      </c>
      <c r="X33" s="21" t="n">
        <f aca="false">5000+5000+5000+5000</f>
        <v>20000</v>
      </c>
      <c r="Y33" s="21" t="n">
        <f aca="false">5000+5000+5000+5000</f>
        <v>20000</v>
      </c>
      <c r="Z33" s="70" t="n">
        <f aca="false">Y33-X33</f>
        <v>0</v>
      </c>
      <c r="AA33" s="21" t="n">
        <v>5000</v>
      </c>
      <c r="AB33" s="22" t="n">
        <v>5000</v>
      </c>
      <c r="AC33" s="70" t="n">
        <f aca="false">AB33-AA33</f>
        <v>0</v>
      </c>
      <c r="AD33" s="21" t="n">
        <f aca="false">5000+5000+5000</f>
        <v>15000</v>
      </c>
      <c r="AE33" s="21" t="n">
        <f aca="false">5000+5000+5000</f>
        <v>15000</v>
      </c>
      <c r="AF33" s="70" t="n">
        <f aca="false">AE33-AD33</f>
        <v>0</v>
      </c>
      <c r="AG33" s="21" t="n">
        <v>5000</v>
      </c>
      <c r="AH33" s="22" t="n">
        <v>5000</v>
      </c>
      <c r="AI33" s="70" t="n">
        <f aca="false">AH33-AG33</f>
        <v>0</v>
      </c>
      <c r="AJ33" s="21" t="n">
        <f aca="false">5000+5000</f>
        <v>10000</v>
      </c>
      <c r="AK33" s="21" t="n">
        <f aca="false">5000+5000</f>
        <v>10000</v>
      </c>
      <c r="AL33" s="70" t="n">
        <f aca="false">AK33-AJ33</f>
        <v>0</v>
      </c>
      <c r="AM33" s="21" t="n">
        <v>10000</v>
      </c>
      <c r="AN33" s="22" t="n">
        <v>10000</v>
      </c>
      <c r="AO33" s="70" t="n">
        <f aca="false">AN33-AM33</f>
        <v>0</v>
      </c>
      <c r="AP33" s="21" t="n">
        <f aca="false">10000+5000</f>
        <v>15000</v>
      </c>
      <c r="AQ33" s="21" t="n">
        <f aca="false">10000+5000</f>
        <v>15000</v>
      </c>
      <c r="AR33" s="70" t="n">
        <f aca="false">AQ33-AP33</f>
        <v>0</v>
      </c>
      <c r="AS33" s="21"/>
      <c r="AT33" s="22"/>
      <c r="AU33" s="70" t="n">
        <f aca="false">AT33-AS33</f>
        <v>0</v>
      </c>
      <c r="AV33" s="21" t="n">
        <v>450000</v>
      </c>
      <c r="AW33" s="22" t="n">
        <f aca="false">450000-19000+2465+2163+2036+2708-5000+2522-20000+6696+5409-5000+2708</f>
        <v>427707</v>
      </c>
      <c r="AX33" s="70" t="n">
        <f aca="false">AW33-AV33</f>
        <v>-22293</v>
      </c>
      <c r="AY33" s="21"/>
      <c r="AZ33" s="22"/>
      <c r="BA33" s="70" t="n">
        <f aca="false">AZ33-AY33</f>
        <v>0</v>
      </c>
      <c r="BB33" s="21"/>
      <c r="BC33" s="22"/>
      <c r="BD33" s="70" t="n">
        <f aca="false">BC33-BB33</f>
        <v>0</v>
      </c>
      <c r="BE33" s="21"/>
      <c r="BF33" s="22"/>
      <c r="BG33" s="70" t="n">
        <f aca="false">BF33-BE33</f>
        <v>0</v>
      </c>
      <c r="BH33" s="21"/>
      <c r="BI33" s="22"/>
      <c r="BJ33" s="70" t="n">
        <f aca="false">BI33-BH33</f>
        <v>0</v>
      </c>
      <c r="BK33" s="21"/>
      <c r="BL33" s="22"/>
      <c r="BM33" s="70" t="n">
        <f aca="false">BL33-BK33</f>
        <v>0</v>
      </c>
      <c r="BN33" s="21"/>
      <c r="BO33" s="22"/>
      <c r="BP33" s="70" t="n">
        <f aca="false">BO33-BN33</f>
        <v>0</v>
      </c>
      <c r="BQ33" s="21"/>
      <c r="BR33" s="22"/>
      <c r="BS33" s="70" t="n">
        <f aca="false">BR33-BQ33</f>
        <v>0</v>
      </c>
      <c r="BT33" s="21"/>
      <c r="BU33" s="22"/>
      <c r="BV33" s="70" t="n">
        <f aca="false">BU33-BT33</f>
        <v>0</v>
      </c>
      <c r="BW33" s="21"/>
      <c r="BX33" s="22"/>
      <c r="BY33" s="70" t="n">
        <f aca="false">BX33-BW33</f>
        <v>0</v>
      </c>
      <c r="BZ33" s="21"/>
      <c r="CA33" s="22"/>
      <c r="CB33" s="70" t="n">
        <f aca="false">CA33-BZ33</f>
        <v>0</v>
      </c>
      <c r="CC33" s="21"/>
      <c r="CD33" s="22"/>
      <c r="CE33" s="70" t="n">
        <f aca="false">CD33-CC33</f>
        <v>0</v>
      </c>
      <c r="CF33" s="21"/>
      <c r="CG33" s="22"/>
      <c r="CH33" s="70" t="n">
        <f aca="false">CG33-CF33</f>
        <v>0</v>
      </c>
      <c r="CI33" s="21"/>
      <c r="CJ33" s="22"/>
      <c r="CK33" s="70" t="n">
        <f aca="false">CJ33-CI33</f>
        <v>0</v>
      </c>
      <c r="CL33" s="21"/>
      <c r="CM33" s="22"/>
      <c r="CN33" s="70" t="n">
        <f aca="false">CM33-CL33</f>
        <v>0</v>
      </c>
      <c r="CO33" s="21"/>
      <c r="CP33" s="22"/>
      <c r="CQ33" s="70" t="n">
        <f aca="false">CP33-CO33</f>
        <v>0</v>
      </c>
      <c r="CR33" s="21"/>
      <c r="CS33" s="22"/>
      <c r="CT33" s="70" t="n">
        <f aca="false">CS33-CR33</f>
        <v>0</v>
      </c>
      <c r="CU33" s="21"/>
      <c r="CV33" s="22"/>
      <c r="CW33" s="70" t="n">
        <f aca="false">CV33-CU33</f>
        <v>0</v>
      </c>
      <c r="CX33" s="21"/>
      <c r="CY33" s="22"/>
      <c r="CZ33" s="70" t="n">
        <f aca="false">CY33-CX33</f>
        <v>0</v>
      </c>
      <c r="DA33" s="21"/>
      <c r="DB33" s="22"/>
      <c r="DC33" s="70" t="n">
        <f aca="false">DB33-DA33</f>
        <v>0</v>
      </c>
      <c r="DD33" s="21"/>
      <c r="DE33" s="22"/>
      <c r="DF33" s="70" t="n">
        <f aca="false">DE33-DD33</f>
        <v>0</v>
      </c>
      <c r="DG33" s="21"/>
      <c r="DH33" s="22"/>
      <c r="DI33" s="70" t="n">
        <f aca="false">DH33-DG33</f>
        <v>0</v>
      </c>
      <c r="DJ33" s="21"/>
      <c r="DK33" s="22"/>
      <c r="DL33" s="70" t="n">
        <f aca="false">DK33-DJ33</f>
        <v>0</v>
      </c>
      <c r="DM33" s="21"/>
      <c r="DN33" s="22"/>
      <c r="DO33" s="70" t="n">
        <f aca="false">DN33-DM33</f>
        <v>0</v>
      </c>
      <c r="DP33" s="21"/>
      <c r="DQ33" s="22"/>
      <c r="DR33" s="70" t="n">
        <f aca="false">DQ33-DP33</f>
        <v>0</v>
      </c>
      <c r="DS33" s="70" t="n">
        <f aca="false">+C33+F33+I33+L33+O33+R33+U33+X33+AA33+AD33+AG33+AJ33+AM33+AP33+AS33+AV33+AY33+BB33+BE33+BH33+BK33+BN33+BQ33+BT33+BW33+BZ33+CC33+CF33+CI33+CL33+CO33+CR33+CU33+CX33+DA33+DD33+DG33+DJ33+DM33+DP33</f>
        <v>575000</v>
      </c>
      <c r="DT33" s="70" t="n">
        <f aca="false">+D33+G33+J33+M33+P33+S33+V33+Y33+AB33+AE33+AH33+AK33+AN33+AQ33+AT33+AW33+AZ33+BC33+BF33+BI33+BL33+BO33+BR33+BU33+BX33+CA33+CD33+CG33+CJ33+CM33+CP33+CS33+CV33+CY33+DB33+DE33+DH33+DK33+DN33+DQ33</f>
        <v>547756</v>
      </c>
      <c r="DU33" s="70" t="n">
        <f aca="false">DT33-DS33</f>
        <v>-27244</v>
      </c>
      <c r="DV33" s="22" t="n">
        <f aca="false">+DV32+DU33</f>
        <v>-504886</v>
      </c>
      <c r="DW33" s="74"/>
      <c r="DX33" s="70" t="n">
        <f aca="false">+DS33-AV33</f>
        <v>125000</v>
      </c>
      <c r="DY33" s="70" t="n">
        <f aca="false">+DT33-AW33</f>
        <v>120049</v>
      </c>
      <c r="DZ33" s="22" t="n">
        <f aca="false">+DY33-DX33</f>
        <v>-4951</v>
      </c>
      <c r="EA33" s="22" t="n">
        <f aca="false">+EA32+DZ33</f>
        <v>-183724</v>
      </c>
      <c r="EB33" s="74"/>
      <c r="EC33" s="22" t="n">
        <f aca="false">+AX33</f>
        <v>-22293</v>
      </c>
      <c r="ED33" s="22" t="n">
        <f aca="false">+EC33</f>
        <v>-22293</v>
      </c>
      <c r="EE33" s="74"/>
      <c r="EF33" s="74"/>
      <c r="EG33" s="74"/>
      <c r="EH33" s="74"/>
      <c r="EI33" s="74"/>
      <c r="EJ33" s="74"/>
      <c r="EK33" s="74"/>
    </row>
    <row r="34" customFormat="false" ht="12.75" hidden="false" customHeight="false" outlineLevel="0" collapsed="false">
      <c r="A34" s="69" t="n">
        <f aca="false">+BaseloadMarkets!A34</f>
        <v>36706</v>
      </c>
      <c r="B34" s="69" t="str">
        <f aca="false">+BaseloadMarkets!B34</f>
        <v>Thu</v>
      </c>
      <c r="C34" s="21" t="n">
        <v>5000</v>
      </c>
      <c r="D34" s="22" t="n">
        <v>5000</v>
      </c>
      <c r="E34" s="70" t="n">
        <f aca="false">D34-C34</f>
        <v>0</v>
      </c>
      <c r="F34" s="21" t="n">
        <v>5000</v>
      </c>
      <c r="G34" s="22" t="n">
        <v>5000</v>
      </c>
      <c r="H34" s="70" t="n">
        <f aca="false">G34-F34</f>
        <v>0</v>
      </c>
      <c r="I34" s="21" t="n">
        <v>5000</v>
      </c>
      <c r="J34" s="22" t="n">
        <v>5000</v>
      </c>
      <c r="K34" s="70" t="n">
        <f aca="false">J34-I34</f>
        <v>0</v>
      </c>
      <c r="L34" s="21" t="n">
        <v>10000</v>
      </c>
      <c r="M34" s="22" t="n">
        <v>10000</v>
      </c>
      <c r="N34" s="70" t="n">
        <f aca="false">M34-L34</f>
        <v>0</v>
      </c>
      <c r="O34" s="21" t="n">
        <v>5000</v>
      </c>
      <c r="P34" s="22" t="n">
        <v>5000</v>
      </c>
      <c r="Q34" s="70" t="n">
        <f aca="false">P34-O34</f>
        <v>0</v>
      </c>
      <c r="R34" s="21" t="n">
        <v>5000</v>
      </c>
      <c r="S34" s="22" t="n">
        <v>5000</v>
      </c>
      <c r="T34" s="70" t="n">
        <f aca="false">S34-R34</f>
        <v>0</v>
      </c>
      <c r="U34" s="21" t="n">
        <v>10000</v>
      </c>
      <c r="V34" s="22" t="n">
        <v>10000</v>
      </c>
      <c r="W34" s="70" t="n">
        <f aca="false">V34-U34</f>
        <v>0</v>
      </c>
      <c r="X34" s="21" t="n">
        <f aca="false">5000+5000+5000+5000</f>
        <v>20000</v>
      </c>
      <c r="Y34" s="21" t="n">
        <f aca="false">5000+5000+5000+5000</f>
        <v>20000</v>
      </c>
      <c r="Z34" s="70" t="n">
        <f aca="false">Y34-X34</f>
        <v>0</v>
      </c>
      <c r="AA34" s="21" t="n">
        <v>5000</v>
      </c>
      <c r="AB34" s="22" t="n">
        <v>5000</v>
      </c>
      <c r="AC34" s="70" t="n">
        <f aca="false">AB34-AA34</f>
        <v>0</v>
      </c>
      <c r="AD34" s="21" t="n">
        <f aca="false">5000+5000+5000</f>
        <v>15000</v>
      </c>
      <c r="AE34" s="21" t="n">
        <f aca="false">5000+5000+5000</f>
        <v>15000</v>
      </c>
      <c r="AF34" s="70" t="n">
        <f aca="false">AE34-AD34</f>
        <v>0</v>
      </c>
      <c r="AG34" s="21" t="n">
        <v>5000</v>
      </c>
      <c r="AH34" s="22" t="n">
        <v>5000</v>
      </c>
      <c r="AI34" s="70" t="n">
        <f aca="false">AH34-AG34</f>
        <v>0</v>
      </c>
      <c r="AJ34" s="21" t="n">
        <f aca="false">5000+5000</f>
        <v>10000</v>
      </c>
      <c r="AK34" s="21" t="n">
        <f aca="false">5000+5000</f>
        <v>10000</v>
      </c>
      <c r="AL34" s="70" t="n">
        <f aca="false">AK34-AJ34</f>
        <v>0</v>
      </c>
      <c r="AM34" s="21" t="n">
        <v>10000</v>
      </c>
      <c r="AN34" s="22" t="n">
        <v>10000</v>
      </c>
      <c r="AO34" s="70" t="n">
        <f aca="false">AN34-AM34</f>
        <v>0</v>
      </c>
      <c r="AP34" s="21" t="n">
        <f aca="false">10000+5000</f>
        <v>15000</v>
      </c>
      <c r="AQ34" s="21" t="n">
        <v>15000</v>
      </c>
      <c r="AR34" s="70" t="n">
        <f aca="false">AQ34-AP34</f>
        <v>0</v>
      </c>
      <c r="AS34" s="21"/>
      <c r="AT34" s="22"/>
      <c r="AU34" s="70" t="n">
        <f aca="false">AT34-AS34</f>
        <v>0</v>
      </c>
      <c r="AV34" s="21" t="n">
        <v>530000</v>
      </c>
      <c r="AW34" s="22" t="n">
        <f aca="false">530000-19000+0+1744+1755+2227-5000+2870</f>
        <v>514596</v>
      </c>
      <c r="AX34" s="70" t="n">
        <f aca="false">AW34-AV34</f>
        <v>-15404</v>
      </c>
      <c r="AY34" s="21"/>
      <c r="AZ34" s="22"/>
      <c r="BA34" s="70" t="n">
        <f aca="false">AZ34-AY34</f>
        <v>0</v>
      </c>
      <c r="BB34" s="21"/>
      <c r="BC34" s="22"/>
      <c r="BD34" s="70" t="n">
        <f aca="false">BC34-BB34</f>
        <v>0</v>
      </c>
      <c r="BE34" s="21"/>
      <c r="BF34" s="22"/>
      <c r="BG34" s="70" t="n">
        <f aca="false">BF34-BE34</f>
        <v>0</v>
      </c>
      <c r="BH34" s="21"/>
      <c r="BI34" s="22"/>
      <c r="BJ34" s="70" t="n">
        <f aca="false">BI34-BH34</f>
        <v>0</v>
      </c>
      <c r="BK34" s="21"/>
      <c r="BL34" s="22"/>
      <c r="BM34" s="70" t="n">
        <f aca="false">BL34-BK34</f>
        <v>0</v>
      </c>
      <c r="BN34" s="21"/>
      <c r="BO34" s="22"/>
      <c r="BP34" s="70" t="n">
        <f aca="false">BO34-BN34</f>
        <v>0</v>
      </c>
      <c r="BQ34" s="21"/>
      <c r="BR34" s="22"/>
      <c r="BS34" s="70" t="n">
        <f aca="false">BR34-BQ34</f>
        <v>0</v>
      </c>
      <c r="BT34" s="21"/>
      <c r="BU34" s="22"/>
      <c r="BV34" s="70" t="n">
        <f aca="false">BU34-BT34</f>
        <v>0</v>
      </c>
      <c r="BW34" s="21"/>
      <c r="BX34" s="22"/>
      <c r="BY34" s="70" t="n">
        <f aca="false">BX34-BW34</f>
        <v>0</v>
      </c>
      <c r="BZ34" s="21"/>
      <c r="CA34" s="22"/>
      <c r="CB34" s="70" t="n">
        <f aca="false">CA34-BZ34</f>
        <v>0</v>
      </c>
      <c r="CC34" s="21"/>
      <c r="CD34" s="22"/>
      <c r="CE34" s="70" t="n">
        <f aca="false">CD34-CC34</f>
        <v>0</v>
      </c>
      <c r="CF34" s="21"/>
      <c r="CG34" s="22"/>
      <c r="CH34" s="70" t="n">
        <f aca="false">CG34-CF34</f>
        <v>0</v>
      </c>
      <c r="CI34" s="21"/>
      <c r="CJ34" s="22"/>
      <c r="CK34" s="70" t="n">
        <f aca="false">CJ34-CI34</f>
        <v>0</v>
      </c>
      <c r="CL34" s="21"/>
      <c r="CM34" s="22"/>
      <c r="CN34" s="70" t="n">
        <f aca="false">CM34-CL34</f>
        <v>0</v>
      </c>
      <c r="CO34" s="21"/>
      <c r="CP34" s="22"/>
      <c r="CQ34" s="70" t="n">
        <f aca="false">CP34-CO34</f>
        <v>0</v>
      </c>
      <c r="CR34" s="21"/>
      <c r="CS34" s="22"/>
      <c r="CT34" s="70" t="n">
        <f aca="false">CS34-CR34</f>
        <v>0</v>
      </c>
      <c r="CU34" s="21"/>
      <c r="CV34" s="22"/>
      <c r="CW34" s="70" t="n">
        <f aca="false">CV34-CU34</f>
        <v>0</v>
      </c>
      <c r="CX34" s="21"/>
      <c r="CY34" s="22"/>
      <c r="CZ34" s="70" t="n">
        <f aca="false">CY34-CX34</f>
        <v>0</v>
      </c>
      <c r="DA34" s="21"/>
      <c r="DB34" s="22"/>
      <c r="DC34" s="70" t="n">
        <f aca="false">DB34-DA34</f>
        <v>0</v>
      </c>
      <c r="DD34" s="21"/>
      <c r="DE34" s="22"/>
      <c r="DF34" s="70" t="n">
        <f aca="false">DE34-DD34</f>
        <v>0</v>
      </c>
      <c r="DG34" s="21"/>
      <c r="DH34" s="22"/>
      <c r="DI34" s="70" t="n">
        <f aca="false">DH34-DG34</f>
        <v>0</v>
      </c>
      <c r="DJ34" s="21"/>
      <c r="DK34" s="22"/>
      <c r="DL34" s="70" t="n">
        <f aca="false">DK34-DJ34</f>
        <v>0</v>
      </c>
      <c r="DM34" s="21"/>
      <c r="DN34" s="22"/>
      <c r="DO34" s="70" t="n">
        <f aca="false">DN34-DM34</f>
        <v>0</v>
      </c>
      <c r="DP34" s="21"/>
      <c r="DQ34" s="22"/>
      <c r="DR34" s="70" t="n">
        <f aca="false">DQ34-DP34</f>
        <v>0</v>
      </c>
      <c r="DS34" s="70" t="n">
        <f aca="false">+C34+F34+I34+L34+O34+R34+U34+X34+AA34+AD34+AG34+AJ34+AM34+AP34+AS34+AV34+AY34+BB34+BE34+BH34+BK34+BN34+BQ34+BT34+BW34+BZ34+CC34+CF34+CI34+CL34+CO34+CR34+CU34+CX34+DA34+DD34+DG34+DJ34+DM34+DP34</f>
        <v>655000</v>
      </c>
      <c r="DT34" s="70" t="n">
        <f aca="false">+D34+G34+J34+M34+P34+S34+V34+Y34+AB34+AE34+AH34+AK34+AN34+AQ34+AT34+AW34+AZ34+BC34+BF34+BI34+BL34+BO34+BR34+BU34+BX34+CA34+CD34+CG34+CJ34+CM34+CP34+CS34+CV34+CY34+DB34+DE34+DH34+DK34+DN34+DQ34</f>
        <v>639596</v>
      </c>
      <c r="DU34" s="70" t="n">
        <f aca="false">DT34-DS34</f>
        <v>-15404</v>
      </c>
      <c r="DV34" s="22" t="n">
        <f aca="false">+DV33+DU34</f>
        <v>-520290</v>
      </c>
      <c r="DW34" s="74"/>
      <c r="DX34" s="70" t="n">
        <f aca="false">+DS34-AV34</f>
        <v>125000</v>
      </c>
      <c r="DY34" s="70" t="n">
        <f aca="false">+DT34-AW34</f>
        <v>125000</v>
      </c>
      <c r="DZ34" s="22" t="n">
        <f aca="false">+DY34-DX34</f>
        <v>0</v>
      </c>
      <c r="EA34" s="22" t="n">
        <f aca="false">+EA33+DZ34</f>
        <v>-183724</v>
      </c>
      <c r="EB34" s="74"/>
      <c r="EC34" s="22" t="n">
        <f aca="false">+AX34</f>
        <v>-15404</v>
      </c>
      <c r="ED34" s="22" t="n">
        <f aca="false">+EC34</f>
        <v>-15404</v>
      </c>
      <c r="EE34" s="74"/>
      <c r="EF34" s="74"/>
      <c r="EG34" s="74"/>
      <c r="EH34" s="74"/>
      <c r="EI34" s="74"/>
      <c r="EJ34" s="74"/>
      <c r="EK34" s="74"/>
    </row>
    <row r="35" customFormat="false" ht="12.75" hidden="false" customHeight="false" outlineLevel="0" collapsed="false">
      <c r="A35" s="69" t="n">
        <f aca="false">+BaseloadMarkets!A35</f>
        <v>36707</v>
      </c>
      <c r="B35" s="69" t="str">
        <f aca="false">+BaseloadMarkets!B35</f>
        <v>Fri</v>
      </c>
      <c r="C35" s="21" t="n">
        <v>5000</v>
      </c>
      <c r="D35" s="22" t="n">
        <v>5000</v>
      </c>
      <c r="E35" s="70" t="n">
        <f aca="false">D35-C35</f>
        <v>0</v>
      </c>
      <c r="F35" s="21" t="n">
        <v>5000</v>
      </c>
      <c r="G35" s="22" t="n">
        <v>5000</v>
      </c>
      <c r="H35" s="70" t="n">
        <f aca="false">G35-F35</f>
        <v>0</v>
      </c>
      <c r="I35" s="21" t="n">
        <v>5000</v>
      </c>
      <c r="J35" s="22" t="n">
        <v>5000</v>
      </c>
      <c r="K35" s="70" t="n">
        <f aca="false">J35-I35</f>
        <v>0</v>
      </c>
      <c r="L35" s="21" t="n">
        <v>10000</v>
      </c>
      <c r="M35" s="22" t="n">
        <v>6313</v>
      </c>
      <c r="N35" s="70" t="n">
        <f aca="false">M35-L35</f>
        <v>-3687</v>
      </c>
      <c r="O35" s="21" t="n">
        <v>5000</v>
      </c>
      <c r="P35" s="22" t="n">
        <v>5000</v>
      </c>
      <c r="Q35" s="70" t="n">
        <f aca="false">P35-O35</f>
        <v>0</v>
      </c>
      <c r="R35" s="21" t="n">
        <v>5000</v>
      </c>
      <c r="S35" s="22" t="n">
        <v>5000</v>
      </c>
      <c r="T35" s="70" t="n">
        <f aca="false">S35-R35</f>
        <v>0</v>
      </c>
      <c r="U35" s="21" t="n">
        <v>10000</v>
      </c>
      <c r="V35" s="22" t="n">
        <v>5402</v>
      </c>
      <c r="W35" s="70" t="n">
        <f aca="false">V35-U35</f>
        <v>-4598</v>
      </c>
      <c r="X35" s="21" t="n">
        <f aca="false">5000+5000+5000+5000</f>
        <v>20000</v>
      </c>
      <c r="Y35" s="21" t="n">
        <f aca="false">3485+3486+3486+3486</f>
        <v>13943</v>
      </c>
      <c r="Z35" s="70" t="n">
        <f aca="false">Y35-X35</f>
        <v>-6057</v>
      </c>
      <c r="AA35" s="21" t="n">
        <v>5000</v>
      </c>
      <c r="AB35" s="22" t="n">
        <v>2702</v>
      </c>
      <c r="AC35" s="70" t="n">
        <f aca="false">AB35-AA35</f>
        <v>-2298</v>
      </c>
      <c r="AD35" s="21" t="n">
        <f aca="false">5000+5000+5000</f>
        <v>15000</v>
      </c>
      <c r="AE35" s="21" t="n">
        <f aca="false">2702+2702+2702</f>
        <v>8106</v>
      </c>
      <c r="AF35" s="70" t="n">
        <f aca="false">AE35-AD35</f>
        <v>-6894</v>
      </c>
      <c r="AG35" s="21" t="n">
        <v>5000</v>
      </c>
      <c r="AH35" s="22" t="n">
        <v>2722</v>
      </c>
      <c r="AI35" s="70" t="n">
        <f aca="false">AH35-AG35</f>
        <v>-2278</v>
      </c>
      <c r="AJ35" s="21" t="n">
        <f aca="false">5000+5000</f>
        <v>10000</v>
      </c>
      <c r="AK35" s="21" t="n">
        <f aca="false">5000+5000</f>
        <v>10000</v>
      </c>
      <c r="AL35" s="70" t="n">
        <f aca="false">AK35-AJ35</f>
        <v>0</v>
      </c>
      <c r="AM35" s="21" t="n">
        <v>10000</v>
      </c>
      <c r="AN35" s="22" t="n">
        <v>5931</v>
      </c>
      <c r="AO35" s="70" t="n">
        <f aca="false">AN35-AM35</f>
        <v>-4069</v>
      </c>
      <c r="AP35" s="21" t="n">
        <f aca="false">10000+5000</f>
        <v>15000</v>
      </c>
      <c r="AQ35" s="21" t="n">
        <f aca="false">5931+2966</f>
        <v>8897</v>
      </c>
      <c r="AR35" s="70" t="n">
        <f aca="false">AQ35-AP35</f>
        <v>-6103</v>
      </c>
      <c r="AS35" s="21"/>
      <c r="AT35" s="22"/>
      <c r="AU35" s="70" t="n">
        <f aca="false">AT35-AS35</f>
        <v>0</v>
      </c>
      <c r="AV35" s="21" t="n">
        <v>200000</v>
      </c>
      <c r="AW35" s="22" t="n">
        <v>194851</v>
      </c>
      <c r="AX35" s="70" t="n">
        <f aca="false">AW35-AV35</f>
        <v>-5149</v>
      </c>
      <c r="AY35" s="21"/>
      <c r="AZ35" s="22"/>
      <c r="BA35" s="70" t="n">
        <f aca="false">AZ35-AY35</f>
        <v>0</v>
      </c>
      <c r="BB35" s="21"/>
      <c r="BC35" s="22"/>
      <c r="BD35" s="70" t="n">
        <f aca="false">BC35-BB35</f>
        <v>0</v>
      </c>
      <c r="BE35" s="21"/>
      <c r="BF35" s="22"/>
      <c r="BG35" s="70" t="n">
        <f aca="false">BF35-BE35</f>
        <v>0</v>
      </c>
      <c r="BH35" s="21"/>
      <c r="BI35" s="22"/>
      <c r="BJ35" s="70" t="n">
        <f aca="false">BI35-BH35</f>
        <v>0</v>
      </c>
      <c r="BK35" s="21"/>
      <c r="BL35" s="22"/>
      <c r="BM35" s="70" t="n">
        <f aca="false">BL35-BK35</f>
        <v>0</v>
      </c>
      <c r="BN35" s="21"/>
      <c r="BO35" s="22"/>
      <c r="BP35" s="70" t="n">
        <f aca="false">BO35-BN35</f>
        <v>0</v>
      </c>
      <c r="BQ35" s="21"/>
      <c r="BR35" s="22"/>
      <c r="BS35" s="70" t="n">
        <f aca="false">BR35-BQ35</f>
        <v>0</v>
      </c>
      <c r="BT35" s="21"/>
      <c r="BU35" s="22"/>
      <c r="BV35" s="70" t="n">
        <f aca="false">BU35-BT35</f>
        <v>0</v>
      </c>
      <c r="BW35" s="21"/>
      <c r="BX35" s="22"/>
      <c r="BY35" s="70" t="n">
        <f aca="false">BX35-BW35</f>
        <v>0</v>
      </c>
      <c r="BZ35" s="21"/>
      <c r="CA35" s="22"/>
      <c r="CB35" s="70" t="n">
        <f aca="false">CA35-BZ35</f>
        <v>0</v>
      </c>
      <c r="CC35" s="21"/>
      <c r="CD35" s="22"/>
      <c r="CE35" s="70" t="n">
        <f aca="false">CD35-CC35</f>
        <v>0</v>
      </c>
      <c r="CF35" s="21"/>
      <c r="CG35" s="22"/>
      <c r="CH35" s="70" t="n">
        <f aca="false">CG35-CF35</f>
        <v>0</v>
      </c>
      <c r="CI35" s="21"/>
      <c r="CJ35" s="22"/>
      <c r="CK35" s="70" t="n">
        <f aca="false">CJ35-CI35</f>
        <v>0</v>
      </c>
      <c r="CL35" s="21"/>
      <c r="CM35" s="22"/>
      <c r="CN35" s="70" t="n">
        <f aca="false">CM35-CL35</f>
        <v>0</v>
      </c>
      <c r="CO35" s="21"/>
      <c r="CP35" s="22"/>
      <c r="CQ35" s="70" t="n">
        <f aca="false">CP35-CO35</f>
        <v>0</v>
      </c>
      <c r="CR35" s="21"/>
      <c r="CS35" s="22"/>
      <c r="CT35" s="70" t="n">
        <f aca="false">CS35-CR35</f>
        <v>0</v>
      </c>
      <c r="CU35" s="21"/>
      <c r="CV35" s="22"/>
      <c r="CW35" s="70" t="n">
        <f aca="false">CV35-CU35</f>
        <v>0</v>
      </c>
      <c r="CX35" s="21"/>
      <c r="CY35" s="22"/>
      <c r="CZ35" s="70" t="n">
        <f aca="false">CY35-CX35</f>
        <v>0</v>
      </c>
      <c r="DA35" s="21"/>
      <c r="DB35" s="22"/>
      <c r="DC35" s="70" t="n">
        <f aca="false">DB35-DA35</f>
        <v>0</v>
      </c>
      <c r="DD35" s="21"/>
      <c r="DE35" s="22"/>
      <c r="DF35" s="70" t="n">
        <f aca="false">DE35-DD35</f>
        <v>0</v>
      </c>
      <c r="DG35" s="21"/>
      <c r="DH35" s="22"/>
      <c r="DI35" s="70" t="n">
        <f aca="false">DH35-DG35</f>
        <v>0</v>
      </c>
      <c r="DJ35" s="21"/>
      <c r="DK35" s="22"/>
      <c r="DL35" s="70" t="n">
        <f aca="false">DK35-DJ35</f>
        <v>0</v>
      </c>
      <c r="DM35" s="21"/>
      <c r="DN35" s="22"/>
      <c r="DO35" s="70" t="n">
        <f aca="false">DN35-DM35</f>
        <v>0</v>
      </c>
      <c r="DP35" s="21"/>
      <c r="DQ35" s="22"/>
      <c r="DR35" s="70" t="n">
        <f aca="false">DQ35-DP35</f>
        <v>0</v>
      </c>
      <c r="DS35" s="70" t="n">
        <f aca="false">+C35+F35+I35+L35+O35+R35+U35+X35+AA35+AD35+AG35+AJ35+AM35+AP35+AS35+AV35+AY35+BB35+BE35+BH35+BK35+BN35+BQ35+BT35+BW35+BZ35+CC35+CF35+CI35+CL35+CO35+CR35+CU35+CX35+DA35+DD35+DG35+DJ35+DM35+DP35</f>
        <v>325000</v>
      </c>
      <c r="DT35" s="70" t="n">
        <f aca="false">+D35+G35+J35+M35+P35+S35+V35+Y35+AB35+AE35+AH35+AK35+AN35+AQ35+AT35+AW35+AZ35+BC35+BF35+BI35+BL35+BO35+BR35+BU35+BX35+CA35+CD35+CG35+CJ35+CM35+CP35+CS35+CV35+CY35+DB35+DE35+DH35+DK35+DN35+DQ35</f>
        <v>283867</v>
      </c>
      <c r="DU35" s="70" t="n">
        <f aca="false">DT35-DS35</f>
        <v>-41133</v>
      </c>
      <c r="DV35" s="22" t="n">
        <f aca="false">+DV34+DU35</f>
        <v>-561423</v>
      </c>
      <c r="DW35" s="74"/>
      <c r="DX35" s="70" t="n">
        <f aca="false">+DS35-AV35</f>
        <v>125000</v>
      </c>
      <c r="DY35" s="70" t="n">
        <f aca="false">+DT35-AW35</f>
        <v>89016</v>
      </c>
      <c r="DZ35" s="22" t="n">
        <f aca="false">+DY35-DX35</f>
        <v>-35984</v>
      </c>
      <c r="EA35" s="22" t="n">
        <f aca="false">+EA34+DZ35</f>
        <v>-219708</v>
      </c>
      <c r="EB35" s="74"/>
      <c r="EC35" s="22" t="n">
        <f aca="false">+AX35</f>
        <v>-5149</v>
      </c>
      <c r="ED35" s="22" t="n">
        <f aca="false">+EC35</f>
        <v>-5149</v>
      </c>
      <c r="EE35" s="74"/>
      <c r="EF35" s="74"/>
      <c r="EG35" s="74"/>
      <c r="EH35" s="74"/>
      <c r="EI35" s="74"/>
      <c r="EJ35" s="74"/>
      <c r="EK35" s="74"/>
    </row>
    <row r="36" customFormat="false" ht="12.75" hidden="false" customHeight="false" outlineLevel="0" collapsed="false">
      <c r="A36" s="69"/>
      <c r="B36" s="69"/>
      <c r="C36" s="21"/>
      <c r="D36" s="22"/>
      <c r="E36" s="70"/>
      <c r="F36" s="21"/>
      <c r="G36" s="22"/>
      <c r="H36" s="70"/>
      <c r="I36" s="21"/>
      <c r="J36" s="22"/>
      <c r="K36" s="70"/>
      <c r="L36" s="21"/>
      <c r="M36" s="22"/>
      <c r="N36" s="70"/>
      <c r="O36" s="21"/>
      <c r="P36" s="22"/>
      <c r="Q36" s="70"/>
      <c r="R36" s="21"/>
      <c r="S36" s="22"/>
      <c r="T36" s="70"/>
      <c r="U36" s="21"/>
      <c r="V36" s="22"/>
      <c r="W36" s="70"/>
      <c r="X36" s="21"/>
      <c r="Y36" s="21"/>
      <c r="Z36" s="70"/>
      <c r="AA36" s="21"/>
      <c r="AB36" s="22"/>
      <c r="AC36" s="70"/>
      <c r="AD36" s="21"/>
      <c r="AE36" s="21"/>
      <c r="AF36" s="70"/>
      <c r="AG36" s="21"/>
      <c r="AH36" s="22"/>
      <c r="AI36" s="70"/>
      <c r="AJ36" s="21"/>
      <c r="AK36" s="22"/>
      <c r="AL36" s="70"/>
      <c r="AM36" s="21"/>
      <c r="AN36" s="22"/>
      <c r="AO36" s="70"/>
      <c r="AP36" s="21"/>
      <c r="AQ36" s="22"/>
      <c r="AR36" s="70"/>
      <c r="AS36" s="21"/>
      <c r="AT36" s="22"/>
      <c r="AU36" s="70"/>
      <c r="AV36" s="21"/>
      <c r="AW36" s="22"/>
      <c r="AX36" s="70"/>
      <c r="AY36" s="21"/>
      <c r="AZ36" s="22"/>
      <c r="BA36" s="70"/>
      <c r="BB36" s="21"/>
      <c r="BC36" s="22"/>
      <c r="BD36" s="70"/>
      <c r="BE36" s="21"/>
      <c r="BF36" s="22"/>
      <c r="BG36" s="70"/>
      <c r="BH36" s="21"/>
      <c r="BI36" s="22"/>
      <c r="BJ36" s="70"/>
      <c r="BK36" s="21"/>
      <c r="BL36" s="22"/>
      <c r="BM36" s="70"/>
      <c r="BN36" s="21"/>
      <c r="BO36" s="22"/>
      <c r="BP36" s="70"/>
      <c r="BQ36" s="21"/>
      <c r="BR36" s="22"/>
      <c r="BS36" s="70"/>
      <c r="BT36" s="21"/>
      <c r="BU36" s="22"/>
      <c r="BV36" s="70"/>
      <c r="BW36" s="21"/>
      <c r="BX36" s="22"/>
      <c r="BY36" s="70"/>
      <c r="BZ36" s="21"/>
      <c r="CA36" s="22"/>
      <c r="CB36" s="70"/>
      <c r="CC36" s="21"/>
      <c r="CD36" s="22"/>
      <c r="CE36" s="70"/>
      <c r="CF36" s="21"/>
      <c r="CG36" s="22"/>
      <c r="CH36" s="70"/>
      <c r="CI36" s="21"/>
      <c r="CJ36" s="22"/>
      <c r="CK36" s="70"/>
      <c r="CL36" s="21"/>
      <c r="CM36" s="22"/>
      <c r="CN36" s="70"/>
      <c r="CO36" s="21"/>
      <c r="CP36" s="22"/>
      <c r="CQ36" s="70"/>
      <c r="CR36" s="21"/>
      <c r="CS36" s="22"/>
      <c r="CT36" s="70"/>
      <c r="CU36" s="21"/>
      <c r="CV36" s="22"/>
      <c r="CW36" s="70"/>
      <c r="CX36" s="21"/>
      <c r="CY36" s="22"/>
      <c r="CZ36" s="70"/>
      <c r="DA36" s="21"/>
      <c r="DB36" s="22"/>
      <c r="DC36" s="70"/>
      <c r="DD36" s="21"/>
      <c r="DE36" s="22"/>
      <c r="DF36" s="70"/>
      <c r="DG36" s="21"/>
      <c r="DH36" s="22"/>
      <c r="DI36" s="70"/>
      <c r="DJ36" s="21"/>
      <c r="DK36" s="22"/>
      <c r="DL36" s="70"/>
      <c r="DM36" s="21"/>
      <c r="DN36" s="22"/>
      <c r="DO36" s="70"/>
      <c r="DP36" s="21"/>
      <c r="DQ36" s="22"/>
      <c r="DR36" s="70"/>
      <c r="DS36" s="70"/>
      <c r="DT36" s="70"/>
      <c r="DU36" s="70"/>
      <c r="DV36" s="22"/>
      <c r="DW36" s="74"/>
      <c r="DX36" s="74"/>
      <c r="DY36" s="75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</row>
    <row r="37" customFormat="false" ht="12.75" hidden="false" customHeight="false" outlineLevel="0" collapsed="false">
      <c r="A37" s="76" t="s">
        <v>72</v>
      </c>
      <c r="C37" s="28" t="n">
        <f aca="false">SUM(C6:C36)</f>
        <v>150000</v>
      </c>
      <c r="D37" s="28" t="n">
        <f aca="false">SUM(D6:D36)</f>
        <v>150000</v>
      </c>
      <c r="E37" s="28" t="n">
        <f aca="false">SUM(E6:E36)</f>
        <v>0</v>
      </c>
      <c r="F37" s="28" t="n">
        <f aca="false">SUM(F6:F36)</f>
        <v>150000</v>
      </c>
      <c r="G37" s="28" t="n">
        <f aca="false">SUM(G6:G36)</f>
        <v>135008</v>
      </c>
      <c r="H37" s="28" t="n">
        <f aca="false">SUM(H6:H36)</f>
        <v>-14992</v>
      </c>
      <c r="I37" s="28" t="n">
        <f aca="false">SUM(I6:I36)</f>
        <v>150000</v>
      </c>
      <c r="J37" s="28" t="n">
        <f aca="false">SUM(J6:J36)</f>
        <v>135009</v>
      </c>
      <c r="K37" s="77" t="n">
        <f aca="false">SUM(K6:K36)</f>
        <v>-14991</v>
      </c>
      <c r="L37" s="28" t="n">
        <f aca="false">SUM(L6:L36)</f>
        <v>300000</v>
      </c>
      <c r="M37" s="28" t="n">
        <f aca="false">SUM(M6:M36)</f>
        <v>252119</v>
      </c>
      <c r="N37" s="77" t="n">
        <f aca="false">SUM(N6:N36)</f>
        <v>-47881</v>
      </c>
      <c r="O37" s="28" t="n">
        <f aca="false">SUM(O6:O36)</f>
        <v>150000</v>
      </c>
      <c r="P37" s="28" t="n">
        <f aca="false">SUM(P6:P36)</f>
        <v>150000</v>
      </c>
      <c r="Q37" s="77" t="n">
        <f aca="false">SUM(Q6:Q36)</f>
        <v>0</v>
      </c>
      <c r="R37" s="28" t="n">
        <f aca="false">SUM(R6:R36)</f>
        <v>150000</v>
      </c>
      <c r="S37" s="28" t="n">
        <f aca="false">SUM(S6:S36)</f>
        <v>150000</v>
      </c>
      <c r="T37" s="77" t="n">
        <f aca="false">SUM(T6:T36)</f>
        <v>0</v>
      </c>
      <c r="U37" s="28" t="n">
        <f aca="false">SUM(U6:U36)</f>
        <v>300000</v>
      </c>
      <c r="V37" s="28" t="n">
        <f aca="false">SUM(V6:V36)</f>
        <v>291714</v>
      </c>
      <c r="W37" s="77" t="n">
        <f aca="false">SUM(W6:W36)</f>
        <v>-8286</v>
      </c>
      <c r="X37" s="28" t="n">
        <f aca="false">SUM(X6:X36)</f>
        <v>600000</v>
      </c>
      <c r="Y37" s="28" t="n">
        <f aca="false">SUM(Y6:Y36)</f>
        <v>588943</v>
      </c>
      <c r="Z37" s="77" t="n">
        <f aca="false">SUM(Z6:Z36)</f>
        <v>-11057</v>
      </c>
      <c r="AA37" s="28" t="n">
        <f aca="false">SUM(AA6:AA36)</f>
        <v>150000</v>
      </c>
      <c r="AB37" s="28" t="n">
        <f aca="false">SUM(AB6:AB36)</f>
        <v>141525</v>
      </c>
      <c r="AC37" s="77" t="n">
        <f aca="false">SUM(AC6:AC36)</f>
        <v>-8475</v>
      </c>
      <c r="AD37" s="28" t="n">
        <f aca="false">SUM(AD6:AD36)</f>
        <v>450000</v>
      </c>
      <c r="AE37" s="28" t="n">
        <f aca="false">SUM(AE6:AE36)</f>
        <v>433751</v>
      </c>
      <c r="AF37" s="77" t="n">
        <f aca="false">SUM(AF6:AF36)</f>
        <v>-16249</v>
      </c>
      <c r="AG37" s="28" t="n">
        <f aca="false">SUM(AG6:AG36)</f>
        <v>150000</v>
      </c>
      <c r="AH37" s="28" t="n">
        <f aca="false">SUM(AH6:AH36)</f>
        <v>145664</v>
      </c>
      <c r="AI37" s="77" t="n">
        <f aca="false">SUM(AI6:AI36)</f>
        <v>-4336</v>
      </c>
      <c r="AJ37" s="28" t="n">
        <f aca="false">SUM(AJ6:AJ36)</f>
        <v>300000</v>
      </c>
      <c r="AK37" s="28" t="n">
        <f aca="false">SUM(AK6:AK36)</f>
        <v>281264</v>
      </c>
      <c r="AL37" s="77" t="n">
        <f aca="false">SUM(AL6:AL36)</f>
        <v>-18736</v>
      </c>
      <c r="AM37" s="28" t="n">
        <f aca="false">SUM(AM6:AM36)</f>
        <v>300000</v>
      </c>
      <c r="AN37" s="28" t="n">
        <f aca="false">SUM(AN6:AN36)</f>
        <v>264126</v>
      </c>
      <c r="AO37" s="77" t="n">
        <f aca="false">SUM(AO6:AO36)</f>
        <v>-35874</v>
      </c>
      <c r="AP37" s="28" t="n">
        <f aca="false">SUM(AP6:AP36)</f>
        <v>450000</v>
      </c>
      <c r="AQ37" s="28" t="n">
        <f aca="false">SUM(AQ6:AQ36)</f>
        <v>411169</v>
      </c>
      <c r="AR37" s="77" t="n">
        <f aca="false">SUM(AR6:AR36)</f>
        <v>-38831</v>
      </c>
      <c r="AS37" s="28" t="n">
        <f aca="false">SUM(AS6:AS36)</f>
        <v>10000</v>
      </c>
      <c r="AT37" s="28" t="n">
        <f aca="false">SUM(AT6:AT36)</f>
        <v>10000</v>
      </c>
      <c r="AU37" s="77" t="n">
        <f aca="false">SUM(AU6:AU36)</f>
        <v>0</v>
      </c>
      <c r="AV37" s="28" t="n">
        <f aca="false">SUM(AV6:AV36)</f>
        <v>6770000</v>
      </c>
      <c r="AW37" s="28" t="n">
        <f aca="false">SUM(AW6:AW36)</f>
        <v>6428285</v>
      </c>
      <c r="AX37" s="77" t="n">
        <f aca="false">SUM(AX6:AX36)</f>
        <v>-341715</v>
      </c>
      <c r="AY37" s="28" t="n">
        <f aca="false">SUM(AY6:AY36)</f>
        <v>0</v>
      </c>
      <c r="AZ37" s="28" t="n">
        <f aca="false">SUM(AZ6:AZ36)</f>
        <v>0</v>
      </c>
      <c r="BA37" s="77" t="n">
        <f aca="false">SUM(BA6:BA36)</f>
        <v>0</v>
      </c>
      <c r="BB37" s="28" t="n">
        <f aca="false">SUM(BB6:BB36)</f>
        <v>0</v>
      </c>
      <c r="BC37" s="28" t="n">
        <f aca="false">SUM(BC6:BC36)</f>
        <v>0</v>
      </c>
      <c r="BD37" s="77" t="n">
        <f aca="false">SUM(BD6:BD36)</f>
        <v>0</v>
      </c>
      <c r="BE37" s="28" t="n">
        <f aca="false">SUM(BE6:BE36)</f>
        <v>0</v>
      </c>
      <c r="BF37" s="28" t="n">
        <f aca="false">SUM(BF6:BF36)</f>
        <v>0</v>
      </c>
      <c r="BG37" s="28" t="n">
        <f aca="false">SUM(BG6:BG36)</f>
        <v>0</v>
      </c>
      <c r="BH37" s="28" t="n">
        <f aca="false">SUM(BH6:BH36)</f>
        <v>0</v>
      </c>
      <c r="BI37" s="28" t="n">
        <f aca="false">SUM(BI6:BI36)</f>
        <v>0</v>
      </c>
      <c r="BJ37" s="77" t="n">
        <f aca="false">SUM(BJ6:BJ36)</f>
        <v>0</v>
      </c>
      <c r="BK37" s="28" t="n">
        <f aca="false">SUM(BK6:BK36)</f>
        <v>0</v>
      </c>
      <c r="BL37" s="28" t="n">
        <f aca="false">SUM(BL6:BL36)</f>
        <v>0</v>
      </c>
      <c r="BM37" s="77" t="n">
        <f aca="false">SUM(BM6:BM36)</f>
        <v>0</v>
      </c>
      <c r="BN37" s="28" t="n">
        <f aca="false">SUM(BN6:BN36)</f>
        <v>0</v>
      </c>
      <c r="BO37" s="28" t="n">
        <f aca="false">SUM(BO6:BO36)</f>
        <v>0</v>
      </c>
      <c r="BP37" s="77" t="n">
        <f aca="false">SUM(BP6:BP36)</f>
        <v>0</v>
      </c>
      <c r="BQ37" s="28" t="n">
        <f aca="false">SUM(BQ6:BQ36)</f>
        <v>0</v>
      </c>
      <c r="BR37" s="28" t="n">
        <f aca="false">SUM(BR6:BR36)</f>
        <v>0</v>
      </c>
      <c r="BS37" s="77" t="n">
        <f aca="false">SUM(BS6:BS36)</f>
        <v>0</v>
      </c>
      <c r="BT37" s="28" t="n">
        <f aca="false">SUM(BT6:BT36)</f>
        <v>0</v>
      </c>
      <c r="BU37" s="28" t="n">
        <f aca="false">SUM(BU6:BU36)</f>
        <v>0</v>
      </c>
      <c r="BV37" s="77" t="n">
        <f aca="false">SUM(BV6:BV36)</f>
        <v>0</v>
      </c>
      <c r="BW37" s="28" t="n">
        <f aca="false">SUM(BW6:BW36)</f>
        <v>0</v>
      </c>
      <c r="BX37" s="28" t="n">
        <f aca="false">SUM(BX6:BX36)</f>
        <v>0</v>
      </c>
      <c r="BY37" s="77" t="n">
        <f aca="false">SUM(BY6:BY36)</f>
        <v>0</v>
      </c>
      <c r="BZ37" s="28" t="n">
        <f aca="false">SUM(BZ6:BZ36)</f>
        <v>0</v>
      </c>
      <c r="CA37" s="28" t="n">
        <f aca="false">SUM(CA6:CA36)</f>
        <v>0</v>
      </c>
      <c r="CB37" s="77" t="n">
        <f aca="false">SUM(CB6:CB36)</f>
        <v>0</v>
      </c>
      <c r="CC37" s="28" t="n">
        <f aca="false">SUM(CC6:CC36)</f>
        <v>0</v>
      </c>
      <c r="CD37" s="28" t="n">
        <f aca="false">SUM(CD6:CD36)</f>
        <v>0</v>
      </c>
      <c r="CE37" s="77" t="n">
        <f aca="false">SUM(CE6:CE36)</f>
        <v>0</v>
      </c>
      <c r="CF37" s="28" t="n">
        <f aca="false">SUM(CF6:CF36)</f>
        <v>0</v>
      </c>
      <c r="CG37" s="28" t="n">
        <f aca="false">SUM(CG6:CG36)</f>
        <v>0</v>
      </c>
      <c r="CH37" s="77" t="n">
        <f aca="false">SUM(CH6:CH36)</f>
        <v>0</v>
      </c>
      <c r="CI37" s="28" t="n">
        <f aca="false">SUM(CI6:CI36)</f>
        <v>0</v>
      </c>
      <c r="CJ37" s="28" t="n">
        <f aca="false">SUM(CJ6:CJ36)</f>
        <v>0</v>
      </c>
      <c r="CK37" s="77" t="n">
        <f aca="false">SUM(CK6:CK36)</f>
        <v>0</v>
      </c>
      <c r="CL37" s="28" t="n">
        <f aca="false">SUM(CL6:CL36)</f>
        <v>0</v>
      </c>
      <c r="CM37" s="28" t="n">
        <f aca="false">SUM(CM6:CM36)</f>
        <v>0</v>
      </c>
      <c r="CN37" s="77" t="n">
        <f aca="false">SUM(CN6:CN36)</f>
        <v>0</v>
      </c>
      <c r="CO37" s="28" t="n">
        <f aca="false">SUM(CO6:CO36)</f>
        <v>0</v>
      </c>
      <c r="CP37" s="28" t="n">
        <f aca="false">SUM(CP6:CP36)</f>
        <v>0</v>
      </c>
      <c r="CQ37" s="77" t="n">
        <f aca="false">SUM(CQ6:CQ36)</f>
        <v>0</v>
      </c>
      <c r="CR37" s="28" t="n">
        <f aca="false">SUM(CR6:CR36)</f>
        <v>0</v>
      </c>
      <c r="CS37" s="28" t="n">
        <f aca="false">SUM(CS6:CS36)</f>
        <v>0</v>
      </c>
      <c r="CT37" s="77" t="n">
        <f aca="false">SUM(CT6:CT36)</f>
        <v>0</v>
      </c>
      <c r="CU37" s="28" t="n">
        <f aca="false">SUM(CU6:CU36)</f>
        <v>0</v>
      </c>
      <c r="CV37" s="28" t="n">
        <f aca="false">SUM(CV6:CV36)</f>
        <v>0</v>
      </c>
      <c r="CW37" s="77" t="n">
        <f aca="false">SUM(CW6:CW36)</f>
        <v>0</v>
      </c>
      <c r="CX37" s="28" t="n">
        <f aca="false">SUM(CX6:CX36)</f>
        <v>0</v>
      </c>
      <c r="CY37" s="28" t="n">
        <f aca="false">SUM(CY6:CY36)</f>
        <v>0</v>
      </c>
      <c r="CZ37" s="77" t="n">
        <f aca="false">SUM(CZ6:CZ36)</f>
        <v>0</v>
      </c>
      <c r="DA37" s="28" t="n">
        <f aca="false">SUM(DA6:DA36)</f>
        <v>0</v>
      </c>
      <c r="DB37" s="28" t="n">
        <f aca="false">SUM(DB6:DB36)</f>
        <v>0</v>
      </c>
      <c r="DC37" s="77" t="n">
        <f aca="false">SUM(DC6:DC36)</f>
        <v>0</v>
      </c>
      <c r="DD37" s="28" t="n">
        <f aca="false">SUM(DD6:DD36)</f>
        <v>0</v>
      </c>
      <c r="DE37" s="28" t="n">
        <f aca="false">SUM(DE6:DE36)</f>
        <v>0</v>
      </c>
      <c r="DF37" s="77" t="n">
        <f aca="false">SUM(DF6:DF36)</f>
        <v>0</v>
      </c>
      <c r="DG37" s="28" t="n">
        <f aca="false">SUM(DG6:DG36)</f>
        <v>0</v>
      </c>
      <c r="DH37" s="28" t="n">
        <f aca="false">SUM(DH6:DH36)</f>
        <v>0</v>
      </c>
      <c r="DI37" s="77" t="n">
        <f aca="false">SUM(DI6:DI36)</f>
        <v>0</v>
      </c>
      <c r="DJ37" s="28" t="n">
        <f aca="false">SUM(DJ6:DJ36)</f>
        <v>0</v>
      </c>
      <c r="DK37" s="28" t="n">
        <f aca="false">SUM(DK6:DK36)</f>
        <v>0</v>
      </c>
      <c r="DL37" s="77" t="n">
        <f aca="false">SUM(DL6:DL36)</f>
        <v>0</v>
      </c>
      <c r="DM37" s="28" t="n">
        <f aca="false">SUM(DM6:DM36)</f>
        <v>0</v>
      </c>
      <c r="DN37" s="28" t="n">
        <f aca="false">SUM(DN6:DN36)</f>
        <v>0</v>
      </c>
      <c r="DO37" s="77" t="n">
        <f aca="false">SUM(DO6:DO36)</f>
        <v>0</v>
      </c>
      <c r="DP37" s="28" t="n">
        <f aca="false">SUM(DP6:DP36)</f>
        <v>0</v>
      </c>
      <c r="DQ37" s="28" t="n">
        <f aca="false">SUM(DQ6:DQ36)</f>
        <v>0</v>
      </c>
      <c r="DR37" s="77" t="n">
        <f aca="false">SUM(DR6:DR36)</f>
        <v>0</v>
      </c>
      <c r="DS37" s="78" t="n">
        <f aca="false">SUM(DS6:DS36)</f>
        <v>10530000</v>
      </c>
      <c r="DT37" s="77" t="n">
        <f aca="false">SUM(DT6:DT36)</f>
        <v>9968577</v>
      </c>
      <c r="DU37" s="77" t="n">
        <f aca="false">SUM(DU6:DU36)</f>
        <v>-561423</v>
      </c>
      <c r="DV37" s="28"/>
      <c r="DW37" s="28"/>
      <c r="DX37" s="28"/>
      <c r="DY37" s="79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80"/>
      <c r="EM37" s="80"/>
      <c r="EN37" s="80"/>
      <c r="EO37" s="80"/>
      <c r="EP37" s="80"/>
      <c r="EQ37" s="80"/>
      <c r="ER37" s="80"/>
      <c r="ES37" s="80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2"/>
      <c r="FQ37" s="82"/>
      <c r="FR37" s="82"/>
      <c r="FS37" s="82"/>
      <c r="FT37" s="82"/>
      <c r="FU37" s="82"/>
      <c r="FV37" s="82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4"/>
      <c r="D38" s="31"/>
      <c r="E38" s="31"/>
      <c r="G38" s="31"/>
      <c r="H38" s="31"/>
      <c r="J38" s="31"/>
      <c r="K38" s="31"/>
      <c r="M38" s="31"/>
      <c r="N38" s="31"/>
      <c r="P38" s="31"/>
      <c r="Q38" s="31"/>
      <c r="S38" s="31"/>
      <c r="T38" s="31"/>
      <c r="V38" s="31"/>
      <c r="W38" s="31"/>
      <c r="Y38" s="31"/>
      <c r="Z38" s="40"/>
      <c r="AB38" s="31"/>
      <c r="AC38" s="40"/>
      <c r="AE38" s="31"/>
      <c r="AF38" s="40"/>
      <c r="AH38" s="31"/>
      <c r="AI38" s="40"/>
      <c r="AK38" s="31"/>
      <c r="AL38" s="40"/>
      <c r="AN38" s="31"/>
      <c r="AO38" s="40"/>
      <c r="AQ38" s="31"/>
      <c r="AR38" s="40"/>
      <c r="AS38" s="4" t="s">
        <v>99</v>
      </c>
      <c r="AT38" s="31"/>
      <c r="AU38" s="40"/>
      <c r="AW38" s="31"/>
      <c r="AX38" s="31"/>
      <c r="AZ38" s="31"/>
      <c r="BA38" s="40"/>
      <c r="BC38" s="31"/>
      <c r="BD38" s="40"/>
      <c r="BF38" s="31"/>
      <c r="BG38" s="31"/>
      <c r="BI38" s="31"/>
      <c r="BJ38" s="31"/>
      <c r="BL38" s="31"/>
      <c r="BM38" s="31"/>
      <c r="BO38" s="31"/>
      <c r="BP38" s="31"/>
      <c r="BR38" s="31"/>
      <c r="BS38" s="31"/>
      <c r="BU38" s="31"/>
      <c r="BV38" s="31"/>
      <c r="BX38" s="31"/>
      <c r="BY38" s="31"/>
      <c r="CA38" s="31"/>
      <c r="CB38" s="31"/>
      <c r="CD38" s="31"/>
      <c r="CE38" s="31"/>
      <c r="CG38" s="31"/>
      <c r="CH38" s="31"/>
      <c r="CJ38" s="31"/>
      <c r="CK38" s="31"/>
      <c r="CM38" s="31"/>
      <c r="CN38" s="31"/>
      <c r="CP38" s="31"/>
      <c r="CQ38" s="31"/>
      <c r="CS38" s="31"/>
      <c r="CT38" s="31"/>
      <c r="CV38" s="31"/>
      <c r="CW38" s="31"/>
      <c r="CY38" s="31"/>
      <c r="CZ38" s="31"/>
      <c r="DB38" s="31"/>
      <c r="DC38" s="31"/>
      <c r="DE38" s="31"/>
      <c r="DF38" s="40"/>
      <c r="DH38" s="31"/>
      <c r="DI38" s="31"/>
      <c r="DK38" s="31"/>
      <c r="DL38" s="40"/>
      <c r="DN38" s="31"/>
      <c r="DO38" s="40"/>
      <c r="DQ38" s="31"/>
      <c r="DR38" s="40"/>
      <c r="DS38" s="40"/>
      <c r="DT38" s="31"/>
      <c r="DU38" s="31"/>
      <c r="DV38" s="31"/>
      <c r="DW38" s="31"/>
      <c r="DX38" s="31"/>
      <c r="DY38" s="85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86"/>
      <c r="EM38" s="86"/>
      <c r="EN38" s="86"/>
      <c r="EO38" s="86"/>
      <c r="EP38" s="86"/>
      <c r="EQ38" s="86"/>
      <c r="ER38" s="86"/>
      <c r="ES38" s="86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8"/>
      <c r="FQ38" s="88"/>
      <c r="FR38" s="88"/>
      <c r="FS38" s="88"/>
      <c r="FT38" s="88"/>
      <c r="FU38" s="88"/>
      <c r="FV38" s="88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90" t="n">
        <v>1</v>
      </c>
      <c r="B39" s="38" t="n">
        <f aca="false">1+A39</f>
        <v>2</v>
      </c>
      <c r="C39" s="38" t="n">
        <f aca="false">1+B39</f>
        <v>3</v>
      </c>
      <c r="D39" s="38" t="n">
        <f aca="false">1+C39</f>
        <v>4</v>
      </c>
      <c r="E39" s="38" t="n">
        <f aca="false">1+D39</f>
        <v>5</v>
      </c>
      <c r="F39" s="38" t="n">
        <f aca="false">1+E39</f>
        <v>6</v>
      </c>
      <c r="G39" s="38" t="n">
        <f aca="false">1+F39</f>
        <v>7</v>
      </c>
      <c r="H39" s="38" t="n">
        <f aca="false">1+G39</f>
        <v>8</v>
      </c>
      <c r="I39" s="38" t="n">
        <f aca="false">1+H39</f>
        <v>9</v>
      </c>
      <c r="J39" s="38" t="n">
        <f aca="false">1+I39</f>
        <v>10</v>
      </c>
      <c r="K39" s="38" t="n">
        <f aca="false">1+J39</f>
        <v>11</v>
      </c>
      <c r="L39" s="38" t="n">
        <f aca="false">1+K39</f>
        <v>12</v>
      </c>
      <c r="M39" s="38" t="n">
        <f aca="false">1+L39</f>
        <v>13</v>
      </c>
      <c r="N39" s="38" t="n">
        <f aca="false">1+M39</f>
        <v>14</v>
      </c>
      <c r="O39" s="38" t="n">
        <f aca="false">1+N39</f>
        <v>15</v>
      </c>
      <c r="P39" s="38" t="n">
        <f aca="false">1+O39</f>
        <v>16</v>
      </c>
      <c r="Q39" s="38" t="n">
        <f aca="false">1+P39</f>
        <v>17</v>
      </c>
      <c r="R39" s="38" t="n">
        <f aca="false">1+Q39</f>
        <v>18</v>
      </c>
      <c r="S39" s="38" t="n">
        <f aca="false">1+R39</f>
        <v>19</v>
      </c>
      <c r="T39" s="38" t="n">
        <f aca="false">1+S39</f>
        <v>20</v>
      </c>
      <c r="U39" s="38" t="n">
        <f aca="false">1+T39</f>
        <v>21</v>
      </c>
      <c r="V39" s="38" t="n">
        <f aca="false">1+U39</f>
        <v>22</v>
      </c>
      <c r="W39" s="38" t="n">
        <f aca="false">1+V39</f>
        <v>23</v>
      </c>
      <c r="X39" s="38" t="n">
        <f aca="false">1+W39</f>
        <v>24</v>
      </c>
      <c r="Y39" s="38" t="n">
        <f aca="false">1+X39</f>
        <v>25</v>
      </c>
      <c r="Z39" s="38" t="n">
        <f aca="false">1+Y39</f>
        <v>26</v>
      </c>
      <c r="AA39" s="38" t="n">
        <f aca="false">1+Z39</f>
        <v>27</v>
      </c>
      <c r="AB39" s="38" t="n">
        <f aca="false">1+AA39</f>
        <v>28</v>
      </c>
      <c r="AC39" s="38" t="n">
        <f aca="false">1+AB39</f>
        <v>29</v>
      </c>
      <c r="AD39" s="38" t="n">
        <f aca="false">1+AC39</f>
        <v>30</v>
      </c>
      <c r="AE39" s="38" t="n">
        <f aca="false">1+AD39</f>
        <v>31</v>
      </c>
      <c r="AF39" s="38" t="n">
        <f aca="false">1+AE39</f>
        <v>32</v>
      </c>
      <c r="AG39" s="38" t="n">
        <f aca="false">1+AF39</f>
        <v>33</v>
      </c>
      <c r="AH39" s="38" t="n">
        <f aca="false">1+AG39</f>
        <v>34</v>
      </c>
      <c r="AI39" s="38" t="n">
        <f aca="false">1+AH39</f>
        <v>35</v>
      </c>
      <c r="AJ39" s="38" t="n">
        <f aca="false">1+AI39</f>
        <v>36</v>
      </c>
      <c r="AK39" s="38" t="n">
        <f aca="false">1+AJ39</f>
        <v>37</v>
      </c>
      <c r="AL39" s="38" t="n">
        <f aca="false">1+AK39</f>
        <v>38</v>
      </c>
      <c r="AM39" s="38" t="n">
        <f aca="false">1+AL39</f>
        <v>39</v>
      </c>
      <c r="AN39" s="38" t="n">
        <f aca="false">1+AM39</f>
        <v>40</v>
      </c>
      <c r="AO39" s="38" t="n">
        <f aca="false">1+AN39</f>
        <v>41</v>
      </c>
      <c r="AP39" s="38" t="n">
        <f aca="false">1+AO39</f>
        <v>42</v>
      </c>
      <c r="AQ39" s="38" t="n">
        <f aca="false">1+AP39</f>
        <v>43</v>
      </c>
      <c r="AR39" s="38" t="n">
        <f aca="false">1+AQ39</f>
        <v>44</v>
      </c>
      <c r="AS39" s="38" t="n">
        <f aca="false">1+AR39</f>
        <v>45</v>
      </c>
      <c r="AT39" s="38" t="n">
        <f aca="false">1+AS39</f>
        <v>46</v>
      </c>
      <c r="AU39" s="38" t="n">
        <f aca="false">1+AT39</f>
        <v>47</v>
      </c>
      <c r="AV39" s="38" t="n">
        <f aca="false">1+AU39</f>
        <v>48</v>
      </c>
      <c r="AW39" s="38" t="n">
        <f aca="false">1+AV39</f>
        <v>49</v>
      </c>
      <c r="AX39" s="38" t="n">
        <f aca="false">1+AW39</f>
        <v>50</v>
      </c>
      <c r="AY39" s="38" t="n">
        <f aca="false">1+AX39</f>
        <v>51</v>
      </c>
      <c r="AZ39" s="38" t="n">
        <f aca="false">1+AY39</f>
        <v>52</v>
      </c>
      <c r="BA39" s="38" t="n">
        <f aca="false">1+AZ39</f>
        <v>53</v>
      </c>
      <c r="BB39" s="38" t="n">
        <f aca="false">1+BA39</f>
        <v>54</v>
      </c>
      <c r="BC39" s="38" t="n">
        <f aca="false">1+BB39</f>
        <v>55</v>
      </c>
      <c r="BD39" s="38" t="n">
        <f aca="false">1+BC39</f>
        <v>56</v>
      </c>
      <c r="BE39" s="38" t="n">
        <f aca="false">1+BD39</f>
        <v>57</v>
      </c>
      <c r="BF39" s="38" t="n">
        <f aca="false">1+BE39</f>
        <v>58</v>
      </c>
      <c r="BG39" s="38" t="n">
        <f aca="false">1+BF39</f>
        <v>59</v>
      </c>
      <c r="BH39" s="38" t="n">
        <f aca="false">1+BG39</f>
        <v>60</v>
      </c>
      <c r="BI39" s="38" t="n">
        <f aca="false">1+BH39</f>
        <v>61</v>
      </c>
      <c r="BJ39" s="38" t="n">
        <f aca="false">1+BI39</f>
        <v>62</v>
      </c>
      <c r="BK39" s="38" t="n">
        <f aca="false">1+BJ39</f>
        <v>63</v>
      </c>
      <c r="BL39" s="38" t="n">
        <f aca="false">1+BK39</f>
        <v>64</v>
      </c>
      <c r="BM39" s="38" t="n">
        <f aca="false">1+BL39</f>
        <v>65</v>
      </c>
      <c r="BN39" s="38" t="n">
        <f aca="false">1+BM39</f>
        <v>66</v>
      </c>
      <c r="BO39" s="38" t="n">
        <f aca="false">1+BN39</f>
        <v>67</v>
      </c>
      <c r="BP39" s="38" t="n">
        <f aca="false">1+BO39</f>
        <v>68</v>
      </c>
      <c r="BQ39" s="38" t="n">
        <f aca="false">1+BP39</f>
        <v>69</v>
      </c>
      <c r="BR39" s="38" t="n">
        <f aca="false">1+BQ39</f>
        <v>70</v>
      </c>
      <c r="BS39" s="38" t="n">
        <f aca="false">1+BR39</f>
        <v>71</v>
      </c>
      <c r="BT39" s="38" t="n">
        <f aca="false">1+BS39</f>
        <v>72</v>
      </c>
      <c r="BU39" s="38" t="n">
        <f aca="false">1+BT39</f>
        <v>73</v>
      </c>
      <c r="BV39" s="38" t="n">
        <f aca="false">1+BU39</f>
        <v>74</v>
      </c>
      <c r="BW39" s="38" t="n">
        <f aca="false">1+BV39</f>
        <v>75</v>
      </c>
      <c r="BX39" s="38" t="n">
        <f aca="false">1+BW39</f>
        <v>76</v>
      </c>
      <c r="BY39" s="38" t="n">
        <f aca="false">1+BX39</f>
        <v>77</v>
      </c>
      <c r="BZ39" s="38" t="n">
        <f aca="false">1+BY39</f>
        <v>78</v>
      </c>
      <c r="CA39" s="38" t="n">
        <f aca="false">1+BZ39</f>
        <v>79</v>
      </c>
      <c r="CB39" s="38" t="n">
        <f aca="false">1+CA39</f>
        <v>80</v>
      </c>
      <c r="CC39" s="38" t="n">
        <f aca="false">1+CB39</f>
        <v>81</v>
      </c>
      <c r="CD39" s="38" t="n">
        <f aca="false">1+CC39</f>
        <v>82</v>
      </c>
      <c r="CE39" s="38" t="n">
        <f aca="false">1+CD39</f>
        <v>83</v>
      </c>
      <c r="CF39" s="38" t="n">
        <f aca="false">1+CE39</f>
        <v>84</v>
      </c>
      <c r="CG39" s="38" t="n">
        <f aca="false">1+CF39</f>
        <v>85</v>
      </c>
      <c r="CH39" s="38" t="n">
        <f aca="false">1+CG39</f>
        <v>86</v>
      </c>
      <c r="CI39" s="38" t="n">
        <f aca="false">1+CH39</f>
        <v>87</v>
      </c>
      <c r="CJ39" s="38" t="n">
        <f aca="false">1+CI39</f>
        <v>88</v>
      </c>
      <c r="CK39" s="38" t="n">
        <f aca="false">1+CJ39</f>
        <v>89</v>
      </c>
      <c r="CL39" s="38" t="n">
        <f aca="false">1+CK39</f>
        <v>90</v>
      </c>
      <c r="CM39" s="38" t="n">
        <f aca="false">1+CL39</f>
        <v>91</v>
      </c>
      <c r="CN39" s="38" t="n">
        <f aca="false">1+CM39</f>
        <v>92</v>
      </c>
      <c r="CO39" s="38" t="n">
        <f aca="false">1+CN39</f>
        <v>93</v>
      </c>
      <c r="CP39" s="38" t="n">
        <f aca="false">1+CO39</f>
        <v>94</v>
      </c>
      <c r="CQ39" s="38" t="n">
        <f aca="false">1+CP39</f>
        <v>95</v>
      </c>
      <c r="CR39" s="38" t="n">
        <f aca="false">1+CQ39</f>
        <v>96</v>
      </c>
      <c r="CS39" s="38" t="n">
        <f aca="false">1+CR39</f>
        <v>97</v>
      </c>
      <c r="CT39" s="38" t="n">
        <f aca="false">1+CS39</f>
        <v>98</v>
      </c>
      <c r="CU39" s="38" t="n">
        <f aca="false">1+CT39</f>
        <v>99</v>
      </c>
      <c r="CV39" s="38" t="n">
        <f aca="false">1+CU39</f>
        <v>100</v>
      </c>
      <c r="CW39" s="38" t="n">
        <f aca="false">1+CV39</f>
        <v>101</v>
      </c>
      <c r="CX39" s="38" t="n">
        <f aca="false">1+CW39</f>
        <v>102</v>
      </c>
      <c r="CY39" s="38" t="n">
        <f aca="false">1+CX39</f>
        <v>103</v>
      </c>
      <c r="CZ39" s="38" t="n">
        <f aca="false">1+CY39</f>
        <v>104</v>
      </c>
      <c r="DA39" s="38" t="n">
        <f aca="false">1+CZ39</f>
        <v>105</v>
      </c>
      <c r="DB39" s="38" t="n">
        <f aca="false">1+DA39</f>
        <v>106</v>
      </c>
      <c r="DC39" s="38" t="n">
        <f aca="false">1+DB39</f>
        <v>107</v>
      </c>
      <c r="DD39" s="38" t="n">
        <f aca="false">1+DC39</f>
        <v>108</v>
      </c>
      <c r="DE39" s="38" t="n">
        <f aca="false">1+DD39</f>
        <v>109</v>
      </c>
      <c r="DF39" s="38" t="n">
        <f aca="false">1+DE39</f>
        <v>110</v>
      </c>
      <c r="DG39" s="38" t="n">
        <f aca="false">1+DF39</f>
        <v>111</v>
      </c>
      <c r="DH39" s="38" t="n">
        <f aca="false">1+DG39</f>
        <v>112</v>
      </c>
      <c r="DI39" s="38" t="n">
        <f aca="false">1+DH39</f>
        <v>113</v>
      </c>
      <c r="DJ39" s="38" t="n">
        <f aca="false">1+DI39</f>
        <v>114</v>
      </c>
      <c r="DK39" s="38" t="n">
        <f aca="false">1+DJ39</f>
        <v>115</v>
      </c>
      <c r="DL39" s="38" t="n">
        <f aca="false">1+DK39</f>
        <v>116</v>
      </c>
      <c r="DM39" s="38" t="n">
        <f aca="false">1+DL39</f>
        <v>117</v>
      </c>
      <c r="DN39" s="38" t="n">
        <f aca="false">1+DM39</f>
        <v>118</v>
      </c>
      <c r="DO39" s="38" t="n">
        <f aca="false">1+DN39</f>
        <v>119</v>
      </c>
      <c r="DP39" s="38" t="n">
        <f aca="false">1+DO39</f>
        <v>120</v>
      </c>
      <c r="DQ39" s="38" t="n">
        <f aca="false">1+DP39</f>
        <v>121</v>
      </c>
      <c r="DR39" s="38" t="n">
        <f aca="false">1+DQ39</f>
        <v>122</v>
      </c>
      <c r="DS39" s="38" t="n">
        <f aca="false">1+DR39</f>
        <v>123</v>
      </c>
      <c r="DT39" s="38" t="n">
        <f aca="false">1+DS39</f>
        <v>124</v>
      </c>
      <c r="DU39" s="38" t="n">
        <f aca="false">1+DT39</f>
        <v>125</v>
      </c>
      <c r="DV39" s="38" t="n">
        <f aca="false">1+DU39</f>
        <v>126</v>
      </c>
      <c r="DW39" s="38" t="n">
        <f aca="false">1+DV39</f>
        <v>127</v>
      </c>
      <c r="DX39" s="38" t="n">
        <f aca="false">1+DW39</f>
        <v>128</v>
      </c>
      <c r="DY39" s="38" t="n">
        <f aca="false">1+DX39</f>
        <v>129</v>
      </c>
      <c r="DZ39" s="38" t="n">
        <f aca="false">1+DY39</f>
        <v>130</v>
      </c>
      <c r="EA39" s="38" t="n">
        <f aca="false">1+DZ39</f>
        <v>131</v>
      </c>
      <c r="EB39" s="38" t="n">
        <f aca="false">1+EA39</f>
        <v>132</v>
      </c>
      <c r="EC39" s="38" t="n">
        <f aca="false">1+EB39</f>
        <v>133</v>
      </c>
      <c r="ED39" s="38" t="n">
        <f aca="false">1+EC39</f>
        <v>134</v>
      </c>
      <c r="EE39" s="38" t="n">
        <f aca="false">1+ED39</f>
        <v>135</v>
      </c>
      <c r="EF39" s="38" t="n">
        <f aca="false">1+EE39</f>
        <v>136</v>
      </c>
      <c r="EG39" s="38" t="n">
        <f aca="false">1+EF39</f>
        <v>137</v>
      </c>
      <c r="EH39" s="38" t="n">
        <f aca="false">1+EG39</f>
        <v>138</v>
      </c>
      <c r="EI39" s="38" t="n">
        <f aca="false">1+EH39</f>
        <v>139</v>
      </c>
      <c r="EJ39" s="38" t="n">
        <f aca="false">1+EI39</f>
        <v>140</v>
      </c>
      <c r="EK39" s="38" t="n">
        <f aca="false">1+EJ39</f>
        <v>141</v>
      </c>
      <c r="EL39" s="38" t="n">
        <f aca="false">1+EK39</f>
        <v>142</v>
      </c>
      <c r="EM39" s="38" t="n">
        <f aca="false">1+EL39</f>
        <v>143</v>
      </c>
      <c r="EN39" s="38" t="n">
        <f aca="false">1+EM39</f>
        <v>144</v>
      </c>
      <c r="EO39" s="38" t="n">
        <f aca="false">1+EN39</f>
        <v>145</v>
      </c>
      <c r="EP39" s="38" t="n">
        <f aca="false">1+EO39</f>
        <v>146</v>
      </c>
      <c r="EQ39" s="38" t="n">
        <f aca="false">1+EP39</f>
        <v>147</v>
      </c>
      <c r="ER39" s="38" t="n">
        <f aca="false">1+EQ39</f>
        <v>148</v>
      </c>
      <c r="ES39" s="38" t="n">
        <f aca="false">1+ER39</f>
        <v>149</v>
      </c>
      <c r="ET39" s="38" t="n">
        <f aca="false">1+ES39</f>
        <v>150</v>
      </c>
      <c r="EU39" s="38" t="n">
        <f aca="false">1+ET39</f>
        <v>151</v>
      </c>
      <c r="EV39" s="38" t="n">
        <f aca="false">1+EU39</f>
        <v>152</v>
      </c>
      <c r="EW39" s="38" t="n">
        <f aca="false">1+EV39</f>
        <v>153</v>
      </c>
      <c r="EX39" s="38" t="n">
        <f aca="false">1+EW39</f>
        <v>154</v>
      </c>
      <c r="EY39" s="38" t="n">
        <f aca="false">1+EX39</f>
        <v>155</v>
      </c>
      <c r="EZ39" s="38" t="n">
        <f aca="false">1+EY39</f>
        <v>156</v>
      </c>
      <c r="FA39" s="38" t="n">
        <f aca="false">1+EZ39</f>
        <v>157</v>
      </c>
      <c r="FB39" s="38" t="n">
        <f aca="false">1+FA39</f>
        <v>158</v>
      </c>
      <c r="FC39" s="38" t="n">
        <f aca="false">1+FB39</f>
        <v>159</v>
      </c>
      <c r="FD39" s="38" t="n">
        <f aca="false">1+FC39</f>
        <v>160</v>
      </c>
      <c r="FE39" s="38" t="n">
        <f aca="false">1+FD39</f>
        <v>161</v>
      </c>
      <c r="FF39" s="38" t="n">
        <f aca="false">1+FE39</f>
        <v>162</v>
      </c>
      <c r="FG39" s="38" t="n">
        <f aca="false">1+FF39</f>
        <v>163</v>
      </c>
      <c r="FH39" s="38" t="n">
        <f aca="false">1+FG39</f>
        <v>164</v>
      </c>
      <c r="FI39" s="38" t="n">
        <f aca="false">1+FH39</f>
        <v>165</v>
      </c>
      <c r="FJ39" s="38" t="n">
        <f aca="false">1+FI39</f>
        <v>166</v>
      </c>
      <c r="FK39" s="38" t="n">
        <f aca="false">1+FJ39</f>
        <v>167</v>
      </c>
      <c r="FL39" s="38" t="n">
        <f aca="false">1+FK39</f>
        <v>168</v>
      </c>
      <c r="FM39" s="38" t="n">
        <f aca="false">1+FL39</f>
        <v>169</v>
      </c>
      <c r="FN39" s="38" t="n">
        <f aca="false">1+FM39</f>
        <v>170</v>
      </c>
      <c r="FO39" s="38" t="n">
        <f aca="false">1+FN39</f>
        <v>171</v>
      </c>
      <c r="FP39" s="38" t="n">
        <f aca="false">1+FO39</f>
        <v>172</v>
      </c>
      <c r="FQ39" s="38" t="n">
        <f aca="false">1+FP39</f>
        <v>173</v>
      </c>
      <c r="FR39" s="38" t="n">
        <f aca="false">1+FQ39</f>
        <v>174</v>
      </c>
      <c r="FS39" s="38" t="n">
        <f aca="false">1+FR39</f>
        <v>175</v>
      </c>
      <c r="FT39" s="38" t="n">
        <f aca="false">1+FS39</f>
        <v>176</v>
      </c>
      <c r="FU39" s="38" t="n">
        <f aca="false">1+FT39</f>
        <v>177</v>
      </c>
      <c r="FV39" s="38" t="n">
        <f aca="false">1+FU39</f>
        <v>178</v>
      </c>
      <c r="FW39" s="38" t="n">
        <f aca="false">1+FV39</f>
        <v>179</v>
      </c>
      <c r="FX39" s="38" t="n">
        <f aca="false">1+FW39</f>
        <v>180</v>
      </c>
      <c r="FY39" s="38" t="n">
        <f aca="false">1+FX39</f>
        <v>181</v>
      </c>
      <c r="FZ39" s="38" t="n">
        <f aca="false">1+FY39</f>
        <v>182</v>
      </c>
      <c r="GA39" s="38" t="n">
        <f aca="false">1+FZ39</f>
        <v>183</v>
      </c>
      <c r="GB39" s="38" t="n">
        <f aca="false">1+GA39</f>
        <v>184</v>
      </c>
      <c r="GC39" s="38" t="n">
        <f aca="false">1+GB39</f>
        <v>185</v>
      </c>
      <c r="GD39" s="38" t="n">
        <f aca="false">1+GC39</f>
        <v>186</v>
      </c>
      <c r="GE39" s="38" t="n">
        <f aca="false">1+GD39</f>
        <v>187</v>
      </c>
      <c r="GF39" s="38" t="n">
        <f aca="false">1+GE39</f>
        <v>188</v>
      </c>
      <c r="GG39" s="38" t="n">
        <f aca="false">1+GF39</f>
        <v>189</v>
      </c>
      <c r="GH39" s="38" t="n">
        <f aca="false">1+GG39</f>
        <v>190</v>
      </c>
      <c r="GI39" s="38" t="n">
        <f aca="false">1+GH39</f>
        <v>191</v>
      </c>
      <c r="GJ39" s="38" t="n">
        <f aca="false">1+GI39</f>
        <v>192</v>
      </c>
      <c r="GK39" s="38" t="n">
        <f aca="false">1+GJ39</f>
        <v>193</v>
      </c>
      <c r="GL39" s="38" t="n">
        <f aca="false">1+GK39</f>
        <v>194</v>
      </c>
      <c r="GM39" s="38" t="n">
        <f aca="false">1+GL39</f>
        <v>195</v>
      </c>
      <c r="GN39" s="38" t="n">
        <f aca="false">1+GM39</f>
        <v>196</v>
      </c>
      <c r="GO39" s="38" t="n">
        <f aca="false">1+GN39</f>
        <v>197</v>
      </c>
      <c r="GP39" s="38" t="n">
        <f aca="false">1+GO39</f>
        <v>198</v>
      </c>
      <c r="GQ39" s="38" t="n">
        <f aca="false">1+GP39</f>
        <v>199</v>
      </c>
      <c r="GR39" s="38" t="n">
        <f aca="false">1+GQ39</f>
        <v>200</v>
      </c>
      <c r="GS39" s="38" t="n">
        <f aca="false">1+GR39</f>
        <v>201</v>
      </c>
      <c r="GT39" s="38" t="n">
        <f aca="false">1+GS39</f>
        <v>202</v>
      </c>
      <c r="GU39" s="38" t="n">
        <f aca="false">1+GT39</f>
        <v>203</v>
      </c>
      <c r="GV39" s="38" t="n">
        <f aca="false">1+GU39</f>
        <v>204</v>
      </c>
      <c r="GW39" s="38" t="n">
        <f aca="false">1+GV39</f>
        <v>205</v>
      </c>
      <c r="GX39" s="38" t="n">
        <f aca="false">1+GW39</f>
        <v>206</v>
      </c>
      <c r="GY39" s="38" t="n">
        <f aca="false">1+GX39</f>
        <v>207</v>
      </c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2.75" hidden="false" customHeight="false" outlineLevel="0" collapsed="false">
      <c r="A40" s="42"/>
      <c r="DS40" s="40"/>
    </row>
    <row r="41" customFormat="false" ht="12.75" hidden="false" customHeight="false" outlineLevel="0" collapsed="false">
      <c r="A41" s="42"/>
    </row>
    <row r="42" customFormat="false" ht="12.75" hidden="false" customHeight="false" outlineLevel="0" collapsed="false">
      <c r="A42" s="42"/>
    </row>
    <row r="43" customFormat="false" ht="12.75" hidden="false" customHeight="false" outlineLevel="0" collapsed="false">
      <c r="A43" s="42"/>
    </row>
    <row r="44" customFormat="false" ht="12.75" hidden="false" customHeight="false" outlineLevel="0" collapsed="false">
      <c r="A44" s="0"/>
      <c r="B44" s="0"/>
      <c r="D44" s="0"/>
      <c r="E44" s="0"/>
      <c r="G44" s="0"/>
      <c r="H44" s="0"/>
      <c r="J44" s="0"/>
      <c r="K44" s="0"/>
      <c r="M44" s="0"/>
      <c r="N44" s="0"/>
      <c r="P44" s="0"/>
      <c r="Q44" s="0"/>
      <c r="S44" s="0"/>
      <c r="T44" s="0"/>
      <c r="V44" s="0"/>
      <c r="W44" s="0"/>
      <c r="Y44" s="0"/>
      <c r="Z44" s="0"/>
      <c r="AB44" s="0"/>
      <c r="AC44" s="0"/>
      <c r="AE44" s="0"/>
      <c r="AF44" s="0"/>
      <c r="AH44" s="0"/>
      <c r="AI44" s="0"/>
      <c r="AK44" s="0"/>
      <c r="AL44" s="0"/>
      <c r="AN44" s="0"/>
      <c r="AO44" s="0"/>
      <c r="AQ44" s="0"/>
      <c r="AR44" s="0"/>
      <c r="AT44" s="0"/>
      <c r="AU44" s="0"/>
      <c r="AW44" s="0"/>
      <c r="AX44" s="0"/>
      <c r="AZ44" s="0"/>
      <c r="BA44" s="0"/>
      <c r="BC44" s="0"/>
      <c r="BD44" s="0"/>
      <c r="BF44" s="0"/>
      <c r="BG44" s="0"/>
      <c r="BI44" s="0"/>
      <c r="BJ44" s="0"/>
      <c r="BL44" s="0"/>
      <c r="BM44" s="0"/>
      <c r="BO44" s="0"/>
      <c r="BP44" s="0"/>
      <c r="BR44" s="0"/>
      <c r="BS44" s="0"/>
      <c r="BU44" s="0"/>
      <c r="BV44" s="0"/>
      <c r="BX44" s="0"/>
      <c r="BY44" s="0"/>
      <c r="CA44" s="0"/>
      <c r="CB44" s="0"/>
      <c r="CD44" s="0"/>
      <c r="CE44" s="0"/>
      <c r="CG44" s="0"/>
      <c r="CH44" s="0"/>
      <c r="CJ44" s="0"/>
      <c r="CK44" s="0"/>
      <c r="CM44" s="0"/>
      <c r="CN44" s="0"/>
      <c r="CP44" s="0"/>
      <c r="CQ44" s="0"/>
      <c r="CS44" s="0"/>
      <c r="CT44" s="0"/>
      <c r="CV44" s="0"/>
      <c r="CW44" s="0"/>
      <c r="CY44" s="0"/>
      <c r="CZ44" s="0"/>
      <c r="DB44" s="0"/>
      <c r="DC44" s="0"/>
      <c r="DE44" s="0"/>
      <c r="DF44" s="0"/>
      <c r="DH44" s="0"/>
      <c r="DI44" s="0"/>
      <c r="DK44" s="0"/>
      <c r="DL44" s="0"/>
      <c r="DN44" s="0"/>
      <c r="DO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2"/>
    </row>
    <row r="46" customFormat="false" ht="12.75" hidden="false" customHeight="false" outlineLevel="0" collapsed="false">
      <c r="A46" s="42"/>
    </row>
    <row r="47" customFormat="false" ht="12.75" hidden="false" customHeight="false" outlineLevel="0" collapsed="false">
      <c r="A47" s="42"/>
    </row>
    <row r="48" customFormat="false" ht="12.75" hidden="false" customHeight="false" outlineLevel="0" collapsed="false">
      <c r="A48" s="42"/>
    </row>
    <row r="49" customFormat="false" ht="12.75" hidden="false" customHeight="false" outlineLevel="0" collapsed="false">
      <c r="A49" s="42"/>
    </row>
    <row r="50" customFormat="false" ht="12.75" hidden="false" customHeight="false" outlineLevel="0" collapsed="false">
      <c r="A50" s="42"/>
    </row>
    <row r="51" customFormat="false" ht="12.75" hidden="false" customHeight="false" outlineLevel="0" collapsed="false">
      <c r="A51" s="42"/>
    </row>
    <row r="52" customFormat="false" ht="12.75" hidden="false" customHeight="false" outlineLevel="0" collapsed="false">
      <c r="A52" s="42"/>
    </row>
    <row r="53" customFormat="false" ht="12.75" hidden="false" customHeight="false" outlineLevel="0" collapsed="false">
      <c r="A53" s="42"/>
    </row>
    <row r="54" customFormat="false" ht="12.75" hidden="false" customHeight="false" outlineLevel="0" collapsed="false">
      <c r="A54" s="42"/>
    </row>
    <row r="55" customFormat="false" ht="12.75" hidden="false" customHeight="false" outlineLevel="0" collapsed="false">
      <c r="A55" s="42"/>
    </row>
    <row r="56" customFormat="false" ht="12.75" hidden="false" customHeight="false" outlineLevel="0" collapsed="false">
      <c r="A56" s="42"/>
    </row>
    <row r="57" customFormat="false" ht="12.75" hidden="false" customHeight="false" outlineLevel="0" collapsed="false">
      <c r="A57" s="42"/>
    </row>
    <row r="58" customFormat="false" ht="12.75" hidden="false" customHeight="false" outlineLevel="0" collapsed="false">
      <c r="A58" s="42"/>
    </row>
    <row r="59" customFormat="false" ht="12.75" hidden="false" customHeight="false" outlineLevel="0" collapsed="false">
      <c r="A59" s="42"/>
    </row>
    <row r="60" customFormat="false" ht="12.75" hidden="false" customHeight="false" outlineLevel="0" collapsed="false">
      <c r="A60" s="42"/>
    </row>
    <row r="61" customFormat="false" ht="12.75" hidden="false" customHeight="false" outlineLevel="0" collapsed="false">
      <c r="A61" s="42"/>
    </row>
    <row r="62" customFormat="false" ht="12.75" hidden="false" customHeight="false" outlineLevel="0" collapsed="false">
      <c r="A62" s="42"/>
    </row>
    <row r="63" customFormat="false" ht="12.75" hidden="false" customHeight="false" outlineLevel="0" collapsed="false">
      <c r="A63" s="42"/>
    </row>
    <row r="64" customFormat="false" ht="12.75" hidden="false" customHeight="false" outlineLevel="0" collapsed="false">
      <c r="A64" s="42"/>
    </row>
    <row r="65" customFormat="false" ht="12.75" hidden="false" customHeight="false" outlineLevel="0" collapsed="false">
      <c r="A65" s="42"/>
    </row>
    <row r="66" customFormat="false" ht="12.75" hidden="false" customHeight="false" outlineLevel="0" collapsed="false">
      <c r="A66" s="42"/>
    </row>
    <row r="67" customFormat="false" ht="12.75" hidden="false" customHeight="false" outlineLevel="0" collapsed="false">
      <c r="A67" s="42"/>
    </row>
    <row r="68" customFormat="false" ht="12.75" hidden="false" customHeight="false" outlineLevel="0" collapsed="false">
      <c r="A68" s="42"/>
    </row>
    <row r="69" customFormat="false" ht="12.75" hidden="false" customHeight="false" outlineLevel="0" collapsed="false">
      <c r="A69" s="42"/>
    </row>
    <row r="70" customFormat="false" ht="12.75" hidden="false" customHeight="false" outlineLevel="0" collapsed="false">
      <c r="A70" s="42"/>
    </row>
    <row r="71" customFormat="false" ht="12.75" hidden="false" customHeight="false" outlineLevel="0" collapsed="false">
      <c r="A71" s="42"/>
    </row>
    <row r="72" customFormat="false" ht="12.75" hidden="false" customHeight="false" outlineLevel="0" collapsed="false">
      <c r="A72" s="42"/>
    </row>
    <row r="73" customFormat="false" ht="12.75" hidden="false" customHeight="false" outlineLevel="0" collapsed="false">
      <c r="A73" s="42"/>
    </row>
    <row r="74" customFormat="false" ht="12.75" hidden="false" customHeight="false" outlineLevel="0" collapsed="false">
      <c r="A74" s="42"/>
    </row>
    <row r="75" customFormat="false" ht="12.75" hidden="false" customHeight="false" outlineLevel="0" collapsed="false">
      <c r="A75" s="42"/>
    </row>
    <row r="76" customFormat="false" ht="12.75" hidden="false" customHeight="false" outlineLevel="0" collapsed="false">
      <c r="A76" s="42"/>
    </row>
    <row r="77" customFormat="false" ht="12.75" hidden="false" customHeight="false" outlineLevel="0" collapsed="false">
      <c r="A77" s="42"/>
    </row>
    <row r="78" customFormat="false" ht="12.75" hidden="false" customHeight="false" outlineLevel="0" collapsed="false">
      <c r="A78" s="42"/>
    </row>
    <row r="79" customFormat="false" ht="12.75" hidden="false" customHeight="false" outlineLevel="0" collapsed="false">
      <c r="A79" s="42"/>
    </row>
    <row r="80" customFormat="false" ht="12.75" hidden="false" customHeight="false" outlineLevel="0" collapsed="false">
      <c r="A80" s="42"/>
    </row>
    <row r="81" customFormat="false" ht="12.75" hidden="false" customHeight="false" outlineLevel="0" collapsed="false">
      <c r="A81" s="42"/>
    </row>
    <row r="82" customFormat="false" ht="12.75" hidden="false" customHeight="false" outlineLevel="0" collapsed="false">
      <c r="A82" s="42"/>
    </row>
    <row r="83" customFormat="false" ht="12.75" hidden="false" customHeight="false" outlineLevel="0" collapsed="false">
      <c r="A83" s="42"/>
    </row>
    <row r="84" customFormat="false" ht="12.75" hidden="false" customHeight="false" outlineLevel="0" collapsed="false">
      <c r="A84" s="42"/>
    </row>
    <row r="85" customFormat="false" ht="12.75" hidden="false" customHeight="false" outlineLevel="0" collapsed="false">
      <c r="A85" s="42"/>
    </row>
    <row r="86" customFormat="false" ht="12.75" hidden="false" customHeight="false" outlineLevel="0" collapsed="false">
      <c r="A86" s="42"/>
    </row>
    <row r="87" customFormat="false" ht="12.75" hidden="false" customHeight="false" outlineLevel="0" collapsed="false">
      <c r="A87" s="42"/>
    </row>
    <row r="88" customFormat="false" ht="12.75" hidden="false" customHeight="false" outlineLevel="0" collapsed="false">
      <c r="A88" s="42"/>
    </row>
    <row r="89" customFormat="false" ht="12.75" hidden="false" customHeight="false" outlineLevel="0" collapsed="false">
      <c r="A89" s="42"/>
    </row>
    <row r="90" customFormat="false" ht="12.75" hidden="false" customHeight="false" outlineLevel="0" collapsed="false">
      <c r="A90" s="42"/>
    </row>
    <row r="91" customFormat="false" ht="12.75" hidden="false" customHeight="false" outlineLevel="0" collapsed="false">
      <c r="A91" s="42"/>
    </row>
    <row r="92" customFormat="false" ht="12.75" hidden="false" customHeight="false" outlineLevel="0" collapsed="false">
      <c r="A92" s="42"/>
    </row>
    <row r="93" customFormat="false" ht="12.75" hidden="false" customHeight="false" outlineLevel="0" collapsed="false">
      <c r="A93" s="42"/>
    </row>
    <row r="94" customFormat="false" ht="12.75" hidden="false" customHeight="false" outlineLevel="0" collapsed="false">
      <c r="A94" s="42"/>
    </row>
    <row r="95" customFormat="false" ht="12.75" hidden="false" customHeight="false" outlineLevel="0" collapsed="false">
      <c r="A95" s="42"/>
    </row>
    <row r="96" customFormat="false" ht="12.75" hidden="false" customHeight="false" outlineLevel="0" collapsed="false">
      <c r="A96" s="42"/>
    </row>
    <row r="97" customFormat="false" ht="12.75" hidden="false" customHeight="false" outlineLevel="0" collapsed="false">
      <c r="A97" s="42"/>
    </row>
    <row r="98" customFormat="false" ht="12.75" hidden="false" customHeight="false" outlineLevel="0" collapsed="false">
      <c r="A98" s="42"/>
    </row>
    <row r="99" customFormat="false" ht="12.75" hidden="false" customHeight="false" outlineLevel="0" collapsed="false">
      <c r="A99" s="42"/>
    </row>
    <row r="100" customFormat="false" ht="12.75" hidden="false" customHeight="false" outlineLevel="0" collapsed="false">
      <c r="A100" s="42"/>
    </row>
    <row r="101" customFormat="false" ht="12.75" hidden="false" customHeight="false" outlineLevel="0" collapsed="false">
      <c r="A101" s="42"/>
    </row>
    <row r="102" customFormat="false" ht="12.75" hidden="false" customHeight="false" outlineLevel="0" collapsed="false">
      <c r="A102" s="42"/>
    </row>
    <row r="103" customFormat="false" ht="12.75" hidden="false" customHeight="false" outlineLevel="0" collapsed="false">
      <c r="A103" s="42"/>
    </row>
    <row r="104" customFormat="false" ht="12.75" hidden="false" customHeight="false" outlineLevel="0" collapsed="false">
      <c r="A104" s="42"/>
    </row>
    <row r="105" customFormat="false" ht="12.75" hidden="false" customHeight="false" outlineLevel="0" collapsed="false">
      <c r="A105" s="42"/>
    </row>
    <row r="106" customFormat="false" ht="12.75" hidden="false" customHeight="false" outlineLevel="0" collapsed="false">
      <c r="A106" s="42"/>
    </row>
    <row r="107" customFormat="false" ht="12.75" hidden="false" customHeight="false" outlineLevel="0" collapsed="false">
      <c r="A107" s="42"/>
    </row>
    <row r="108" customFormat="false" ht="12.75" hidden="false" customHeight="false" outlineLevel="0" collapsed="false">
      <c r="A108" s="42"/>
    </row>
    <row r="109" customFormat="false" ht="12.75" hidden="false" customHeight="false" outlineLevel="0" collapsed="false">
      <c r="A109" s="42"/>
    </row>
    <row r="110" customFormat="false" ht="12.75" hidden="false" customHeight="false" outlineLevel="0" collapsed="false">
      <c r="A110" s="42"/>
    </row>
    <row r="111" customFormat="false" ht="12.75" hidden="false" customHeight="false" outlineLevel="0" collapsed="false">
      <c r="A111" s="42"/>
    </row>
    <row r="112" customFormat="false" ht="12.75" hidden="false" customHeight="false" outlineLevel="0" collapsed="false">
      <c r="A112" s="42"/>
    </row>
    <row r="113" customFormat="false" ht="12.75" hidden="false" customHeight="false" outlineLevel="0" collapsed="false">
      <c r="A113" s="42"/>
    </row>
    <row r="114" customFormat="false" ht="12.75" hidden="false" customHeight="false" outlineLevel="0" collapsed="false">
      <c r="A114" s="42"/>
    </row>
    <row r="115" customFormat="false" ht="12.75" hidden="false" customHeight="false" outlineLevel="0" collapsed="false">
      <c r="A115" s="42"/>
    </row>
    <row r="116" customFormat="false" ht="12.75" hidden="false" customHeight="false" outlineLevel="0" collapsed="false">
      <c r="A116" s="42"/>
    </row>
    <row r="117" customFormat="false" ht="12.75" hidden="false" customHeight="false" outlineLevel="0" collapsed="false">
      <c r="A117" s="42"/>
    </row>
    <row r="118" customFormat="false" ht="12.75" hidden="false" customHeight="false" outlineLevel="0" collapsed="false">
      <c r="A118" s="42"/>
    </row>
    <row r="119" customFormat="false" ht="12.75" hidden="false" customHeight="false" outlineLevel="0" collapsed="false">
      <c r="A119" s="42"/>
    </row>
    <row r="120" customFormat="false" ht="12.75" hidden="false" customHeight="false" outlineLevel="0" collapsed="false">
      <c r="A120" s="42"/>
    </row>
    <row r="121" customFormat="false" ht="12.75" hidden="false" customHeight="false" outlineLevel="0" collapsed="false">
      <c r="A121" s="42"/>
    </row>
    <row r="122" customFormat="false" ht="12.75" hidden="false" customHeight="false" outlineLevel="0" collapsed="false">
      <c r="A122" s="42"/>
    </row>
    <row r="123" customFormat="false" ht="12.75" hidden="false" customHeight="false" outlineLevel="0" collapsed="false">
      <c r="A123" s="42"/>
    </row>
    <row r="124" customFormat="false" ht="12.75" hidden="false" customHeight="false" outlineLevel="0" collapsed="false">
      <c r="A124" s="42"/>
    </row>
    <row r="125" customFormat="false" ht="12.75" hidden="false" customHeight="false" outlineLevel="0" collapsed="false">
      <c r="A125" s="42"/>
    </row>
    <row r="126" customFormat="false" ht="12.75" hidden="false" customHeight="false" outlineLevel="0" collapsed="false">
      <c r="A126" s="42"/>
    </row>
    <row r="127" customFormat="false" ht="12.75" hidden="false" customHeight="false" outlineLevel="0" collapsed="false">
      <c r="A127" s="42"/>
    </row>
    <row r="128" customFormat="false" ht="12.75" hidden="false" customHeight="false" outlineLevel="0" collapsed="false">
      <c r="A128" s="42"/>
    </row>
    <row r="129" customFormat="false" ht="12.75" hidden="false" customHeight="false" outlineLevel="0" collapsed="false">
      <c r="A129" s="42"/>
    </row>
    <row r="130" customFormat="false" ht="12.75" hidden="false" customHeight="false" outlineLevel="0" collapsed="false">
      <c r="A130" s="42"/>
    </row>
    <row r="131" customFormat="false" ht="12.75" hidden="false" customHeight="false" outlineLevel="0" collapsed="false">
      <c r="A131" s="42"/>
    </row>
    <row r="132" customFormat="false" ht="12.75" hidden="false" customHeight="false" outlineLevel="0" collapsed="false">
      <c r="A132" s="42"/>
    </row>
    <row r="133" customFormat="false" ht="12.75" hidden="false" customHeight="false" outlineLevel="0" collapsed="false">
      <c r="A133" s="42"/>
    </row>
    <row r="134" customFormat="false" ht="12.75" hidden="false" customHeight="false" outlineLevel="0" collapsed="false">
      <c r="A134" s="42"/>
    </row>
    <row r="135" customFormat="false" ht="12.75" hidden="false" customHeight="false" outlineLevel="0" collapsed="false">
      <c r="A135" s="42"/>
    </row>
    <row r="136" customFormat="false" ht="12.75" hidden="false" customHeight="false" outlineLevel="0" collapsed="false">
      <c r="A136" s="42"/>
    </row>
    <row r="137" customFormat="false" ht="12.75" hidden="false" customHeight="false" outlineLevel="0" collapsed="false">
      <c r="A137" s="42"/>
    </row>
    <row r="138" customFormat="false" ht="12.75" hidden="false" customHeight="false" outlineLevel="0" collapsed="false">
      <c r="A138" s="42"/>
    </row>
    <row r="139" customFormat="false" ht="12.75" hidden="false" customHeight="false" outlineLevel="0" collapsed="false">
      <c r="A139" s="42"/>
    </row>
    <row r="140" customFormat="false" ht="12.75" hidden="false" customHeight="false" outlineLevel="0" collapsed="false">
      <c r="A140" s="42"/>
    </row>
    <row r="141" customFormat="false" ht="12.75" hidden="false" customHeight="false" outlineLevel="0" collapsed="false">
      <c r="A141" s="42"/>
    </row>
    <row r="142" customFormat="false" ht="12.75" hidden="false" customHeight="false" outlineLevel="0" collapsed="false">
      <c r="A142" s="42"/>
    </row>
    <row r="143" customFormat="false" ht="12.75" hidden="false" customHeight="false" outlineLevel="0" collapsed="false">
      <c r="A143" s="42"/>
    </row>
    <row r="144" customFormat="false" ht="12.75" hidden="false" customHeight="false" outlineLevel="0" collapsed="false">
      <c r="A144" s="42"/>
    </row>
    <row r="145" customFormat="false" ht="12.75" hidden="false" customHeight="false" outlineLevel="0" collapsed="false">
      <c r="A145" s="42"/>
    </row>
    <row r="146" customFormat="false" ht="12.75" hidden="false" customHeight="false" outlineLevel="0" collapsed="false">
      <c r="A146" s="42"/>
    </row>
    <row r="147" customFormat="false" ht="12.75" hidden="false" customHeight="false" outlineLevel="0" collapsed="false">
      <c r="A147" s="42"/>
    </row>
    <row r="148" customFormat="false" ht="12.75" hidden="false" customHeight="false" outlineLevel="0" collapsed="false">
      <c r="A148" s="42"/>
    </row>
    <row r="149" customFormat="false" ht="12.75" hidden="false" customHeight="false" outlineLevel="0" collapsed="false">
      <c r="A149" s="42"/>
    </row>
    <row r="150" customFormat="false" ht="12.75" hidden="false" customHeight="false" outlineLevel="0" collapsed="false">
      <c r="A150" s="42"/>
    </row>
    <row r="151" customFormat="false" ht="12.75" hidden="false" customHeight="false" outlineLevel="0" collapsed="false">
      <c r="A151" s="42"/>
    </row>
    <row r="152" customFormat="false" ht="12.75" hidden="false" customHeight="false" outlineLevel="0" collapsed="false">
      <c r="A152" s="42"/>
    </row>
    <row r="153" customFormat="false" ht="12.75" hidden="false" customHeight="false" outlineLevel="0" collapsed="false">
      <c r="A153" s="42"/>
    </row>
    <row r="154" customFormat="false" ht="12.75" hidden="false" customHeight="false" outlineLevel="0" collapsed="false">
      <c r="A154" s="42"/>
    </row>
    <row r="155" customFormat="false" ht="12.75" hidden="false" customHeight="false" outlineLevel="0" collapsed="false">
      <c r="A155" s="42"/>
    </row>
    <row r="156" customFormat="false" ht="12.75" hidden="false" customHeight="false" outlineLevel="0" collapsed="false">
      <c r="A156" s="42"/>
    </row>
    <row r="157" customFormat="false" ht="12.75" hidden="false" customHeight="false" outlineLevel="0" collapsed="false">
      <c r="A157" s="42"/>
    </row>
    <row r="158" customFormat="false" ht="12.75" hidden="false" customHeight="false" outlineLevel="0" collapsed="false">
      <c r="A158" s="42"/>
    </row>
    <row r="159" customFormat="false" ht="12.75" hidden="false" customHeight="false" outlineLevel="0" collapsed="false">
      <c r="A159" s="42"/>
    </row>
    <row r="160" customFormat="false" ht="12.75" hidden="false" customHeight="false" outlineLevel="0" collapsed="false">
      <c r="A160" s="42"/>
    </row>
    <row r="161" customFormat="false" ht="12.75" hidden="false" customHeight="false" outlineLevel="0" collapsed="false">
      <c r="A161" s="42"/>
    </row>
    <row r="162" customFormat="false" ht="12.75" hidden="false" customHeight="false" outlineLevel="0" collapsed="false">
      <c r="A162" s="42"/>
    </row>
    <row r="163" customFormat="false" ht="12.75" hidden="false" customHeight="false" outlineLevel="0" collapsed="false">
      <c r="A163" s="42"/>
    </row>
    <row r="164" customFormat="false" ht="12.75" hidden="false" customHeight="false" outlineLevel="0" collapsed="false">
      <c r="A164" s="42"/>
    </row>
    <row r="165" customFormat="false" ht="12.75" hidden="false" customHeight="false" outlineLevel="0" collapsed="false">
      <c r="A165" s="42"/>
    </row>
    <row r="166" customFormat="false" ht="12.75" hidden="false" customHeight="false" outlineLevel="0" collapsed="false">
      <c r="A166" s="42"/>
    </row>
    <row r="167" customFormat="false" ht="12.75" hidden="false" customHeight="false" outlineLevel="0" collapsed="false">
      <c r="A167" s="42"/>
    </row>
    <row r="168" customFormat="false" ht="12.75" hidden="false" customHeight="false" outlineLevel="0" collapsed="false">
      <c r="A168" s="42"/>
    </row>
    <row r="169" customFormat="false" ht="12.75" hidden="false" customHeight="false" outlineLevel="0" collapsed="false">
      <c r="A169" s="42"/>
    </row>
    <row r="170" customFormat="false" ht="12.75" hidden="false" customHeight="false" outlineLevel="0" collapsed="false">
      <c r="A170" s="42"/>
    </row>
    <row r="171" customFormat="false" ht="12.75" hidden="false" customHeight="false" outlineLevel="0" collapsed="false">
      <c r="A171" s="42"/>
    </row>
    <row r="172" customFormat="false" ht="12.75" hidden="false" customHeight="false" outlineLevel="0" collapsed="false">
      <c r="A172" s="42"/>
    </row>
    <row r="173" customFormat="false" ht="12.75" hidden="false" customHeight="false" outlineLevel="0" collapsed="false">
      <c r="A173" s="42"/>
    </row>
    <row r="174" customFormat="false" ht="12.75" hidden="false" customHeight="false" outlineLevel="0" collapsed="false">
      <c r="A174" s="42"/>
    </row>
    <row r="175" customFormat="false" ht="12.75" hidden="false" customHeight="false" outlineLevel="0" collapsed="false">
      <c r="A175" s="42"/>
    </row>
    <row r="176" customFormat="false" ht="12.75" hidden="false" customHeight="false" outlineLevel="0" collapsed="false">
      <c r="A176" s="42"/>
    </row>
    <row r="177" customFormat="false" ht="12.75" hidden="false" customHeight="false" outlineLevel="0" collapsed="false">
      <c r="A177" s="42"/>
    </row>
    <row r="178" customFormat="false" ht="12.75" hidden="false" customHeight="false" outlineLevel="0" collapsed="false">
      <c r="A178" s="42"/>
    </row>
    <row r="179" customFormat="false" ht="12.75" hidden="false" customHeight="false" outlineLevel="0" collapsed="false">
      <c r="A179" s="42"/>
    </row>
    <row r="180" customFormat="false" ht="12.75" hidden="false" customHeight="false" outlineLevel="0" collapsed="false">
      <c r="A180" s="42"/>
    </row>
    <row r="181" customFormat="false" ht="12.75" hidden="false" customHeight="false" outlineLevel="0" collapsed="false">
      <c r="A181" s="42"/>
    </row>
    <row r="182" customFormat="false" ht="12.75" hidden="false" customHeight="false" outlineLevel="0" collapsed="false">
      <c r="A182" s="42"/>
    </row>
    <row r="183" customFormat="false" ht="12.75" hidden="false" customHeight="false" outlineLevel="0" collapsed="false">
      <c r="A183" s="42"/>
    </row>
    <row r="184" customFormat="false" ht="12.75" hidden="false" customHeight="false" outlineLevel="0" collapsed="false">
      <c r="A184" s="42"/>
    </row>
    <row r="185" customFormat="false" ht="12.75" hidden="false" customHeight="false" outlineLevel="0" collapsed="false">
      <c r="A185" s="42"/>
    </row>
    <row r="186" customFormat="false" ht="12.75" hidden="false" customHeight="false" outlineLevel="0" collapsed="false">
      <c r="A186" s="42"/>
    </row>
    <row r="187" customFormat="false" ht="12.75" hidden="false" customHeight="false" outlineLevel="0" collapsed="false">
      <c r="A187" s="42"/>
    </row>
    <row r="188" customFormat="false" ht="12.75" hidden="false" customHeight="false" outlineLevel="0" collapsed="false">
      <c r="A188" s="42"/>
    </row>
    <row r="189" customFormat="false" ht="12.75" hidden="false" customHeight="false" outlineLevel="0" collapsed="false">
      <c r="A189" s="42"/>
    </row>
    <row r="190" customFormat="false" ht="12.75" hidden="false" customHeight="false" outlineLevel="0" collapsed="false">
      <c r="A190" s="42"/>
    </row>
    <row r="191" customFormat="false" ht="12.75" hidden="false" customHeight="false" outlineLevel="0" collapsed="false">
      <c r="A191" s="42"/>
    </row>
    <row r="192" customFormat="false" ht="12.75" hidden="false" customHeight="false" outlineLevel="0" collapsed="false">
      <c r="A192" s="42"/>
    </row>
    <row r="193" customFormat="false" ht="12.75" hidden="false" customHeight="false" outlineLevel="0" collapsed="false">
      <c r="A193" s="42"/>
    </row>
    <row r="194" customFormat="false" ht="12.75" hidden="false" customHeight="false" outlineLevel="0" collapsed="false">
      <c r="A194" s="42"/>
    </row>
    <row r="195" customFormat="false" ht="12.75" hidden="false" customHeight="false" outlineLevel="0" collapsed="false">
      <c r="A195" s="42"/>
    </row>
    <row r="196" customFormat="false" ht="12.75" hidden="false" customHeight="false" outlineLevel="0" collapsed="false">
      <c r="A196" s="42"/>
    </row>
    <row r="197" customFormat="false" ht="12.75" hidden="false" customHeight="false" outlineLevel="0" collapsed="false">
      <c r="A197" s="42"/>
    </row>
    <row r="198" customFormat="false" ht="12.75" hidden="false" customHeight="false" outlineLevel="0" collapsed="false">
      <c r="A198" s="42"/>
    </row>
    <row r="199" customFormat="false" ht="12.75" hidden="false" customHeight="false" outlineLevel="0" collapsed="false">
      <c r="A199" s="42"/>
    </row>
    <row r="200" customFormat="false" ht="12.75" hidden="false" customHeight="false" outlineLevel="0" collapsed="false">
      <c r="A200" s="42"/>
    </row>
    <row r="201" customFormat="false" ht="12.75" hidden="false" customHeight="false" outlineLevel="0" collapsed="false">
      <c r="A201" s="42"/>
    </row>
    <row r="202" customFormat="false" ht="12.75" hidden="false" customHeight="false" outlineLevel="0" collapsed="false">
      <c r="A202" s="42"/>
    </row>
    <row r="203" customFormat="false" ht="12.75" hidden="false" customHeight="false" outlineLevel="0" collapsed="false">
      <c r="A203" s="42"/>
    </row>
    <row r="204" customFormat="false" ht="12.75" hidden="false" customHeight="false" outlineLevel="0" collapsed="false">
      <c r="A204" s="42"/>
    </row>
    <row r="205" customFormat="false" ht="12.75" hidden="false" customHeight="false" outlineLevel="0" collapsed="false">
      <c r="A205" s="42"/>
    </row>
    <row r="206" customFormat="false" ht="12.75" hidden="false" customHeight="false" outlineLevel="0" collapsed="false">
      <c r="A206" s="42"/>
    </row>
    <row r="207" customFormat="false" ht="12.75" hidden="false" customHeight="false" outlineLevel="0" collapsed="false">
      <c r="A207" s="42"/>
    </row>
    <row r="208" customFormat="false" ht="12.75" hidden="false" customHeight="false" outlineLevel="0" collapsed="false">
      <c r="A208" s="42"/>
    </row>
    <row r="209" customFormat="false" ht="12.75" hidden="false" customHeight="false" outlineLevel="0" collapsed="false">
      <c r="A209" s="42"/>
    </row>
    <row r="210" customFormat="false" ht="12.75" hidden="false" customHeight="false" outlineLevel="0" collapsed="false">
      <c r="A210" s="42"/>
    </row>
    <row r="211" customFormat="false" ht="12.75" hidden="false" customHeight="false" outlineLevel="0" collapsed="false">
      <c r="A211" s="42"/>
    </row>
    <row r="212" customFormat="false" ht="12.75" hidden="false" customHeight="false" outlineLevel="0" collapsed="false">
      <c r="A212" s="42"/>
    </row>
    <row r="213" customFormat="false" ht="12.75" hidden="false" customHeight="false" outlineLevel="0" collapsed="false">
      <c r="A213" s="42"/>
    </row>
    <row r="214" customFormat="false" ht="12.75" hidden="false" customHeight="false" outlineLevel="0" collapsed="false">
      <c r="A214" s="42"/>
    </row>
    <row r="215" customFormat="false" ht="12.75" hidden="false" customHeight="false" outlineLevel="0" collapsed="false">
      <c r="A215" s="42"/>
    </row>
    <row r="216" customFormat="false" ht="12.75" hidden="false" customHeight="false" outlineLevel="0" collapsed="false">
      <c r="A216" s="42"/>
    </row>
    <row r="217" customFormat="false" ht="12.75" hidden="false" customHeight="false" outlineLevel="0" collapsed="false">
      <c r="A217" s="42"/>
    </row>
    <row r="218" customFormat="false" ht="12.75" hidden="false" customHeight="false" outlineLevel="0" collapsed="false">
      <c r="A218" s="42"/>
    </row>
    <row r="219" customFormat="false" ht="12.75" hidden="false" customHeight="false" outlineLevel="0" collapsed="false">
      <c r="A219" s="42"/>
    </row>
    <row r="220" customFormat="false" ht="12.75" hidden="false" customHeight="false" outlineLevel="0" collapsed="false">
      <c r="A220" s="42"/>
    </row>
    <row r="221" customFormat="false" ht="12.75" hidden="false" customHeight="false" outlineLevel="0" collapsed="false">
      <c r="A221" s="42"/>
    </row>
    <row r="222" customFormat="false" ht="12.75" hidden="false" customHeight="false" outlineLevel="0" collapsed="false">
      <c r="A222" s="42"/>
    </row>
    <row r="223" customFormat="false" ht="12.75" hidden="false" customHeight="false" outlineLevel="0" collapsed="false">
      <c r="A223" s="42"/>
    </row>
    <row r="224" customFormat="false" ht="12.75" hidden="false" customHeight="false" outlineLevel="0" collapsed="false">
      <c r="A224" s="42"/>
    </row>
    <row r="225" customFormat="false" ht="12.75" hidden="false" customHeight="false" outlineLevel="0" collapsed="false">
      <c r="A225" s="42"/>
    </row>
    <row r="226" customFormat="false" ht="12.75" hidden="false" customHeight="false" outlineLevel="0" collapsed="false">
      <c r="A226" s="42"/>
    </row>
    <row r="227" customFormat="false" ht="12.75" hidden="false" customHeight="false" outlineLevel="0" collapsed="false">
      <c r="A227" s="42"/>
    </row>
    <row r="228" customFormat="false" ht="12.75" hidden="false" customHeight="false" outlineLevel="0" collapsed="false">
      <c r="A228" s="42"/>
    </row>
    <row r="229" customFormat="false" ht="12.75" hidden="false" customHeight="false" outlineLevel="0" collapsed="false">
      <c r="A229" s="42"/>
    </row>
    <row r="230" customFormat="false" ht="12.75" hidden="false" customHeight="false" outlineLevel="0" collapsed="false">
      <c r="A230" s="42"/>
    </row>
    <row r="231" customFormat="false" ht="12.75" hidden="false" customHeight="false" outlineLevel="0" collapsed="false">
      <c r="A231" s="42"/>
    </row>
    <row r="232" customFormat="false" ht="12.75" hidden="false" customHeight="false" outlineLevel="0" collapsed="false">
      <c r="A232" s="42"/>
    </row>
    <row r="233" customFormat="false" ht="12.75" hidden="false" customHeight="false" outlineLevel="0" collapsed="false">
      <c r="A233" s="42"/>
    </row>
    <row r="234" customFormat="false" ht="12.75" hidden="false" customHeight="false" outlineLevel="0" collapsed="false">
      <c r="A234" s="42"/>
    </row>
    <row r="235" customFormat="false" ht="12.75" hidden="false" customHeight="false" outlineLevel="0" collapsed="false">
      <c r="A235" s="42"/>
    </row>
    <row r="236" customFormat="false" ht="12.75" hidden="false" customHeight="false" outlineLevel="0" collapsed="false">
      <c r="A236" s="42"/>
    </row>
    <row r="237" customFormat="false" ht="12.75" hidden="false" customHeight="false" outlineLevel="0" collapsed="false">
      <c r="A237" s="42"/>
    </row>
    <row r="238" customFormat="false" ht="12.75" hidden="false" customHeight="false" outlineLevel="0" collapsed="false">
      <c r="A238" s="42"/>
    </row>
    <row r="239" customFormat="false" ht="12.75" hidden="false" customHeight="false" outlineLevel="0" collapsed="false">
      <c r="A239" s="42"/>
    </row>
    <row r="240" customFormat="false" ht="12.75" hidden="false" customHeight="false" outlineLevel="0" collapsed="false">
      <c r="A240" s="42"/>
    </row>
    <row r="241" customFormat="false" ht="12.75" hidden="false" customHeight="false" outlineLevel="0" collapsed="false">
      <c r="A241" s="42"/>
    </row>
    <row r="242" customFormat="false" ht="12.75" hidden="false" customHeight="false" outlineLevel="0" collapsed="false">
      <c r="A242" s="42"/>
    </row>
    <row r="243" customFormat="false" ht="12.75" hidden="false" customHeight="false" outlineLevel="0" collapsed="false">
      <c r="A243" s="42"/>
    </row>
    <row r="244" customFormat="false" ht="12.75" hidden="false" customHeight="false" outlineLevel="0" collapsed="false">
      <c r="A244" s="42"/>
    </row>
    <row r="245" customFormat="false" ht="12.75" hidden="false" customHeight="false" outlineLevel="0" collapsed="false">
      <c r="A245" s="42"/>
    </row>
    <row r="246" customFormat="false" ht="12.75" hidden="false" customHeight="false" outlineLevel="0" collapsed="false">
      <c r="A246" s="42"/>
    </row>
    <row r="247" customFormat="false" ht="12.75" hidden="false" customHeight="false" outlineLevel="0" collapsed="false">
      <c r="A247" s="42"/>
    </row>
    <row r="248" customFormat="false" ht="12.75" hidden="false" customHeight="false" outlineLevel="0" collapsed="false">
      <c r="A248" s="42"/>
    </row>
    <row r="249" customFormat="false" ht="12.75" hidden="false" customHeight="false" outlineLevel="0" collapsed="false">
      <c r="A249" s="42"/>
    </row>
    <row r="250" customFormat="false" ht="12.75" hidden="false" customHeight="false" outlineLevel="0" collapsed="false">
      <c r="A250" s="42"/>
    </row>
    <row r="251" customFormat="false" ht="12.75" hidden="false" customHeight="false" outlineLevel="0" collapsed="false">
      <c r="A251" s="42"/>
    </row>
    <row r="252" customFormat="false" ht="12.75" hidden="false" customHeight="false" outlineLevel="0" collapsed="false">
      <c r="A252" s="42"/>
    </row>
    <row r="253" customFormat="false" ht="12.75" hidden="false" customHeight="false" outlineLevel="0" collapsed="false">
      <c r="A253" s="42"/>
    </row>
    <row r="254" customFormat="false" ht="12.75" hidden="false" customHeight="false" outlineLevel="0" collapsed="false">
      <c r="A254" s="42"/>
    </row>
    <row r="255" customFormat="false" ht="12.75" hidden="false" customHeight="false" outlineLevel="0" collapsed="false">
      <c r="A255" s="42"/>
    </row>
    <row r="256" customFormat="false" ht="12.75" hidden="false" customHeight="false" outlineLevel="0" collapsed="false">
      <c r="A256" s="42"/>
    </row>
    <row r="257" customFormat="false" ht="12.75" hidden="false" customHeight="false" outlineLevel="0" collapsed="false">
      <c r="A257" s="42"/>
    </row>
    <row r="258" customFormat="false" ht="12.75" hidden="false" customHeight="false" outlineLevel="0" collapsed="false">
      <c r="A258" s="42"/>
    </row>
    <row r="259" customFormat="false" ht="12.75" hidden="false" customHeight="false" outlineLevel="0" collapsed="false">
      <c r="A259" s="42"/>
    </row>
    <row r="260" customFormat="false" ht="12.75" hidden="false" customHeight="false" outlineLevel="0" collapsed="false">
      <c r="A260" s="42"/>
    </row>
    <row r="261" customFormat="false" ht="12.75" hidden="false" customHeight="false" outlineLevel="0" collapsed="false">
      <c r="A261" s="42"/>
    </row>
    <row r="262" customFormat="false" ht="12.75" hidden="false" customHeight="false" outlineLevel="0" collapsed="false">
      <c r="A262" s="42"/>
    </row>
    <row r="263" customFormat="false" ht="12.75" hidden="false" customHeight="false" outlineLevel="0" collapsed="false">
      <c r="A263" s="42"/>
    </row>
    <row r="264" customFormat="false" ht="12.75" hidden="false" customHeight="false" outlineLevel="0" collapsed="false">
      <c r="A264" s="42"/>
    </row>
    <row r="265" customFormat="false" ht="12.75" hidden="false" customHeight="false" outlineLevel="0" collapsed="false">
      <c r="A265" s="42"/>
    </row>
    <row r="266" customFormat="false" ht="12.75" hidden="false" customHeight="false" outlineLevel="0" collapsed="false">
      <c r="A266" s="42"/>
    </row>
    <row r="267" customFormat="false" ht="12.75" hidden="false" customHeight="false" outlineLevel="0" collapsed="false">
      <c r="A267" s="42"/>
    </row>
    <row r="268" customFormat="false" ht="12.75" hidden="false" customHeight="false" outlineLevel="0" collapsed="false">
      <c r="A268" s="42"/>
    </row>
    <row r="269" customFormat="false" ht="12.75" hidden="false" customHeight="false" outlineLevel="0" collapsed="false">
      <c r="A269" s="42"/>
    </row>
    <row r="270" customFormat="false" ht="12.75" hidden="false" customHeight="false" outlineLevel="0" collapsed="false">
      <c r="A270" s="42"/>
    </row>
    <row r="271" customFormat="false" ht="12.75" hidden="false" customHeight="false" outlineLevel="0" collapsed="false">
      <c r="A271" s="42"/>
    </row>
    <row r="272" customFormat="false" ht="12.75" hidden="false" customHeight="false" outlineLevel="0" collapsed="false">
      <c r="A272" s="42"/>
    </row>
    <row r="273" customFormat="false" ht="12.75" hidden="false" customHeight="false" outlineLevel="0" collapsed="false">
      <c r="A273" s="42"/>
    </row>
    <row r="274" customFormat="false" ht="12.75" hidden="false" customHeight="false" outlineLevel="0" collapsed="false">
      <c r="A274" s="42"/>
    </row>
    <row r="275" customFormat="false" ht="12.75" hidden="false" customHeight="false" outlineLevel="0" collapsed="false">
      <c r="A275" s="42"/>
    </row>
    <row r="276" customFormat="false" ht="12.75" hidden="false" customHeight="false" outlineLevel="0" collapsed="false">
      <c r="A276" s="42"/>
    </row>
    <row r="277" customFormat="false" ht="12.75" hidden="false" customHeight="false" outlineLevel="0" collapsed="false">
      <c r="A277" s="42"/>
    </row>
    <row r="278" customFormat="false" ht="12.75" hidden="false" customHeight="false" outlineLevel="0" collapsed="false">
      <c r="A278" s="42"/>
    </row>
    <row r="279" customFormat="false" ht="12.75" hidden="false" customHeight="false" outlineLevel="0" collapsed="false">
      <c r="A279" s="42"/>
    </row>
    <row r="280" customFormat="false" ht="12.75" hidden="false" customHeight="false" outlineLevel="0" collapsed="false">
      <c r="A280" s="42"/>
    </row>
    <row r="281" customFormat="false" ht="12.75" hidden="false" customHeight="false" outlineLevel="0" collapsed="false">
      <c r="A281" s="42"/>
    </row>
    <row r="282" customFormat="false" ht="12.75" hidden="false" customHeight="false" outlineLevel="0" collapsed="false">
      <c r="A282" s="42"/>
    </row>
    <row r="283" customFormat="false" ht="12.75" hidden="false" customHeight="false" outlineLevel="0" collapsed="false">
      <c r="A283" s="42"/>
    </row>
    <row r="284" customFormat="false" ht="12.75" hidden="false" customHeight="false" outlineLevel="0" collapsed="false">
      <c r="A284" s="42"/>
    </row>
    <row r="285" customFormat="false" ht="12.75" hidden="false" customHeight="false" outlineLevel="0" collapsed="false">
      <c r="A285" s="42"/>
    </row>
    <row r="286" customFormat="false" ht="12.75" hidden="false" customHeight="false" outlineLevel="0" collapsed="false">
      <c r="A286" s="42"/>
    </row>
    <row r="287" customFormat="false" ht="12.75" hidden="false" customHeight="false" outlineLevel="0" collapsed="false">
      <c r="A287" s="42"/>
    </row>
    <row r="288" customFormat="false" ht="12.75" hidden="false" customHeight="false" outlineLevel="0" collapsed="false">
      <c r="A288" s="42"/>
    </row>
    <row r="289" customFormat="false" ht="12.75" hidden="false" customHeight="false" outlineLevel="0" collapsed="false">
      <c r="A289" s="42"/>
    </row>
    <row r="290" customFormat="false" ht="12.75" hidden="false" customHeight="false" outlineLevel="0" collapsed="false">
      <c r="A290" s="42"/>
    </row>
    <row r="291" customFormat="false" ht="12.75" hidden="false" customHeight="false" outlineLevel="0" collapsed="false">
      <c r="A291" s="42"/>
    </row>
    <row r="292" customFormat="false" ht="12.75" hidden="false" customHeight="false" outlineLevel="0" collapsed="false">
      <c r="A292" s="42"/>
    </row>
    <row r="293" customFormat="false" ht="12.75" hidden="false" customHeight="false" outlineLevel="0" collapsed="false">
      <c r="A293" s="42"/>
    </row>
    <row r="294" customFormat="false" ht="12.75" hidden="false" customHeight="false" outlineLevel="0" collapsed="false">
      <c r="A294" s="42"/>
    </row>
    <row r="295" customFormat="false" ht="12.75" hidden="false" customHeight="false" outlineLevel="0" collapsed="false">
      <c r="A295" s="42"/>
    </row>
    <row r="296" customFormat="false" ht="12.75" hidden="false" customHeight="false" outlineLevel="0" collapsed="false">
      <c r="A296" s="42"/>
    </row>
    <row r="297" customFormat="false" ht="12.75" hidden="false" customHeight="false" outlineLevel="0" collapsed="false">
      <c r="A297" s="42"/>
    </row>
    <row r="298" customFormat="false" ht="12.75" hidden="false" customHeight="false" outlineLevel="0" collapsed="false">
      <c r="A298" s="42"/>
    </row>
    <row r="299" customFormat="false" ht="12.75" hidden="false" customHeight="false" outlineLevel="0" collapsed="false">
      <c r="A299" s="42"/>
    </row>
    <row r="300" customFormat="false" ht="12.75" hidden="false" customHeight="false" outlineLevel="0" collapsed="false">
      <c r="A300" s="42"/>
    </row>
    <row r="301" customFormat="false" ht="12.75" hidden="false" customHeight="false" outlineLevel="0" collapsed="false">
      <c r="A301" s="42"/>
    </row>
    <row r="302" customFormat="false" ht="12.75" hidden="false" customHeight="false" outlineLevel="0" collapsed="false">
      <c r="A302" s="42"/>
    </row>
    <row r="303" customFormat="false" ht="12.75" hidden="false" customHeight="false" outlineLevel="0" collapsed="false">
      <c r="A303" s="42"/>
    </row>
    <row r="304" customFormat="false" ht="12.75" hidden="false" customHeight="false" outlineLevel="0" collapsed="false">
      <c r="A304" s="42"/>
    </row>
    <row r="305" customFormat="false" ht="12.75" hidden="false" customHeight="false" outlineLevel="0" collapsed="false">
      <c r="A305" s="42"/>
    </row>
    <row r="306" customFormat="false" ht="12.75" hidden="false" customHeight="false" outlineLevel="0" collapsed="false">
      <c r="A306" s="42"/>
    </row>
    <row r="307" customFormat="false" ht="12.75" hidden="false" customHeight="false" outlineLevel="0" collapsed="false">
      <c r="A307" s="42"/>
    </row>
    <row r="308" customFormat="false" ht="12.75" hidden="false" customHeight="false" outlineLevel="0" collapsed="false">
      <c r="A308" s="42"/>
    </row>
    <row r="309" customFormat="false" ht="12.75" hidden="false" customHeight="false" outlineLevel="0" collapsed="false">
      <c r="A309" s="42"/>
    </row>
    <row r="310" customFormat="false" ht="12.75" hidden="false" customHeight="false" outlineLevel="0" collapsed="false">
      <c r="A310" s="42"/>
    </row>
    <row r="311" customFormat="false" ht="12.75" hidden="false" customHeight="false" outlineLevel="0" collapsed="false">
      <c r="A311" s="42"/>
    </row>
    <row r="312" customFormat="false" ht="12.75" hidden="false" customHeight="false" outlineLevel="0" collapsed="false">
      <c r="A312" s="42"/>
    </row>
    <row r="313" customFormat="false" ht="12.75" hidden="false" customHeight="false" outlineLevel="0" collapsed="false">
      <c r="A313" s="42"/>
    </row>
    <row r="314" customFormat="false" ht="12.75" hidden="false" customHeight="false" outlineLevel="0" collapsed="false">
      <c r="A314" s="42"/>
    </row>
    <row r="315" customFormat="false" ht="12.75" hidden="false" customHeight="false" outlineLevel="0" collapsed="false">
      <c r="A315" s="42"/>
    </row>
    <row r="316" customFormat="false" ht="12.75" hidden="false" customHeight="false" outlineLevel="0" collapsed="false">
      <c r="A316" s="42"/>
    </row>
    <row r="317" customFormat="false" ht="12.75" hidden="false" customHeight="false" outlineLevel="0" collapsed="false">
      <c r="A317" s="42"/>
    </row>
    <row r="318" customFormat="false" ht="12.75" hidden="false" customHeight="false" outlineLevel="0" collapsed="false">
      <c r="A318" s="42"/>
    </row>
    <row r="319" customFormat="false" ht="12.75" hidden="false" customHeight="false" outlineLevel="0" collapsed="false">
      <c r="A319" s="42"/>
    </row>
    <row r="320" customFormat="false" ht="12.75" hidden="false" customHeight="false" outlineLevel="0" collapsed="false">
      <c r="A320" s="42"/>
    </row>
    <row r="321" customFormat="false" ht="12.75" hidden="false" customHeight="false" outlineLevel="0" collapsed="false">
      <c r="A321" s="42"/>
    </row>
    <row r="322" customFormat="false" ht="12.75" hidden="false" customHeight="false" outlineLevel="0" collapsed="false">
      <c r="A322" s="42"/>
    </row>
    <row r="323" customFormat="false" ht="12.75" hidden="false" customHeight="false" outlineLevel="0" collapsed="false">
      <c r="A323" s="42"/>
    </row>
    <row r="324" customFormat="false" ht="12.75" hidden="false" customHeight="false" outlineLevel="0" collapsed="false">
      <c r="A324" s="42"/>
    </row>
    <row r="325" customFormat="false" ht="12.75" hidden="false" customHeight="false" outlineLevel="0" collapsed="false">
      <c r="A325" s="42"/>
    </row>
    <row r="326" customFormat="false" ht="12.75" hidden="false" customHeight="false" outlineLevel="0" collapsed="false">
      <c r="A326" s="42"/>
    </row>
    <row r="327" customFormat="false" ht="12.75" hidden="false" customHeight="false" outlineLevel="0" collapsed="false">
      <c r="A327" s="42"/>
    </row>
    <row r="328" customFormat="false" ht="12.75" hidden="false" customHeight="false" outlineLevel="0" collapsed="false">
      <c r="A328" s="42"/>
    </row>
    <row r="329" customFormat="false" ht="12.75" hidden="false" customHeight="false" outlineLevel="0" collapsed="false">
      <c r="A329" s="42"/>
    </row>
    <row r="330" customFormat="false" ht="12.75" hidden="false" customHeight="false" outlineLevel="0" collapsed="false">
      <c r="A330" s="42"/>
    </row>
    <row r="331" customFormat="false" ht="12.75" hidden="false" customHeight="false" outlineLevel="0" collapsed="false">
      <c r="A331" s="42"/>
    </row>
    <row r="332" customFormat="false" ht="12.75" hidden="false" customHeight="false" outlineLevel="0" collapsed="false">
      <c r="A332" s="42"/>
    </row>
    <row r="333" customFormat="false" ht="12.75" hidden="false" customHeight="false" outlineLevel="0" collapsed="false">
      <c r="A333" s="42"/>
    </row>
    <row r="334" customFormat="false" ht="12.75" hidden="false" customHeight="false" outlineLevel="0" collapsed="false">
      <c r="A334" s="42"/>
    </row>
    <row r="335" customFormat="false" ht="12.75" hidden="false" customHeight="false" outlineLevel="0" collapsed="false">
      <c r="A335" s="42"/>
    </row>
    <row r="336" customFormat="false" ht="12.75" hidden="false" customHeight="false" outlineLevel="0" collapsed="false">
      <c r="A336" s="42"/>
    </row>
    <row r="337" customFormat="false" ht="12.75" hidden="false" customHeight="false" outlineLevel="0" collapsed="false">
      <c r="A337" s="42"/>
    </row>
    <row r="338" customFormat="false" ht="12.75" hidden="false" customHeight="false" outlineLevel="0" collapsed="false">
      <c r="A338" s="42"/>
    </row>
    <row r="339" customFormat="false" ht="12.75" hidden="false" customHeight="false" outlineLevel="0" collapsed="false">
      <c r="A339" s="42"/>
    </row>
    <row r="340" customFormat="false" ht="12.75" hidden="false" customHeight="false" outlineLevel="0" collapsed="false">
      <c r="A340" s="42"/>
    </row>
    <row r="341" customFormat="false" ht="12.75" hidden="false" customHeight="false" outlineLevel="0" collapsed="false">
      <c r="A341" s="42"/>
    </row>
    <row r="342" customFormat="false" ht="12.75" hidden="false" customHeight="false" outlineLevel="0" collapsed="false">
      <c r="A342" s="42"/>
    </row>
    <row r="343" customFormat="false" ht="12.75" hidden="false" customHeight="false" outlineLevel="0" collapsed="false">
      <c r="A343" s="42"/>
    </row>
    <row r="344" customFormat="false" ht="12.75" hidden="false" customHeight="false" outlineLevel="0" collapsed="false">
      <c r="A344" s="42"/>
    </row>
    <row r="345" customFormat="false" ht="12.75" hidden="false" customHeight="false" outlineLevel="0" collapsed="false">
      <c r="A345" s="42"/>
    </row>
    <row r="346" customFormat="false" ht="12.75" hidden="false" customHeight="false" outlineLevel="0" collapsed="false">
      <c r="A346" s="42"/>
    </row>
    <row r="347" customFormat="false" ht="12.75" hidden="false" customHeight="false" outlineLevel="0" collapsed="false">
      <c r="A347" s="42"/>
    </row>
    <row r="348" customFormat="false" ht="12.75" hidden="false" customHeight="false" outlineLevel="0" collapsed="false">
      <c r="A348" s="42"/>
    </row>
    <row r="349" customFormat="false" ht="12.75" hidden="false" customHeight="false" outlineLevel="0" collapsed="false">
      <c r="A349" s="42"/>
    </row>
    <row r="350" customFormat="false" ht="12.75" hidden="false" customHeight="false" outlineLevel="0" collapsed="false">
      <c r="A350" s="42"/>
    </row>
    <row r="351" customFormat="false" ht="12.75" hidden="false" customHeight="false" outlineLevel="0" collapsed="false">
      <c r="A351" s="42"/>
    </row>
    <row r="352" customFormat="false" ht="12.75" hidden="false" customHeight="false" outlineLevel="0" collapsed="false">
      <c r="A352" s="42"/>
    </row>
    <row r="353" customFormat="false" ht="12.75" hidden="false" customHeight="false" outlineLevel="0" collapsed="false">
      <c r="A353" s="42"/>
    </row>
    <row r="354" customFormat="false" ht="12.75" hidden="false" customHeight="false" outlineLevel="0" collapsed="false">
      <c r="A354" s="42"/>
    </row>
    <row r="355" customFormat="false" ht="12.75" hidden="false" customHeight="false" outlineLevel="0" collapsed="false">
      <c r="A355" s="42"/>
    </row>
    <row r="356" customFormat="false" ht="12.75" hidden="false" customHeight="false" outlineLevel="0" collapsed="false">
      <c r="A356" s="42"/>
    </row>
    <row r="357" customFormat="false" ht="12.75" hidden="false" customHeight="false" outlineLevel="0" collapsed="false">
      <c r="A357" s="42"/>
    </row>
    <row r="358" customFormat="false" ht="12.75" hidden="false" customHeight="false" outlineLevel="0" collapsed="false">
      <c r="A358" s="42"/>
    </row>
    <row r="359" customFormat="false" ht="12.75" hidden="false" customHeight="false" outlineLevel="0" collapsed="false">
      <c r="A359" s="42"/>
    </row>
    <row r="360" customFormat="false" ht="12.75" hidden="false" customHeight="false" outlineLevel="0" collapsed="false">
      <c r="A360" s="42"/>
    </row>
    <row r="361" customFormat="false" ht="12.75" hidden="false" customHeight="false" outlineLevel="0" collapsed="false">
      <c r="A361" s="42"/>
    </row>
    <row r="362" customFormat="false" ht="12.75" hidden="false" customHeight="false" outlineLevel="0" collapsed="false">
      <c r="A362" s="42"/>
    </row>
    <row r="363" customFormat="false" ht="12.75" hidden="false" customHeight="false" outlineLevel="0" collapsed="false">
      <c r="A363" s="42"/>
    </row>
    <row r="364" customFormat="false" ht="12.75" hidden="false" customHeight="false" outlineLevel="0" collapsed="false">
      <c r="A364" s="42"/>
    </row>
    <row r="365" customFormat="false" ht="12.75" hidden="false" customHeight="false" outlineLevel="0" collapsed="false">
      <c r="A365" s="42"/>
    </row>
    <row r="366" customFormat="false" ht="12.75" hidden="false" customHeight="false" outlineLevel="0" collapsed="false">
      <c r="A366" s="42"/>
    </row>
    <row r="367" customFormat="false" ht="12.75" hidden="false" customHeight="false" outlineLevel="0" collapsed="false">
      <c r="A367" s="42"/>
    </row>
    <row r="368" customFormat="false" ht="12.75" hidden="false" customHeight="false" outlineLevel="0" collapsed="false">
      <c r="A368" s="42"/>
    </row>
    <row r="369" customFormat="false" ht="12.75" hidden="false" customHeight="false" outlineLevel="0" collapsed="false">
      <c r="A369" s="42"/>
    </row>
    <row r="370" customFormat="false" ht="12.75" hidden="false" customHeight="false" outlineLevel="0" collapsed="false">
      <c r="A370" s="42"/>
    </row>
    <row r="371" customFormat="false" ht="12.75" hidden="false" customHeight="false" outlineLevel="0" collapsed="false">
      <c r="A371" s="42"/>
    </row>
    <row r="372" customFormat="false" ht="12.75" hidden="false" customHeight="false" outlineLevel="0" collapsed="false">
      <c r="A372" s="42"/>
    </row>
    <row r="373" customFormat="false" ht="12.75" hidden="false" customHeight="false" outlineLevel="0" collapsed="false">
      <c r="A373" s="42"/>
    </row>
    <row r="374" customFormat="false" ht="12.75" hidden="false" customHeight="false" outlineLevel="0" collapsed="false">
      <c r="A374" s="42"/>
    </row>
    <row r="375" customFormat="false" ht="12.75" hidden="false" customHeight="false" outlineLevel="0" collapsed="false">
      <c r="A375" s="42"/>
    </row>
    <row r="376" customFormat="false" ht="12.75" hidden="false" customHeight="false" outlineLevel="0" collapsed="false">
      <c r="A376" s="42"/>
    </row>
    <row r="377" customFormat="false" ht="12.75" hidden="false" customHeight="false" outlineLevel="0" collapsed="false">
      <c r="A377" s="42"/>
    </row>
    <row r="378" customFormat="false" ht="12.75" hidden="false" customHeight="false" outlineLevel="0" collapsed="false">
      <c r="A378" s="42"/>
    </row>
    <row r="379" customFormat="false" ht="12.75" hidden="false" customHeight="false" outlineLevel="0" collapsed="false">
      <c r="A379" s="42"/>
    </row>
    <row r="380" customFormat="false" ht="12.75" hidden="false" customHeight="false" outlineLevel="0" collapsed="false">
      <c r="A380" s="42"/>
    </row>
    <row r="381" customFormat="false" ht="12.75" hidden="false" customHeight="false" outlineLevel="0" collapsed="false">
      <c r="A381" s="42"/>
    </row>
    <row r="382" customFormat="false" ht="12.75" hidden="false" customHeight="false" outlineLevel="0" collapsed="false">
      <c r="A382" s="42"/>
    </row>
    <row r="383" customFormat="false" ht="12.75" hidden="false" customHeight="false" outlineLevel="0" collapsed="false">
      <c r="A383" s="42"/>
    </row>
    <row r="384" customFormat="false" ht="12.75" hidden="false" customHeight="false" outlineLevel="0" collapsed="false">
      <c r="A384" s="42"/>
    </row>
    <row r="385" customFormat="false" ht="12.75" hidden="false" customHeight="false" outlineLevel="0" collapsed="false">
      <c r="A385" s="42"/>
    </row>
    <row r="386" customFormat="false" ht="12.75" hidden="false" customHeight="false" outlineLevel="0" collapsed="false">
      <c r="A386" s="42"/>
    </row>
    <row r="387" customFormat="false" ht="12.75" hidden="false" customHeight="false" outlineLevel="0" collapsed="false">
      <c r="A387" s="42"/>
    </row>
    <row r="388" customFormat="false" ht="12.75" hidden="false" customHeight="false" outlineLevel="0" collapsed="false">
      <c r="A388" s="42"/>
    </row>
    <row r="389" customFormat="false" ht="12.75" hidden="false" customHeight="false" outlineLevel="0" collapsed="false">
      <c r="A389" s="42"/>
    </row>
    <row r="390" customFormat="false" ht="12.75" hidden="false" customHeight="false" outlineLevel="0" collapsed="false">
      <c r="A390" s="42"/>
    </row>
    <row r="391" customFormat="false" ht="12.75" hidden="false" customHeight="false" outlineLevel="0" collapsed="false">
      <c r="A391" s="42"/>
    </row>
    <row r="392" customFormat="false" ht="12.75" hidden="false" customHeight="false" outlineLevel="0" collapsed="false">
      <c r="A392" s="42"/>
    </row>
    <row r="393" customFormat="false" ht="12.75" hidden="false" customHeight="false" outlineLevel="0" collapsed="false">
      <c r="A393" s="42"/>
    </row>
    <row r="394" customFormat="false" ht="12.75" hidden="false" customHeight="false" outlineLevel="0" collapsed="false">
      <c r="A394" s="42"/>
    </row>
    <row r="395" customFormat="false" ht="12.75" hidden="false" customHeight="false" outlineLevel="0" collapsed="false">
      <c r="A395" s="42"/>
    </row>
    <row r="396" customFormat="false" ht="12.75" hidden="false" customHeight="false" outlineLevel="0" collapsed="false">
      <c r="A396" s="42"/>
    </row>
    <row r="397" customFormat="false" ht="12.75" hidden="false" customHeight="false" outlineLevel="0" collapsed="false">
      <c r="A397" s="42"/>
    </row>
    <row r="398" customFormat="false" ht="12.75" hidden="false" customHeight="false" outlineLevel="0" collapsed="false">
      <c r="A398" s="42"/>
    </row>
    <row r="399" customFormat="false" ht="12.75" hidden="false" customHeight="false" outlineLevel="0" collapsed="false">
      <c r="A399" s="42"/>
    </row>
    <row r="400" customFormat="false" ht="12.75" hidden="false" customHeight="false" outlineLevel="0" collapsed="false">
      <c r="A400" s="42"/>
    </row>
    <row r="401" customFormat="false" ht="12.75" hidden="false" customHeight="false" outlineLevel="0" collapsed="false">
      <c r="A401" s="42"/>
    </row>
    <row r="402" customFormat="false" ht="12.75" hidden="false" customHeight="false" outlineLevel="0" collapsed="false">
      <c r="A402" s="42"/>
    </row>
    <row r="403" customFormat="false" ht="12.75" hidden="false" customHeight="false" outlineLevel="0" collapsed="false">
      <c r="A403" s="42"/>
    </row>
    <row r="404" customFormat="false" ht="12.75" hidden="false" customHeight="false" outlineLevel="0" collapsed="false">
      <c r="A404" s="42"/>
    </row>
    <row r="405" customFormat="false" ht="12.75" hidden="false" customHeight="false" outlineLevel="0" collapsed="false">
      <c r="A405" s="42"/>
    </row>
    <row r="406" customFormat="false" ht="12.75" hidden="false" customHeight="false" outlineLevel="0" collapsed="false">
      <c r="A406" s="42"/>
    </row>
    <row r="407" customFormat="false" ht="12.75" hidden="false" customHeight="false" outlineLevel="0" collapsed="false">
      <c r="A407" s="42"/>
    </row>
    <row r="408" customFormat="false" ht="12.75" hidden="false" customHeight="false" outlineLevel="0" collapsed="false">
      <c r="A408" s="42"/>
    </row>
    <row r="409" customFormat="false" ht="12.75" hidden="false" customHeight="false" outlineLevel="0" collapsed="false">
      <c r="A409" s="42"/>
    </row>
    <row r="410" customFormat="false" ht="12.75" hidden="false" customHeight="false" outlineLevel="0" collapsed="false">
      <c r="A410" s="42"/>
    </row>
    <row r="411" customFormat="false" ht="12.75" hidden="false" customHeight="false" outlineLevel="0" collapsed="false">
      <c r="A411" s="42"/>
    </row>
    <row r="412" customFormat="false" ht="12.75" hidden="false" customHeight="false" outlineLevel="0" collapsed="false">
      <c r="A412" s="42"/>
    </row>
    <row r="413" customFormat="false" ht="12.75" hidden="false" customHeight="false" outlineLevel="0" collapsed="false">
      <c r="A413" s="42"/>
    </row>
    <row r="414" customFormat="false" ht="12.75" hidden="false" customHeight="false" outlineLevel="0" collapsed="false">
      <c r="A414" s="42"/>
    </row>
    <row r="415" customFormat="false" ht="12.75" hidden="false" customHeight="false" outlineLevel="0" collapsed="false">
      <c r="A415" s="42"/>
    </row>
    <row r="416" customFormat="false" ht="12.75" hidden="false" customHeight="false" outlineLevel="0" collapsed="false">
      <c r="A416" s="42"/>
    </row>
    <row r="417" customFormat="false" ht="12.75" hidden="false" customHeight="false" outlineLevel="0" collapsed="false">
      <c r="A417" s="42"/>
    </row>
    <row r="418" customFormat="false" ht="12.75" hidden="false" customHeight="false" outlineLevel="0" collapsed="false">
      <c r="A418" s="42"/>
    </row>
    <row r="419" customFormat="false" ht="12.75" hidden="false" customHeight="false" outlineLevel="0" collapsed="false">
      <c r="A419" s="42"/>
    </row>
    <row r="420" customFormat="false" ht="12.75" hidden="false" customHeight="false" outlineLevel="0" collapsed="false">
      <c r="A420" s="42"/>
    </row>
    <row r="421" customFormat="false" ht="12.75" hidden="false" customHeight="false" outlineLevel="0" collapsed="false">
      <c r="A421" s="42"/>
    </row>
    <row r="422" customFormat="false" ht="12.75" hidden="false" customHeight="false" outlineLevel="0" collapsed="false">
      <c r="A422" s="42"/>
    </row>
    <row r="423" customFormat="false" ht="12.75" hidden="false" customHeight="false" outlineLevel="0" collapsed="false">
      <c r="A423" s="42"/>
    </row>
    <row r="424" customFormat="false" ht="12.75" hidden="false" customHeight="false" outlineLevel="0" collapsed="false">
      <c r="A424" s="42"/>
    </row>
    <row r="425" customFormat="false" ht="12.75" hidden="false" customHeight="false" outlineLevel="0" collapsed="false">
      <c r="A425" s="42"/>
    </row>
    <row r="426" customFormat="false" ht="12.75" hidden="false" customHeight="false" outlineLevel="0" collapsed="false">
      <c r="A426" s="42"/>
    </row>
    <row r="427" customFormat="false" ht="12.75" hidden="false" customHeight="false" outlineLevel="0" collapsed="false">
      <c r="A427" s="42"/>
    </row>
    <row r="428" customFormat="false" ht="12.75" hidden="false" customHeight="false" outlineLevel="0" collapsed="false">
      <c r="A428" s="42"/>
    </row>
    <row r="429" customFormat="false" ht="12.75" hidden="false" customHeight="false" outlineLevel="0" collapsed="false">
      <c r="A429" s="42"/>
    </row>
    <row r="430" customFormat="false" ht="12.75" hidden="false" customHeight="false" outlineLevel="0" collapsed="false">
      <c r="A430" s="42"/>
    </row>
    <row r="431" customFormat="false" ht="12.75" hidden="false" customHeight="false" outlineLevel="0" collapsed="false">
      <c r="A431" s="42"/>
    </row>
    <row r="432" customFormat="false" ht="12.75" hidden="false" customHeight="false" outlineLevel="0" collapsed="false">
      <c r="A432" s="42"/>
    </row>
    <row r="433" customFormat="false" ht="12.75" hidden="false" customHeight="false" outlineLevel="0" collapsed="false">
      <c r="A433" s="42"/>
    </row>
    <row r="434" customFormat="false" ht="12.75" hidden="false" customHeight="false" outlineLevel="0" collapsed="false">
      <c r="A434" s="42"/>
    </row>
    <row r="435" customFormat="false" ht="12.75" hidden="false" customHeight="false" outlineLevel="0" collapsed="false">
      <c r="A435" s="42"/>
    </row>
    <row r="436" customFormat="false" ht="12.75" hidden="false" customHeight="false" outlineLevel="0" collapsed="false">
      <c r="A436" s="42"/>
    </row>
    <row r="437" customFormat="false" ht="12.75" hidden="false" customHeight="false" outlineLevel="0" collapsed="false">
      <c r="A437" s="42"/>
    </row>
    <row r="438" customFormat="false" ht="12.75" hidden="false" customHeight="false" outlineLevel="0" collapsed="false">
      <c r="A438" s="42"/>
    </row>
    <row r="439" customFormat="false" ht="12.75" hidden="false" customHeight="false" outlineLevel="0" collapsed="false">
      <c r="A439" s="42"/>
    </row>
    <row r="440" customFormat="false" ht="12.75" hidden="false" customHeight="false" outlineLevel="0" collapsed="false">
      <c r="A440" s="42"/>
    </row>
    <row r="441" customFormat="false" ht="12.75" hidden="false" customHeight="false" outlineLevel="0" collapsed="false">
      <c r="A441" s="42"/>
    </row>
    <row r="442" customFormat="false" ht="12.75" hidden="false" customHeight="false" outlineLevel="0" collapsed="false">
      <c r="A442" s="42"/>
    </row>
    <row r="443" customFormat="false" ht="12.75" hidden="false" customHeight="false" outlineLevel="0" collapsed="false">
      <c r="A443" s="42"/>
    </row>
    <row r="444" customFormat="false" ht="12.75" hidden="false" customHeight="false" outlineLevel="0" collapsed="false">
      <c r="A444" s="42"/>
    </row>
    <row r="445" customFormat="false" ht="12.75" hidden="false" customHeight="false" outlineLevel="0" collapsed="false">
      <c r="A445" s="42"/>
    </row>
    <row r="446" customFormat="false" ht="12.75" hidden="false" customHeight="false" outlineLevel="0" collapsed="false">
      <c r="A446" s="42"/>
    </row>
    <row r="447" customFormat="false" ht="12.75" hidden="false" customHeight="false" outlineLevel="0" collapsed="false">
      <c r="A447" s="42"/>
    </row>
    <row r="448" customFormat="false" ht="12.75" hidden="false" customHeight="false" outlineLevel="0" collapsed="false">
      <c r="A448" s="42"/>
    </row>
    <row r="449" customFormat="false" ht="12.75" hidden="false" customHeight="false" outlineLevel="0" collapsed="false">
      <c r="A449" s="42"/>
    </row>
    <row r="450" customFormat="false" ht="12.75" hidden="false" customHeight="false" outlineLevel="0" collapsed="false">
      <c r="A450" s="42"/>
    </row>
    <row r="451" customFormat="false" ht="12.75" hidden="false" customHeight="false" outlineLevel="0" collapsed="false">
      <c r="A451" s="42"/>
    </row>
    <row r="452" customFormat="false" ht="12.75" hidden="false" customHeight="false" outlineLevel="0" collapsed="false">
      <c r="A452" s="42"/>
    </row>
    <row r="453" customFormat="false" ht="12.75" hidden="false" customHeight="false" outlineLevel="0" collapsed="false">
      <c r="A453" s="42"/>
    </row>
    <row r="454" customFormat="false" ht="12.75" hidden="false" customHeight="false" outlineLevel="0" collapsed="false">
      <c r="A454" s="42"/>
    </row>
    <row r="455" customFormat="false" ht="12.75" hidden="false" customHeight="false" outlineLevel="0" collapsed="false">
      <c r="A455" s="42"/>
    </row>
    <row r="456" customFormat="false" ht="12.75" hidden="false" customHeight="false" outlineLevel="0" collapsed="false">
      <c r="A456" s="42"/>
    </row>
    <row r="457" customFormat="false" ht="12.75" hidden="false" customHeight="false" outlineLevel="0" collapsed="false">
      <c r="A457" s="42"/>
    </row>
    <row r="458" customFormat="false" ht="12.75" hidden="false" customHeight="false" outlineLevel="0" collapsed="false">
      <c r="A458" s="42"/>
    </row>
    <row r="459" customFormat="false" ht="12.75" hidden="false" customHeight="false" outlineLevel="0" collapsed="false">
      <c r="A459" s="42"/>
    </row>
    <row r="460" customFormat="false" ht="12.75" hidden="false" customHeight="false" outlineLevel="0" collapsed="false">
      <c r="A460" s="42"/>
    </row>
    <row r="461" customFormat="false" ht="12.75" hidden="false" customHeight="false" outlineLevel="0" collapsed="false">
      <c r="A461" s="42"/>
    </row>
    <row r="462" customFormat="false" ht="12.75" hidden="false" customHeight="false" outlineLevel="0" collapsed="false">
      <c r="A462" s="42"/>
    </row>
    <row r="463" customFormat="false" ht="12.75" hidden="false" customHeight="false" outlineLevel="0" collapsed="false">
      <c r="A463" s="42"/>
    </row>
    <row r="464" customFormat="false" ht="12.75" hidden="false" customHeight="false" outlineLevel="0" collapsed="false">
      <c r="A464" s="42"/>
    </row>
    <row r="465" customFormat="false" ht="12.75" hidden="false" customHeight="false" outlineLevel="0" collapsed="false">
      <c r="A465" s="42"/>
    </row>
    <row r="466" customFormat="false" ht="12.75" hidden="false" customHeight="false" outlineLevel="0" collapsed="false">
      <c r="A466" s="42"/>
    </row>
    <row r="467" customFormat="false" ht="12.75" hidden="false" customHeight="false" outlineLevel="0" collapsed="false">
      <c r="A467" s="42"/>
    </row>
    <row r="468" customFormat="false" ht="12.75" hidden="false" customHeight="false" outlineLevel="0" collapsed="false">
      <c r="A468" s="42"/>
    </row>
    <row r="469" customFormat="false" ht="12.75" hidden="false" customHeight="false" outlineLevel="0" collapsed="false">
      <c r="A469" s="42"/>
    </row>
    <row r="470" customFormat="false" ht="12.75" hidden="false" customHeight="false" outlineLevel="0" collapsed="false">
      <c r="A470" s="42"/>
    </row>
    <row r="471" customFormat="false" ht="12.75" hidden="false" customHeight="false" outlineLevel="0" collapsed="false">
      <c r="A471" s="42"/>
    </row>
    <row r="472" customFormat="false" ht="12.75" hidden="false" customHeight="false" outlineLevel="0" collapsed="false">
      <c r="A472" s="42"/>
    </row>
    <row r="473" customFormat="false" ht="12.75" hidden="false" customHeight="false" outlineLevel="0" collapsed="false">
      <c r="A473" s="42"/>
    </row>
    <row r="474" customFormat="false" ht="12.75" hidden="false" customHeight="false" outlineLevel="0" collapsed="false">
      <c r="A474" s="42"/>
    </row>
    <row r="475" customFormat="false" ht="12.75" hidden="false" customHeight="false" outlineLevel="0" collapsed="false">
      <c r="A475" s="42"/>
    </row>
    <row r="476" customFormat="false" ht="12.75" hidden="false" customHeight="false" outlineLevel="0" collapsed="false">
      <c r="A476" s="42"/>
    </row>
    <row r="477" customFormat="false" ht="12.75" hidden="false" customHeight="false" outlineLevel="0" collapsed="false">
      <c r="A477" s="42"/>
    </row>
    <row r="478" customFormat="false" ht="12.75" hidden="false" customHeight="false" outlineLevel="0" collapsed="false">
      <c r="A478" s="42"/>
    </row>
    <row r="479" customFormat="false" ht="12.75" hidden="false" customHeight="false" outlineLevel="0" collapsed="false">
      <c r="A479" s="42"/>
    </row>
    <row r="480" customFormat="false" ht="12.75" hidden="false" customHeight="false" outlineLevel="0" collapsed="false">
      <c r="A480" s="42"/>
    </row>
    <row r="481" customFormat="false" ht="12.75" hidden="false" customHeight="false" outlineLevel="0" collapsed="false">
      <c r="A481" s="42"/>
    </row>
    <row r="482" customFormat="false" ht="12.75" hidden="false" customHeight="false" outlineLevel="0" collapsed="false">
      <c r="A482" s="42"/>
    </row>
    <row r="483" customFormat="false" ht="12.75" hidden="false" customHeight="false" outlineLevel="0" collapsed="false">
      <c r="A483" s="42"/>
    </row>
    <row r="484" customFormat="false" ht="12.75" hidden="false" customHeight="false" outlineLevel="0" collapsed="false">
      <c r="A484" s="42"/>
    </row>
    <row r="485" customFormat="false" ht="12.75" hidden="false" customHeight="false" outlineLevel="0" collapsed="false">
      <c r="A485" s="42"/>
    </row>
    <row r="486" customFormat="false" ht="12.75" hidden="false" customHeight="false" outlineLevel="0" collapsed="false">
      <c r="A486" s="42"/>
    </row>
    <row r="487" customFormat="false" ht="12.75" hidden="false" customHeight="false" outlineLevel="0" collapsed="false">
      <c r="A487" s="42"/>
    </row>
    <row r="488" customFormat="false" ht="12.75" hidden="false" customHeight="false" outlineLevel="0" collapsed="false">
      <c r="A488" s="42"/>
    </row>
    <row r="489" customFormat="false" ht="12.75" hidden="false" customHeight="false" outlineLevel="0" collapsed="false">
      <c r="A489" s="42"/>
    </row>
    <row r="490" customFormat="false" ht="12.75" hidden="false" customHeight="false" outlineLevel="0" collapsed="false">
      <c r="A490" s="42"/>
    </row>
    <row r="491" customFormat="false" ht="12.75" hidden="false" customHeight="false" outlineLevel="0" collapsed="false">
      <c r="A491" s="42"/>
    </row>
    <row r="492" customFormat="false" ht="12.75" hidden="false" customHeight="false" outlineLevel="0" collapsed="false">
      <c r="A492" s="42"/>
    </row>
    <row r="493" customFormat="false" ht="12.75" hidden="false" customHeight="false" outlineLevel="0" collapsed="false">
      <c r="A493" s="42"/>
    </row>
    <row r="494" customFormat="false" ht="12.75" hidden="false" customHeight="false" outlineLevel="0" collapsed="false">
      <c r="A494" s="42"/>
    </row>
    <row r="495" customFormat="false" ht="12.75" hidden="false" customHeight="false" outlineLevel="0" collapsed="false">
      <c r="A495" s="42"/>
    </row>
    <row r="496" customFormat="false" ht="12.75" hidden="false" customHeight="false" outlineLevel="0" collapsed="false">
      <c r="A496" s="42"/>
    </row>
    <row r="497" customFormat="false" ht="12.75" hidden="false" customHeight="false" outlineLevel="0" collapsed="false">
      <c r="A497" s="42"/>
    </row>
    <row r="498" customFormat="false" ht="12.75" hidden="false" customHeight="false" outlineLevel="0" collapsed="false">
      <c r="A498" s="42"/>
    </row>
    <row r="499" customFormat="false" ht="12.75" hidden="false" customHeight="false" outlineLevel="0" collapsed="false">
      <c r="A499" s="42"/>
    </row>
    <row r="500" customFormat="false" ht="12.75" hidden="false" customHeight="false" outlineLevel="0" collapsed="false">
      <c r="A500" s="42"/>
    </row>
    <row r="501" customFormat="false" ht="12.75" hidden="false" customHeight="false" outlineLevel="0" collapsed="false">
      <c r="A501" s="42"/>
    </row>
    <row r="502" customFormat="false" ht="12.75" hidden="false" customHeight="false" outlineLevel="0" collapsed="false">
      <c r="A502" s="42"/>
    </row>
    <row r="503" customFormat="false" ht="12.75" hidden="false" customHeight="false" outlineLevel="0" collapsed="false">
      <c r="A503" s="42"/>
    </row>
    <row r="504" customFormat="false" ht="12.75" hidden="false" customHeight="false" outlineLevel="0" collapsed="false">
      <c r="A504" s="42"/>
    </row>
    <row r="505" customFormat="false" ht="12.75" hidden="false" customHeight="false" outlineLevel="0" collapsed="false">
      <c r="A505" s="42"/>
    </row>
    <row r="506" customFormat="false" ht="12.75" hidden="false" customHeight="false" outlineLevel="0" collapsed="false">
      <c r="A506" s="42"/>
    </row>
    <row r="507" customFormat="false" ht="12.75" hidden="false" customHeight="false" outlineLevel="0" collapsed="false">
      <c r="A507" s="42"/>
    </row>
    <row r="508" customFormat="false" ht="12.75" hidden="false" customHeight="false" outlineLevel="0" collapsed="false">
      <c r="A508" s="42"/>
    </row>
    <row r="509" customFormat="false" ht="12.75" hidden="false" customHeight="false" outlineLevel="0" collapsed="false">
      <c r="A509" s="42"/>
    </row>
    <row r="510" customFormat="false" ht="12.75" hidden="false" customHeight="false" outlineLevel="0" collapsed="false">
      <c r="A510" s="42"/>
    </row>
    <row r="511" customFormat="false" ht="12.75" hidden="false" customHeight="false" outlineLevel="0" collapsed="false">
      <c r="A511" s="42"/>
    </row>
    <row r="512" customFormat="false" ht="12.75" hidden="false" customHeight="false" outlineLevel="0" collapsed="false">
      <c r="A512" s="42"/>
    </row>
    <row r="513" customFormat="false" ht="12.75" hidden="false" customHeight="false" outlineLevel="0" collapsed="false">
      <c r="A513" s="42"/>
    </row>
    <row r="514" customFormat="false" ht="12.75" hidden="false" customHeight="false" outlineLevel="0" collapsed="false">
      <c r="A514" s="42"/>
    </row>
    <row r="515" customFormat="false" ht="12.75" hidden="false" customHeight="false" outlineLevel="0" collapsed="false">
      <c r="A515" s="42"/>
    </row>
  </sheetData>
  <printOptions headings="false" gridLines="true" gridLinesSet="true" horizontalCentered="true" verticalCentered="true"/>
  <pageMargins left="0" right="0" top="0" bottom="0" header="0" footer="0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3" manualBreakCount="3">
    <brk id="14" man="true" max="65535" min="0"/>
    <brk id="26" man="true" max="65535" min="0"/>
    <brk id="3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1" width="15.15"/>
    <col collapsed="false" customWidth="false" hidden="false" outlineLevel="0" max="2" min="2" style="42" width="15.15"/>
    <col collapsed="false" customWidth="true" hidden="false" outlineLevel="0" max="3" min="3" style="3" width="19.15"/>
    <col collapsed="false" customWidth="false" hidden="false" outlineLevel="0" max="5" min="4" style="3" width="15.15"/>
    <col collapsed="false" customWidth="true" hidden="false" outlineLevel="0" max="6" min="6" style="3" width="18.15"/>
    <col collapsed="false" customWidth="false" hidden="false" outlineLevel="0" max="8" min="7" style="3" width="15.15"/>
    <col collapsed="false" customWidth="true" hidden="false" outlineLevel="0" max="9" min="9" style="3" width="18.15"/>
    <col collapsed="false" customWidth="false" hidden="false" outlineLevel="0" max="11" min="10" style="3" width="15.15"/>
    <col collapsed="false" customWidth="true" hidden="false" outlineLevel="0" max="12" min="12" style="3" width="18.15"/>
    <col collapsed="false" customWidth="false" hidden="false" outlineLevel="0" max="14" min="13" style="3" width="15.15"/>
    <col collapsed="false" customWidth="true" hidden="false" outlineLevel="0" max="15" min="15" style="3" width="18.15"/>
    <col collapsed="false" customWidth="false" hidden="false" outlineLevel="0" max="17" min="16" style="3" width="15.15"/>
    <col collapsed="false" customWidth="true" hidden="false" outlineLevel="0" max="18" min="18" style="3" width="18.15"/>
    <col collapsed="false" customWidth="false" hidden="false" outlineLevel="0" max="20" min="19" style="3" width="15.15"/>
    <col collapsed="false" customWidth="true" hidden="false" outlineLevel="0" max="21" min="21" style="3" width="18.15"/>
    <col collapsed="false" customWidth="false" hidden="false" outlineLevel="0" max="23" min="22" style="3" width="15.15"/>
    <col collapsed="false" customWidth="true" hidden="false" outlineLevel="0" max="24" min="24" style="3" width="18.15"/>
    <col collapsed="false" customWidth="false" hidden="false" outlineLevel="0" max="26" min="25" style="3" width="15.15"/>
    <col collapsed="false" customWidth="true" hidden="false" outlineLevel="0" max="27" min="27" style="3" width="18.15"/>
    <col collapsed="false" customWidth="false" hidden="false" outlineLevel="0" max="29" min="28" style="3" width="15.15"/>
    <col collapsed="false" customWidth="true" hidden="false" outlineLevel="0" max="30" min="30" style="3" width="18.15"/>
    <col collapsed="false" customWidth="false" hidden="false" outlineLevel="0" max="32" min="31" style="3" width="15.15"/>
    <col collapsed="false" customWidth="true" hidden="false" outlineLevel="0" max="33" min="33" style="3" width="18.15"/>
    <col collapsed="false" customWidth="false" hidden="false" outlineLevel="0" max="35" min="34" style="3" width="15.15"/>
    <col collapsed="false" customWidth="true" hidden="false" outlineLevel="0" max="36" min="36" style="3" width="18.15"/>
    <col collapsed="false" customWidth="false" hidden="false" outlineLevel="0" max="38" min="37" style="3" width="15.15"/>
    <col collapsed="false" customWidth="true" hidden="false" outlineLevel="0" max="39" min="39" style="3" width="18.15"/>
    <col collapsed="false" customWidth="false" hidden="false" outlineLevel="0" max="40" min="40" style="3" width="15.15"/>
    <col collapsed="false" customWidth="true" hidden="false" outlineLevel="0" max="41" min="41" style="3" width="24.49"/>
    <col collapsed="false" customWidth="true" hidden="false" outlineLevel="0" max="42" min="42" style="3" width="18.15"/>
    <col collapsed="false" customWidth="false" hidden="false" outlineLevel="0" max="44" min="43" style="3" width="15.15"/>
    <col collapsed="false" customWidth="true" hidden="false" outlineLevel="0" max="45" min="45" style="3" width="18.15"/>
    <col collapsed="false" customWidth="false" hidden="false" outlineLevel="0" max="47" min="46" style="3" width="15.15"/>
    <col collapsed="false" customWidth="true" hidden="false" outlineLevel="0" max="48" min="48" style="3" width="18.15"/>
    <col collapsed="false" customWidth="false" hidden="false" outlineLevel="0" max="122" min="49" style="3" width="15.15"/>
    <col collapsed="false" customWidth="false" hidden="false" outlineLevel="0" max="123" min="123" style="43" width="15.15"/>
    <col collapsed="false" customWidth="false" hidden="false" outlineLevel="0" max="126" min="124" style="40" width="15.15"/>
    <col collapsed="false" customWidth="false" hidden="false" outlineLevel="0" max="128" min="127" style="3" width="15.15"/>
    <col collapsed="false" customWidth="false" hidden="false" outlineLevel="0" max="129" min="129" style="43" width="15.15"/>
    <col collapsed="false" customWidth="false" hidden="false" outlineLevel="0" max="141" min="130" style="3" width="15.15"/>
    <col collapsed="false" customWidth="false" hidden="false" outlineLevel="0" max="149" min="142" style="44" width="15.15"/>
    <col collapsed="false" customWidth="false" hidden="false" outlineLevel="0" max="171" min="150" style="45" width="15.15"/>
    <col collapsed="false" customWidth="false" hidden="false" outlineLevel="0" max="178" min="172" style="46" width="15.15"/>
    <col collapsed="false" customWidth="false" hidden="false" outlineLevel="0" max="257" min="179" style="1" width="15.15"/>
  </cols>
  <sheetData>
    <row r="1" customFormat="false" ht="12.75" hidden="false" customHeight="false" outlineLevel="0" collapsed="false">
      <c r="A1" s="47" t="s">
        <v>74</v>
      </c>
      <c r="B1" s="48" t="n">
        <f aca="false">+A6</f>
        <v>36678</v>
      </c>
      <c r="C1" s="8"/>
      <c r="D1" s="8"/>
      <c r="E1" s="8"/>
      <c r="F1" s="8" t="s">
        <v>76</v>
      </c>
      <c r="G1" s="8"/>
      <c r="H1" s="8"/>
      <c r="I1" s="8" t="n">
        <v>0</v>
      </c>
      <c r="J1" s="8"/>
      <c r="K1" s="8"/>
      <c r="L1" s="8" t="n">
        <v>0</v>
      </c>
      <c r="M1" s="8"/>
      <c r="N1" s="8"/>
      <c r="O1" s="8" t="s">
        <v>100</v>
      </c>
      <c r="P1" s="8"/>
      <c r="Q1" s="8"/>
      <c r="R1" s="8" t="n">
        <v>4.28</v>
      </c>
      <c r="S1" s="8"/>
      <c r="T1" s="8"/>
      <c r="U1" s="8" t="n">
        <v>4.45</v>
      </c>
      <c r="V1" s="8"/>
      <c r="W1" s="8"/>
      <c r="X1" s="8" t="n">
        <v>4.42</v>
      </c>
      <c r="Y1" s="8"/>
      <c r="Z1" s="8"/>
      <c r="AA1" s="8" t="n">
        <v>4.26</v>
      </c>
      <c r="AB1" s="8"/>
      <c r="AC1" s="8"/>
      <c r="AD1" s="8" t="n">
        <v>4.34</v>
      </c>
      <c r="AE1" s="8"/>
      <c r="AF1" s="8"/>
      <c r="AG1" s="8" t="n">
        <v>4.34</v>
      </c>
      <c r="AH1" s="8"/>
      <c r="AI1" s="8"/>
      <c r="AJ1" s="8" t="n">
        <v>4.345</v>
      </c>
      <c r="AK1" s="8"/>
      <c r="AL1" s="8"/>
      <c r="AM1" s="8" t="s">
        <v>76</v>
      </c>
      <c r="AN1" s="8"/>
      <c r="AO1" s="8"/>
      <c r="AP1" s="8" t="n">
        <v>4.34</v>
      </c>
      <c r="AQ1" s="8"/>
      <c r="AR1" s="8"/>
      <c r="AS1" s="8" t="s">
        <v>101</v>
      </c>
      <c r="AT1" s="8"/>
      <c r="AU1" s="8"/>
      <c r="AV1" s="8" t="s">
        <v>102</v>
      </c>
      <c r="AW1" s="8"/>
      <c r="AX1" s="8"/>
      <c r="AY1" s="8" t="n">
        <v>4.78</v>
      </c>
      <c r="AZ1" s="8"/>
      <c r="BA1" s="8"/>
      <c r="BB1" s="8" t="n">
        <v>4.78</v>
      </c>
      <c r="BC1" s="8"/>
      <c r="BD1" s="8"/>
      <c r="BE1" s="8" t="n">
        <v>4.81</v>
      </c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47"/>
      <c r="DT1" s="47"/>
      <c r="DU1" s="47"/>
      <c r="DV1" s="47"/>
      <c r="DW1" s="8"/>
      <c r="DX1" s="8"/>
      <c r="DY1" s="91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10" t="s">
        <v>48</v>
      </c>
      <c r="B2" s="10"/>
      <c r="C2" s="12" t="n">
        <v>111891</v>
      </c>
      <c r="D2" s="12"/>
      <c r="E2" s="12"/>
      <c r="F2" s="12" t="n">
        <v>264492</v>
      </c>
      <c r="G2" s="12"/>
      <c r="H2" s="12"/>
      <c r="I2" s="12" t="n">
        <v>279921</v>
      </c>
      <c r="J2" s="12"/>
      <c r="K2" s="12"/>
      <c r="L2" s="12" t="n">
        <v>279921</v>
      </c>
      <c r="M2" s="12"/>
      <c r="N2" s="12"/>
      <c r="O2" s="12" t="n">
        <v>261905</v>
      </c>
      <c r="P2" s="12"/>
      <c r="Q2" s="12"/>
      <c r="R2" s="12" t="n">
        <v>280180</v>
      </c>
      <c r="S2" s="12"/>
      <c r="T2" s="12"/>
      <c r="U2" s="12" t="n">
        <v>281525</v>
      </c>
      <c r="V2" s="12"/>
      <c r="W2" s="12"/>
      <c r="X2" s="12" t="n">
        <v>279927</v>
      </c>
      <c r="Y2" s="12"/>
      <c r="Z2" s="12"/>
      <c r="AA2" s="12" t="n">
        <v>279989</v>
      </c>
      <c r="AB2" s="12"/>
      <c r="AC2" s="12"/>
      <c r="AD2" s="12" t="s">
        <v>103</v>
      </c>
      <c r="AE2" s="12"/>
      <c r="AF2" s="12"/>
      <c r="AG2" s="12" t="n">
        <v>281311</v>
      </c>
      <c r="AH2" s="12"/>
      <c r="AI2" s="12"/>
      <c r="AJ2" s="12" t="n">
        <v>281390</v>
      </c>
      <c r="AK2" s="12"/>
      <c r="AL2" s="12"/>
      <c r="AM2" s="12" t="n">
        <v>258312</v>
      </c>
      <c r="AN2" s="12"/>
      <c r="AO2" s="12"/>
      <c r="AP2" s="12" t="n">
        <v>280630</v>
      </c>
      <c r="AQ2" s="12"/>
      <c r="AR2" s="12"/>
      <c r="AS2" s="12" t="n">
        <v>281629</v>
      </c>
      <c r="AT2" s="12"/>
      <c r="AU2" s="12"/>
      <c r="AV2" s="12" t="n">
        <v>280015</v>
      </c>
      <c r="AW2" s="12"/>
      <c r="AX2" s="12"/>
      <c r="AY2" s="12" t="n">
        <v>283887</v>
      </c>
      <c r="AZ2" s="12"/>
      <c r="BA2" s="12"/>
      <c r="BB2" s="12" t="n">
        <v>283720</v>
      </c>
      <c r="BC2" s="12"/>
      <c r="BD2" s="12"/>
      <c r="BE2" s="12" t="n">
        <v>284350</v>
      </c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53"/>
      <c r="DT2" s="4"/>
      <c r="DU2" s="4"/>
      <c r="DV2" s="54"/>
      <c r="DW2" s="12"/>
      <c r="DX2" s="12"/>
      <c r="DY2" s="9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55"/>
      <c r="EM2" s="55"/>
      <c r="EN2" s="55"/>
      <c r="EO2" s="55"/>
      <c r="EP2" s="55"/>
      <c r="EQ2" s="55"/>
      <c r="ER2" s="55"/>
      <c r="ES2" s="55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7"/>
      <c r="FQ2" s="57"/>
      <c r="FR2" s="57"/>
      <c r="FS2" s="57"/>
      <c r="FT2" s="57"/>
      <c r="FU2" s="57"/>
      <c r="FV2" s="57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0" t="s">
        <v>104</v>
      </c>
      <c r="B3" s="10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53"/>
      <c r="DT3" s="4"/>
      <c r="DU3" s="4"/>
      <c r="DV3" s="54"/>
      <c r="DW3" s="12"/>
      <c r="DX3" s="12"/>
      <c r="DY3" s="9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55"/>
      <c r="EM3" s="55"/>
      <c r="EN3" s="55"/>
      <c r="EO3" s="55"/>
      <c r="EP3" s="55"/>
      <c r="EQ3" s="55"/>
      <c r="ER3" s="55"/>
      <c r="ES3" s="55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7"/>
      <c r="FQ3" s="57"/>
      <c r="FR3" s="57"/>
      <c r="FS3" s="57"/>
      <c r="FT3" s="57"/>
      <c r="FU3" s="57"/>
      <c r="FV3" s="57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10" t="s">
        <v>87</v>
      </c>
      <c r="B4" s="10" t="s">
        <v>88</v>
      </c>
      <c r="C4" s="12" t="s">
        <v>105</v>
      </c>
      <c r="D4" s="12"/>
      <c r="E4" s="12" t="s">
        <v>83</v>
      </c>
      <c r="F4" s="12" t="s">
        <v>18</v>
      </c>
      <c r="G4" s="12"/>
      <c r="H4" s="12" t="s">
        <v>83</v>
      </c>
      <c r="I4" s="12" t="s">
        <v>20</v>
      </c>
      <c r="J4" s="12"/>
      <c r="K4" s="12" t="s">
        <v>83</v>
      </c>
      <c r="L4" s="12" t="s">
        <v>20</v>
      </c>
      <c r="M4" s="12"/>
      <c r="N4" s="12" t="s">
        <v>83</v>
      </c>
      <c r="O4" s="12" t="s">
        <v>23</v>
      </c>
      <c r="P4" s="12"/>
      <c r="Q4" s="12" t="s">
        <v>83</v>
      </c>
      <c r="R4" s="12" t="s">
        <v>24</v>
      </c>
      <c r="S4" s="12"/>
      <c r="T4" s="12" t="s">
        <v>83</v>
      </c>
      <c r="U4" s="12" t="s">
        <v>24</v>
      </c>
      <c r="V4" s="12"/>
      <c r="W4" s="12" t="s">
        <v>83</v>
      </c>
      <c r="X4" s="12" t="s">
        <v>36</v>
      </c>
      <c r="Y4" s="12"/>
      <c r="Z4" s="12" t="s">
        <v>83</v>
      </c>
      <c r="AA4" s="12" t="s">
        <v>36</v>
      </c>
      <c r="AB4" s="12"/>
      <c r="AC4" s="12" t="s">
        <v>83</v>
      </c>
      <c r="AD4" s="12" t="s">
        <v>36</v>
      </c>
      <c r="AE4" s="12"/>
      <c r="AF4" s="12" t="s">
        <v>83</v>
      </c>
      <c r="AG4" s="12" t="s">
        <v>106</v>
      </c>
      <c r="AH4" s="12"/>
      <c r="AI4" s="12" t="s">
        <v>83</v>
      </c>
      <c r="AJ4" s="12" t="s">
        <v>106</v>
      </c>
      <c r="AK4" s="12"/>
      <c r="AL4" s="12" t="s">
        <v>83</v>
      </c>
      <c r="AM4" s="12" t="s">
        <v>107</v>
      </c>
      <c r="AN4" s="12"/>
      <c r="AO4" s="12" t="s">
        <v>83</v>
      </c>
      <c r="AP4" s="12" t="s">
        <v>28</v>
      </c>
      <c r="AQ4" s="12"/>
      <c r="AR4" s="12" t="s">
        <v>83</v>
      </c>
      <c r="AS4" s="12" t="s">
        <v>30</v>
      </c>
      <c r="AT4" s="12"/>
      <c r="AU4" s="12" t="s">
        <v>83</v>
      </c>
      <c r="AV4" s="12" t="s">
        <v>108</v>
      </c>
      <c r="AW4" s="12"/>
      <c r="AX4" s="12" t="s">
        <v>83</v>
      </c>
      <c r="AY4" s="12" t="s">
        <v>109</v>
      </c>
      <c r="AZ4" s="12"/>
      <c r="BA4" s="12" t="s">
        <v>83</v>
      </c>
      <c r="BB4" s="12" t="s">
        <v>36</v>
      </c>
      <c r="BC4" s="12"/>
      <c r="BD4" s="12" t="s">
        <v>83</v>
      </c>
      <c r="BE4" s="12" t="s">
        <v>23</v>
      </c>
      <c r="BF4" s="12"/>
      <c r="BG4" s="12" t="s">
        <v>83</v>
      </c>
      <c r="BH4" s="12"/>
      <c r="BI4" s="12"/>
      <c r="BJ4" s="12" t="s">
        <v>83</v>
      </c>
      <c r="BK4" s="12"/>
      <c r="BL4" s="12"/>
      <c r="BM4" s="12" t="s">
        <v>83</v>
      </c>
      <c r="BN4" s="12"/>
      <c r="BO4" s="12"/>
      <c r="BP4" s="12" t="s">
        <v>83</v>
      </c>
      <c r="BQ4" s="12"/>
      <c r="BR4" s="12"/>
      <c r="BS4" s="12" t="s">
        <v>83</v>
      </c>
      <c r="BT4" s="12"/>
      <c r="BU4" s="12"/>
      <c r="BV4" s="12" t="s">
        <v>83</v>
      </c>
      <c r="BW4" s="12"/>
      <c r="BX4" s="12"/>
      <c r="BY4" s="12" t="s">
        <v>83</v>
      </c>
      <c r="BZ4" s="12"/>
      <c r="CA4" s="12"/>
      <c r="CB4" s="12" t="s">
        <v>83</v>
      </c>
      <c r="CC4" s="12"/>
      <c r="CD4" s="12"/>
      <c r="CE4" s="12" t="s">
        <v>83</v>
      </c>
      <c r="CF4" s="12"/>
      <c r="CG4" s="12"/>
      <c r="CH4" s="12" t="s">
        <v>83</v>
      </c>
      <c r="CI4" s="12"/>
      <c r="CJ4" s="12"/>
      <c r="CK4" s="12" t="s">
        <v>83</v>
      </c>
      <c r="CL4" s="12"/>
      <c r="CM4" s="12"/>
      <c r="CN4" s="12" t="s">
        <v>83</v>
      </c>
      <c r="CO4" s="12"/>
      <c r="CP4" s="12"/>
      <c r="CQ4" s="12" t="s">
        <v>83</v>
      </c>
      <c r="CR4" s="12"/>
      <c r="CS4" s="12"/>
      <c r="CT4" s="12" t="s">
        <v>83</v>
      </c>
      <c r="CU4" s="12"/>
      <c r="CV4" s="12"/>
      <c r="CW4" s="12" t="s">
        <v>83</v>
      </c>
      <c r="CX4" s="12"/>
      <c r="CY4" s="12"/>
      <c r="CZ4" s="12" t="s">
        <v>83</v>
      </c>
      <c r="DA4" s="12"/>
      <c r="DB4" s="12"/>
      <c r="DC4" s="12" t="s">
        <v>83</v>
      </c>
      <c r="DD4" s="12"/>
      <c r="DE4" s="12"/>
      <c r="DF4" s="12" t="s">
        <v>83</v>
      </c>
      <c r="DG4" s="12"/>
      <c r="DH4" s="12"/>
      <c r="DI4" s="12" t="s">
        <v>83</v>
      </c>
      <c r="DJ4" s="12"/>
      <c r="DK4" s="12"/>
      <c r="DL4" s="12" t="s">
        <v>83</v>
      </c>
      <c r="DM4" s="12"/>
      <c r="DN4" s="12"/>
      <c r="DO4" s="12" t="s">
        <v>83</v>
      </c>
      <c r="DP4" s="12"/>
      <c r="DQ4" s="12"/>
      <c r="DR4" s="12" t="s">
        <v>83</v>
      </c>
      <c r="DS4" s="10" t="s">
        <v>50</v>
      </c>
      <c r="DT4" s="11" t="s">
        <v>50</v>
      </c>
      <c r="DU4" s="4"/>
      <c r="DV4" s="54"/>
      <c r="DW4" s="12"/>
      <c r="DX4" s="12"/>
      <c r="DY4" s="9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55"/>
      <c r="EM4" s="55"/>
      <c r="EN4" s="55"/>
      <c r="EO4" s="55"/>
      <c r="EP4" s="55"/>
      <c r="EQ4" s="55"/>
      <c r="ER4" s="55"/>
      <c r="ES4" s="55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7"/>
      <c r="FQ4" s="57"/>
      <c r="FR4" s="57"/>
      <c r="FS4" s="57"/>
      <c r="FT4" s="57"/>
      <c r="FU4" s="57"/>
      <c r="FV4" s="57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51</v>
      </c>
      <c r="B5" s="10" t="s">
        <v>92</v>
      </c>
      <c r="C5" s="19" t="s">
        <v>110</v>
      </c>
      <c r="D5" s="19"/>
      <c r="E5" s="19" t="s">
        <v>94</v>
      </c>
      <c r="F5" s="19" t="s">
        <v>55</v>
      </c>
      <c r="G5" s="19"/>
      <c r="H5" s="19" t="s">
        <v>94</v>
      </c>
      <c r="I5" s="19" t="s">
        <v>57</v>
      </c>
      <c r="J5" s="19"/>
      <c r="K5" s="19" t="s">
        <v>94</v>
      </c>
      <c r="L5" s="19" t="s">
        <v>59</v>
      </c>
      <c r="M5" s="19"/>
      <c r="N5" s="19" t="s">
        <v>94</v>
      </c>
      <c r="O5" s="19" t="s">
        <v>56</v>
      </c>
      <c r="P5" s="19"/>
      <c r="Q5" s="19" t="s">
        <v>94</v>
      </c>
      <c r="R5" s="19" t="s">
        <v>56</v>
      </c>
      <c r="S5" s="19"/>
      <c r="T5" s="19" t="s">
        <v>94</v>
      </c>
      <c r="U5" s="19" t="s">
        <v>56</v>
      </c>
      <c r="V5" s="19"/>
      <c r="W5" s="19" t="s">
        <v>94</v>
      </c>
      <c r="X5" s="19" t="s">
        <v>56</v>
      </c>
      <c r="Y5" s="19"/>
      <c r="Z5" s="19" t="s">
        <v>94</v>
      </c>
      <c r="AA5" s="19" t="s">
        <v>56</v>
      </c>
      <c r="AB5" s="19"/>
      <c r="AC5" s="19" t="s">
        <v>94</v>
      </c>
      <c r="AD5" s="19" t="s">
        <v>111</v>
      </c>
      <c r="AE5" s="19"/>
      <c r="AF5" s="19" t="s">
        <v>94</v>
      </c>
      <c r="AG5" s="19" t="s">
        <v>60</v>
      </c>
      <c r="AH5" s="19"/>
      <c r="AI5" s="19" t="s">
        <v>94</v>
      </c>
      <c r="AJ5" s="19" t="s">
        <v>60</v>
      </c>
      <c r="AK5" s="19"/>
      <c r="AL5" s="19" t="s">
        <v>94</v>
      </c>
      <c r="AM5" s="19" t="s">
        <v>55</v>
      </c>
      <c r="AN5" s="19"/>
      <c r="AO5" s="19" t="s">
        <v>94</v>
      </c>
      <c r="AP5" s="19" t="s">
        <v>59</v>
      </c>
      <c r="AQ5" s="19"/>
      <c r="AR5" s="19" t="s">
        <v>94</v>
      </c>
      <c r="AS5" s="19" t="s">
        <v>59</v>
      </c>
      <c r="AT5" s="19"/>
      <c r="AU5" s="19" t="s">
        <v>94</v>
      </c>
      <c r="AV5" s="19" t="s">
        <v>56</v>
      </c>
      <c r="AW5" s="19"/>
      <c r="AX5" s="19" t="s">
        <v>94</v>
      </c>
      <c r="AY5" s="19" t="s">
        <v>112</v>
      </c>
      <c r="AZ5" s="19"/>
      <c r="BA5" s="19" t="s">
        <v>94</v>
      </c>
      <c r="BB5" s="19" t="s">
        <v>60</v>
      </c>
      <c r="BC5" s="19"/>
      <c r="BD5" s="19" t="s">
        <v>94</v>
      </c>
      <c r="BE5" s="19" t="s">
        <v>60</v>
      </c>
      <c r="BF5" s="19"/>
      <c r="BG5" s="19" t="s">
        <v>94</v>
      </c>
      <c r="BH5" s="19"/>
      <c r="BI5" s="19"/>
      <c r="BJ5" s="19" t="s">
        <v>94</v>
      </c>
      <c r="BK5" s="19"/>
      <c r="BL5" s="19"/>
      <c r="BM5" s="19" t="s">
        <v>94</v>
      </c>
      <c r="BN5" s="19"/>
      <c r="BO5" s="19"/>
      <c r="BP5" s="19" t="s">
        <v>94</v>
      </c>
      <c r="BQ5" s="19"/>
      <c r="BR5" s="19"/>
      <c r="BS5" s="19" t="s">
        <v>94</v>
      </c>
      <c r="BT5" s="19"/>
      <c r="BU5" s="19"/>
      <c r="BV5" s="19" t="s">
        <v>94</v>
      </c>
      <c r="BW5" s="19"/>
      <c r="BX5" s="19"/>
      <c r="BY5" s="19" t="s">
        <v>94</v>
      </c>
      <c r="BZ5" s="19"/>
      <c r="CA5" s="19"/>
      <c r="CB5" s="19" t="s">
        <v>94</v>
      </c>
      <c r="CC5" s="19"/>
      <c r="CD5" s="19"/>
      <c r="CE5" s="19" t="s">
        <v>94</v>
      </c>
      <c r="CF5" s="19"/>
      <c r="CG5" s="19"/>
      <c r="CH5" s="19" t="s">
        <v>94</v>
      </c>
      <c r="CI5" s="19"/>
      <c r="CJ5" s="19"/>
      <c r="CK5" s="19" t="s">
        <v>94</v>
      </c>
      <c r="CL5" s="19"/>
      <c r="CM5" s="19"/>
      <c r="CN5" s="19" t="s">
        <v>94</v>
      </c>
      <c r="CO5" s="19"/>
      <c r="CP5" s="19"/>
      <c r="CQ5" s="19" t="s">
        <v>94</v>
      </c>
      <c r="CR5" s="19"/>
      <c r="CS5" s="19"/>
      <c r="CT5" s="19" t="s">
        <v>94</v>
      </c>
      <c r="CU5" s="19"/>
      <c r="CV5" s="19"/>
      <c r="CW5" s="19" t="s">
        <v>94</v>
      </c>
      <c r="CX5" s="19"/>
      <c r="CY5" s="19"/>
      <c r="CZ5" s="19" t="s">
        <v>94</v>
      </c>
      <c r="DA5" s="19"/>
      <c r="DB5" s="19"/>
      <c r="DC5" s="19" t="s">
        <v>94</v>
      </c>
      <c r="DD5" s="19"/>
      <c r="DE5" s="19"/>
      <c r="DF5" s="19" t="s">
        <v>94</v>
      </c>
      <c r="DG5" s="19"/>
      <c r="DH5" s="19"/>
      <c r="DI5" s="19" t="s">
        <v>94</v>
      </c>
      <c r="DJ5" s="19"/>
      <c r="DK5" s="19"/>
      <c r="DL5" s="19" t="s">
        <v>94</v>
      </c>
      <c r="DM5" s="19"/>
      <c r="DN5" s="19"/>
      <c r="DO5" s="19" t="s">
        <v>94</v>
      </c>
      <c r="DP5" s="19"/>
      <c r="DQ5" s="19"/>
      <c r="DR5" s="19" t="s">
        <v>94</v>
      </c>
      <c r="DS5" s="54" t="s">
        <v>74</v>
      </c>
      <c r="DT5" s="54" t="s">
        <v>95</v>
      </c>
      <c r="DU5" s="54" t="s">
        <v>94</v>
      </c>
      <c r="DV5" s="19"/>
      <c r="DW5" s="19"/>
      <c r="DX5" s="19"/>
      <c r="DY5" s="93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65"/>
      <c r="EM5" s="65"/>
      <c r="EN5" s="65"/>
      <c r="EO5" s="65"/>
      <c r="EP5" s="65"/>
      <c r="EQ5" s="65"/>
      <c r="ER5" s="65"/>
      <c r="ES5" s="65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7"/>
      <c r="FQ5" s="67"/>
      <c r="FR5" s="67"/>
      <c r="FS5" s="67"/>
      <c r="FT5" s="67"/>
      <c r="FU5" s="67"/>
      <c r="FV5" s="67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2.75" hidden="false" customHeight="false" outlineLevel="0" collapsed="false">
      <c r="A6" s="94" t="n">
        <v>36678</v>
      </c>
      <c r="B6" s="69" t="s">
        <v>113</v>
      </c>
      <c r="C6" s="22" t="n">
        <v>4178</v>
      </c>
      <c r="D6" s="22" t="n">
        <v>4178</v>
      </c>
      <c r="E6" s="70" t="n">
        <f aca="false">D6-C6</f>
        <v>0</v>
      </c>
      <c r="F6" s="22" t="n">
        <v>5000</v>
      </c>
      <c r="G6" s="22" t="n">
        <v>5000</v>
      </c>
      <c r="H6" s="70" t="n">
        <f aca="false">G6-F6</f>
        <v>0</v>
      </c>
      <c r="I6" s="22" t="n">
        <v>4666</v>
      </c>
      <c r="J6" s="22" t="n">
        <v>4666</v>
      </c>
      <c r="K6" s="70" t="n">
        <f aca="false">J6-I6</f>
        <v>0</v>
      </c>
      <c r="L6" s="22" t="n">
        <v>16000</v>
      </c>
      <c r="M6" s="22" t="n">
        <f aca="false">2101+14999</f>
        <v>17100</v>
      </c>
      <c r="N6" s="70" t="n">
        <f aca="false">M6-L6</f>
        <v>1100</v>
      </c>
      <c r="O6" s="22" t="n">
        <v>10000</v>
      </c>
      <c r="P6" s="22" t="n">
        <v>10000</v>
      </c>
      <c r="Q6" s="70" t="n">
        <f aca="false">P6-O6</f>
        <v>0</v>
      </c>
      <c r="R6" s="22" t="n">
        <v>20000</v>
      </c>
      <c r="S6" s="22" t="n">
        <v>20000</v>
      </c>
      <c r="T6" s="70" t="n">
        <f aca="false">S6-R6</f>
        <v>0</v>
      </c>
      <c r="U6" s="22" t="n">
        <v>10000</v>
      </c>
      <c r="V6" s="22" t="n">
        <v>10000</v>
      </c>
      <c r="W6" s="70" t="n">
        <f aca="false">V6-U6</f>
        <v>0</v>
      </c>
      <c r="X6" s="22" t="n">
        <v>5000</v>
      </c>
      <c r="Y6" s="22" t="n">
        <v>5000</v>
      </c>
      <c r="Z6" s="70" t="n">
        <f aca="false">Y6-X6</f>
        <v>0</v>
      </c>
      <c r="AA6" s="22" t="n">
        <v>5000</v>
      </c>
      <c r="AB6" s="22" t="n">
        <v>5000</v>
      </c>
      <c r="AC6" s="70" t="n">
        <f aca="false">AB6-AA6</f>
        <v>0</v>
      </c>
      <c r="AD6" s="22" t="n">
        <f aca="false">10000+3388</f>
        <v>13388</v>
      </c>
      <c r="AE6" s="22" t="n">
        <f aca="false">10000+3388</f>
        <v>13388</v>
      </c>
      <c r="AF6" s="70" t="n">
        <f aca="false">AE6-AD6</f>
        <v>0</v>
      </c>
      <c r="AG6" s="22" t="n">
        <v>10000</v>
      </c>
      <c r="AH6" s="22" t="n">
        <v>10000</v>
      </c>
      <c r="AI6" s="70" t="n">
        <f aca="false">AH6-AG6</f>
        <v>0</v>
      </c>
      <c r="AJ6" s="22" t="n">
        <v>10000</v>
      </c>
      <c r="AK6" s="22" t="n">
        <v>10000</v>
      </c>
      <c r="AL6" s="70" t="n">
        <f aca="false">AK6-AJ6</f>
        <v>0</v>
      </c>
      <c r="AM6" s="22" t="n">
        <v>10000</v>
      </c>
      <c r="AN6" s="22" t="n">
        <v>10000</v>
      </c>
      <c r="AO6" s="70" t="n">
        <f aca="false">AN6-AM6</f>
        <v>0</v>
      </c>
      <c r="AP6" s="22" t="n">
        <v>5000</v>
      </c>
      <c r="AQ6" s="22" t="n">
        <v>5000</v>
      </c>
      <c r="AR6" s="70" t="n">
        <f aca="false">AQ6-AP6</f>
        <v>0</v>
      </c>
      <c r="AS6" s="22" t="n">
        <v>20000</v>
      </c>
      <c r="AT6" s="22" t="n">
        <v>20000</v>
      </c>
      <c r="AU6" s="70" t="n">
        <f aca="false">AT6-AS6</f>
        <v>0</v>
      </c>
      <c r="AV6" s="22" t="n">
        <v>20000</v>
      </c>
      <c r="AW6" s="22" t="n">
        <v>20000</v>
      </c>
      <c r="AX6" s="70" t="n">
        <f aca="false">AW6-AV6</f>
        <v>0</v>
      </c>
      <c r="AY6" s="22" t="n">
        <v>2928</v>
      </c>
      <c r="AZ6" s="22" t="n">
        <v>2928</v>
      </c>
      <c r="BA6" s="70" t="n">
        <f aca="false">AZ6-AY6</f>
        <v>0</v>
      </c>
      <c r="BB6" s="22" t="n">
        <v>3388</v>
      </c>
      <c r="BC6" s="22" t="n">
        <v>3388</v>
      </c>
      <c r="BD6" s="70" t="n">
        <f aca="false">BC6-BB6</f>
        <v>0</v>
      </c>
      <c r="BE6" s="22"/>
      <c r="BF6" s="22"/>
      <c r="BG6" s="70" t="n">
        <f aca="false">BF6-BE6</f>
        <v>0</v>
      </c>
      <c r="BH6" s="22"/>
      <c r="BI6" s="22"/>
      <c r="BJ6" s="70" t="n">
        <f aca="false">BI6-BH6</f>
        <v>0</v>
      </c>
      <c r="BK6" s="22"/>
      <c r="BL6" s="22"/>
      <c r="BM6" s="70" t="n">
        <f aca="false">BL6-BK6</f>
        <v>0</v>
      </c>
      <c r="BN6" s="22"/>
      <c r="BO6" s="22"/>
      <c r="BP6" s="70" t="n">
        <f aca="false">BO6-BN6</f>
        <v>0</v>
      </c>
      <c r="BQ6" s="22"/>
      <c r="BR6" s="22"/>
      <c r="BS6" s="70" t="n">
        <f aca="false">BR6-BQ6</f>
        <v>0</v>
      </c>
      <c r="BT6" s="22"/>
      <c r="BU6" s="22"/>
      <c r="BV6" s="70" t="n">
        <f aca="false">BU6-BT6</f>
        <v>0</v>
      </c>
      <c r="BW6" s="22"/>
      <c r="BX6" s="22"/>
      <c r="BY6" s="70" t="n">
        <f aca="false">BX6-BW6</f>
        <v>0</v>
      </c>
      <c r="BZ6" s="22"/>
      <c r="CA6" s="22"/>
      <c r="CB6" s="70" t="n">
        <f aca="false">CA6-BZ6</f>
        <v>0</v>
      </c>
      <c r="CC6" s="22"/>
      <c r="CD6" s="22"/>
      <c r="CE6" s="70" t="n">
        <f aca="false">CD6-CC6</f>
        <v>0</v>
      </c>
      <c r="CF6" s="22"/>
      <c r="CG6" s="22"/>
      <c r="CH6" s="70" t="n">
        <f aca="false">CG6-CF6</f>
        <v>0</v>
      </c>
      <c r="CI6" s="22"/>
      <c r="CJ6" s="22"/>
      <c r="CK6" s="70" t="n">
        <f aca="false">CJ6-CI6</f>
        <v>0</v>
      </c>
      <c r="CL6" s="22"/>
      <c r="CM6" s="22"/>
      <c r="CN6" s="70" t="n">
        <f aca="false">CM6-CL6</f>
        <v>0</v>
      </c>
      <c r="CO6" s="22"/>
      <c r="CP6" s="22"/>
      <c r="CQ6" s="70" t="n">
        <f aca="false">CP6-CO6</f>
        <v>0</v>
      </c>
      <c r="CR6" s="22"/>
      <c r="CS6" s="22"/>
      <c r="CT6" s="70" t="n">
        <f aca="false">CS6-CR6</f>
        <v>0</v>
      </c>
      <c r="CU6" s="22"/>
      <c r="CV6" s="22"/>
      <c r="CW6" s="70" t="n">
        <f aca="false">CV6-CU6</f>
        <v>0</v>
      </c>
      <c r="CX6" s="22"/>
      <c r="CY6" s="22"/>
      <c r="CZ6" s="70" t="n">
        <f aca="false">CY6-CX6</f>
        <v>0</v>
      </c>
      <c r="DA6" s="22"/>
      <c r="DB6" s="22"/>
      <c r="DC6" s="70" t="n">
        <f aca="false">DB6-DA6</f>
        <v>0</v>
      </c>
      <c r="DD6" s="22"/>
      <c r="DE6" s="22"/>
      <c r="DF6" s="70" t="n">
        <f aca="false">DE6-DD6</f>
        <v>0</v>
      </c>
      <c r="DG6" s="22"/>
      <c r="DH6" s="22"/>
      <c r="DI6" s="70" t="n">
        <f aca="false">DH6-DG6</f>
        <v>0</v>
      </c>
      <c r="DJ6" s="22"/>
      <c r="DK6" s="22"/>
      <c r="DL6" s="70" t="n">
        <f aca="false">DK6-DJ6</f>
        <v>0</v>
      </c>
      <c r="DM6" s="22"/>
      <c r="DN6" s="22"/>
      <c r="DO6" s="70" t="n">
        <f aca="false">DN6-DM6</f>
        <v>0</v>
      </c>
      <c r="DP6" s="22"/>
      <c r="DQ6" s="22"/>
      <c r="DR6" s="70" t="n">
        <f aca="false">DQ6-DP6</f>
        <v>0</v>
      </c>
      <c r="DS6" s="70" t="n">
        <f aca="false">+C6+F6+I6+L6+O6+R6+U6+X6+AA6+AD6+AG6+AJ6+AM6+AP6+AS6+AV6+AY6+BB6+BE6+BH6+BK6+BN6+BQ6+BT6+BW6+BZ6+CC6+CF6+CI6+CL6+CO6+CR6+CU6+CX6+DA6+DD6+DG6+DJ6+DM6+DP6</f>
        <v>174548</v>
      </c>
      <c r="DT6" s="70" t="n">
        <f aca="false">+D6+G6+J6+M6+P6+S6+V6+Y6+AB6+AE6+AH6+AK6+AN6+AQ6+AT6+AW6+AZ6+BC6+BF6+BI6+BL6+BO6+BR6+BU6+BX6+CA6+CD6+CG6+CJ6+CM6+CP6+CS6+CV6+CY6+DB6+DE6+DH6+DK6+DN6+DQ6</f>
        <v>175648</v>
      </c>
      <c r="DU6" s="70" t="n">
        <f aca="false">DT6-DS6</f>
        <v>1100</v>
      </c>
      <c r="DV6" s="22"/>
      <c r="DW6" s="22"/>
      <c r="DX6" s="70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38"/>
      <c r="EM6" s="38"/>
      <c r="EN6" s="38"/>
      <c r="EO6" s="38"/>
      <c r="EP6" s="38"/>
      <c r="EQ6" s="38"/>
      <c r="ER6" s="38"/>
      <c r="ES6" s="38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2"/>
      <c r="FQ6" s="72"/>
      <c r="FR6" s="72"/>
      <c r="FS6" s="72"/>
      <c r="FT6" s="72"/>
      <c r="FU6" s="72"/>
      <c r="FV6" s="72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2.75" hidden="false" customHeight="false" outlineLevel="0" collapsed="false">
      <c r="A7" s="69" t="n">
        <f aca="false">A6+1</f>
        <v>36679</v>
      </c>
      <c r="B7" s="69" t="s">
        <v>114</v>
      </c>
      <c r="C7" s="22" t="n">
        <v>4178</v>
      </c>
      <c r="D7" s="22" t="n">
        <v>4178</v>
      </c>
      <c r="E7" s="70" t="n">
        <f aca="false">D7-C7</f>
        <v>0</v>
      </c>
      <c r="F7" s="22" t="n">
        <v>5000</v>
      </c>
      <c r="G7" s="22" t="n">
        <v>5000</v>
      </c>
      <c r="H7" s="70" t="n">
        <f aca="false">G7-F7</f>
        <v>0</v>
      </c>
      <c r="I7" s="22" t="n">
        <v>4666</v>
      </c>
      <c r="J7" s="22" t="n">
        <v>4666</v>
      </c>
      <c r="K7" s="70" t="n">
        <f aca="false">J7-I7</f>
        <v>0</v>
      </c>
      <c r="L7" s="22" t="n">
        <v>16000</v>
      </c>
      <c r="M7" s="22" t="n">
        <f aca="false">14999+1000</f>
        <v>15999</v>
      </c>
      <c r="N7" s="70" t="n">
        <f aca="false">M7-L7</f>
        <v>-1</v>
      </c>
      <c r="O7" s="22" t="n">
        <v>10000</v>
      </c>
      <c r="P7" s="22" t="n">
        <v>10000</v>
      </c>
      <c r="Q7" s="70" t="n">
        <f aca="false">P7-O7</f>
        <v>0</v>
      </c>
      <c r="R7" s="22" t="n">
        <v>20000</v>
      </c>
      <c r="S7" s="22" t="n">
        <v>20000</v>
      </c>
      <c r="T7" s="70" t="n">
        <f aca="false">S7-R7</f>
        <v>0</v>
      </c>
      <c r="U7" s="22" t="n">
        <v>10000</v>
      </c>
      <c r="V7" s="22" t="n">
        <v>10000</v>
      </c>
      <c r="W7" s="70" t="n">
        <f aca="false">V7-U7</f>
        <v>0</v>
      </c>
      <c r="X7" s="22" t="n">
        <v>5000</v>
      </c>
      <c r="Y7" s="22" t="n">
        <v>5000</v>
      </c>
      <c r="Z7" s="70" t="n">
        <f aca="false">Y7-X7</f>
        <v>0</v>
      </c>
      <c r="AA7" s="22" t="n">
        <v>5000</v>
      </c>
      <c r="AB7" s="22" t="n">
        <v>5000</v>
      </c>
      <c r="AC7" s="70" t="n">
        <f aca="false">AB7-AA7</f>
        <v>0</v>
      </c>
      <c r="AD7" s="22" t="n">
        <f aca="false">10000+3575</f>
        <v>13575</v>
      </c>
      <c r="AE7" s="22" t="n">
        <f aca="false">10000+3575</f>
        <v>13575</v>
      </c>
      <c r="AF7" s="70" t="n">
        <f aca="false">AE7-AD7</f>
        <v>0</v>
      </c>
      <c r="AG7" s="22" t="n">
        <v>10000</v>
      </c>
      <c r="AH7" s="22" t="n">
        <v>10000</v>
      </c>
      <c r="AI7" s="70" t="n">
        <f aca="false">AH7-AG7</f>
        <v>0</v>
      </c>
      <c r="AJ7" s="22" t="n">
        <v>10000</v>
      </c>
      <c r="AK7" s="22" t="n">
        <v>10000</v>
      </c>
      <c r="AL7" s="70" t="n">
        <f aca="false">AK7-AJ7</f>
        <v>0</v>
      </c>
      <c r="AM7" s="22" t="n">
        <v>10000</v>
      </c>
      <c r="AN7" s="22" t="n">
        <v>10000</v>
      </c>
      <c r="AO7" s="70" t="n">
        <f aca="false">AN7-AM7</f>
        <v>0</v>
      </c>
      <c r="AP7" s="22" t="n">
        <v>5000</v>
      </c>
      <c r="AQ7" s="22" t="n">
        <v>5000</v>
      </c>
      <c r="AR7" s="70" t="n">
        <f aca="false">AQ7-AP7</f>
        <v>0</v>
      </c>
      <c r="AS7" s="22" t="n">
        <v>20000</v>
      </c>
      <c r="AT7" s="22" t="n">
        <v>20000</v>
      </c>
      <c r="AU7" s="70" t="n">
        <f aca="false">AT7-AS7</f>
        <v>0</v>
      </c>
      <c r="AV7" s="22" t="n">
        <v>20000</v>
      </c>
      <c r="AW7" s="22" t="n">
        <v>20000</v>
      </c>
      <c r="AX7" s="70" t="n">
        <f aca="false">AW7-AV7</f>
        <v>0</v>
      </c>
      <c r="AY7" s="22" t="n">
        <f aca="false">609+3049</f>
        <v>3658</v>
      </c>
      <c r="AZ7" s="22" t="n">
        <f aca="false">609+3049</f>
        <v>3658</v>
      </c>
      <c r="BA7" s="70" t="n">
        <f aca="false">AZ7-AY7</f>
        <v>0</v>
      </c>
      <c r="BB7" s="22" t="n">
        <v>3575</v>
      </c>
      <c r="BC7" s="22" t="n">
        <v>3575</v>
      </c>
      <c r="BD7" s="70" t="n">
        <f aca="false">BC7-BB7</f>
        <v>0</v>
      </c>
      <c r="BE7" s="22" t="n">
        <v>5000</v>
      </c>
      <c r="BF7" s="22" t="n">
        <v>5000</v>
      </c>
      <c r="BG7" s="70" t="n">
        <f aca="false">BF7-BE7</f>
        <v>0</v>
      </c>
      <c r="BH7" s="22"/>
      <c r="BI7" s="22"/>
      <c r="BJ7" s="70" t="n">
        <f aca="false">BI7-BH7</f>
        <v>0</v>
      </c>
      <c r="BK7" s="22"/>
      <c r="BL7" s="22"/>
      <c r="BM7" s="70" t="n">
        <f aca="false">BL7-BK7</f>
        <v>0</v>
      </c>
      <c r="BN7" s="22"/>
      <c r="BO7" s="22"/>
      <c r="BP7" s="70" t="n">
        <f aca="false">BO7-BN7</f>
        <v>0</v>
      </c>
      <c r="BQ7" s="22"/>
      <c r="BR7" s="22"/>
      <c r="BS7" s="70" t="n">
        <f aca="false">BR7-BQ7</f>
        <v>0</v>
      </c>
      <c r="BT7" s="22"/>
      <c r="BU7" s="22"/>
      <c r="BV7" s="70" t="n">
        <f aca="false">BU7-BT7</f>
        <v>0</v>
      </c>
      <c r="BW7" s="22"/>
      <c r="BX7" s="22"/>
      <c r="BY7" s="70" t="n">
        <f aca="false">BX7-BW7</f>
        <v>0</v>
      </c>
      <c r="BZ7" s="22"/>
      <c r="CA7" s="22"/>
      <c r="CB7" s="70" t="n">
        <f aca="false">CA7-BZ7</f>
        <v>0</v>
      </c>
      <c r="CC7" s="22"/>
      <c r="CD7" s="22"/>
      <c r="CE7" s="70" t="n">
        <f aca="false">CD7-CC7</f>
        <v>0</v>
      </c>
      <c r="CF7" s="22"/>
      <c r="CG7" s="22"/>
      <c r="CH7" s="70" t="n">
        <f aca="false">CG7-CF7</f>
        <v>0</v>
      </c>
      <c r="CI7" s="22"/>
      <c r="CJ7" s="22"/>
      <c r="CK7" s="70" t="n">
        <f aca="false">CJ7-CI7</f>
        <v>0</v>
      </c>
      <c r="CL7" s="22"/>
      <c r="CM7" s="22"/>
      <c r="CN7" s="70" t="n">
        <f aca="false">CM7-CL7</f>
        <v>0</v>
      </c>
      <c r="CO7" s="22"/>
      <c r="CP7" s="22"/>
      <c r="CQ7" s="70" t="n">
        <f aca="false">CP7-CO7</f>
        <v>0</v>
      </c>
      <c r="CR7" s="22"/>
      <c r="CS7" s="22"/>
      <c r="CT7" s="70" t="n">
        <f aca="false">CS7-CR7</f>
        <v>0</v>
      </c>
      <c r="CU7" s="22"/>
      <c r="CV7" s="22"/>
      <c r="CW7" s="70" t="n">
        <f aca="false">CV7-CU7</f>
        <v>0</v>
      </c>
      <c r="CX7" s="22"/>
      <c r="CY7" s="22"/>
      <c r="CZ7" s="70" t="n">
        <f aca="false">CY7-CX7</f>
        <v>0</v>
      </c>
      <c r="DA7" s="22"/>
      <c r="DB7" s="22"/>
      <c r="DC7" s="70" t="n">
        <f aca="false">DB7-DA7</f>
        <v>0</v>
      </c>
      <c r="DD7" s="22"/>
      <c r="DE7" s="22"/>
      <c r="DF7" s="70" t="n">
        <f aca="false">DE7-DD7</f>
        <v>0</v>
      </c>
      <c r="DG7" s="22"/>
      <c r="DH7" s="22"/>
      <c r="DI7" s="70" t="n">
        <f aca="false">DH7-DG7</f>
        <v>0</v>
      </c>
      <c r="DJ7" s="22"/>
      <c r="DK7" s="22"/>
      <c r="DL7" s="70" t="n">
        <f aca="false">DK7-DJ7</f>
        <v>0</v>
      </c>
      <c r="DM7" s="22"/>
      <c r="DN7" s="22"/>
      <c r="DO7" s="70" t="n">
        <f aca="false">DN7-DM7</f>
        <v>0</v>
      </c>
      <c r="DP7" s="22"/>
      <c r="DQ7" s="22"/>
      <c r="DR7" s="70" t="n">
        <f aca="false">DQ7-DP7</f>
        <v>0</v>
      </c>
      <c r="DS7" s="70" t="n">
        <f aca="false">+C7+F7+I7+L7+O7+R7+U7+X7+AA7+AD7+AG7+AJ7+AM7+AP7+AS7+AV7+AY7+BB7+BE7+BH7+BK7+BN7+BQ7+BT7+BW7+BZ7+CC7+CF7+CI7+CL7+CO7+CR7+CU7+CX7+DA7+DD7+DG7+DJ7+DM7+DP7</f>
        <v>180652</v>
      </c>
      <c r="DT7" s="70" t="n">
        <f aca="false">+D7+G7+J7+M7+P7+S7+V7+Y7+AB7+AE7+AH7+AK7+AN7+AQ7+AT7+AW7+AZ7+BC7+BF7+BI7+BL7+BO7+BR7+BU7+BX7+CA7+CD7+CG7+CJ7+CM7+CP7+CS7+CV7+CY7+DB7+DE7+DH7+DK7+DN7+DQ7</f>
        <v>180651</v>
      </c>
      <c r="DU7" s="70" t="n">
        <f aca="false">DT7-DS7</f>
        <v>-1</v>
      </c>
      <c r="DV7" s="22"/>
      <c r="DW7" s="22"/>
      <c r="DX7" s="70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38"/>
      <c r="EM7" s="38"/>
      <c r="EN7" s="38"/>
      <c r="EO7" s="38"/>
      <c r="EP7" s="38"/>
      <c r="EQ7" s="38"/>
      <c r="ER7" s="38"/>
      <c r="ES7" s="38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2"/>
      <c r="FQ7" s="72"/>
      <c r="FR7" s="72"/>
      <c r="FS7" s="72"/>
      <c r="FT7" s="72"/>
      <c r="FU7" s="72"/>
      <c r="FV7" s="72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2.75" hidden="false" customHeight="false" outlineLevel="0" collapsed="false">
      <c r="A8" s="69" t="n">
        <f aca="false">A7+1</f>
        <v>36680</v>
      </c>
      <c r="B8" s="69" t="s">
        <v>115</v>
      </c>
      <c r="C8" s="22" t="n">
        <v>4178</v>
      </c>
      <c r="D8" s="22" t="n">
        <v>4178</v>
      </c>
      <c r="E8" s="70" t="n">
        <f aca="false">D8-C8</f>
        <v>0</v>
      </c>
      <c r="F8" s="22" t="n">
        <v>5000</v>
      </c>
      <c r="G8" s="22" t="n">
        <v>5000</v>
      </c>
      <c r="H8" s="70" t="n">
        <f aca="false">G8-F8</f>
        <v>0</v>
      </c>
      <c r="I8" s="22" t="n">
        <v>4666</v>
      </c>
      <c r="J8" s="22" t="n">
        <v>4666</v>
      </c>
      <c r="K8" s="70" t="n">
        <f aca="false">J8-I8</f>
        <v>0</v>
      </c>
      <c r="L8" s="22" t="n">
        <v>16000</v>
      </c>
      <c r="M8" s="22" t="n">
        <f aca="false">1000+14998</f>
        <v>15998</v>
      </c>
      <c r="N8" s="70" t="n">
        <f aca="false">M8-L8</f>
        <v>-2</v>
      </c>
      <c r="O8" s="22" t="n">
        <v>10000</v>
      </c>
      <c r="P8" s="22" t="n">
        <v>10000</v>
      </c>
      <c r="Q8" s="70" t="n">
        <f aca="false">P8-O8</f>
        <v>0</v>
      </c>
      <c r="R8" s="22" t="n">
        <v>20000</v>
      </c>
      <c r="S8" s="22" t="n">
        <v>20000</v>
      </c>
      <c r="T8" s="70" t="n">
        <f aca="false">S8-R8</f>
        <v>0</v>
      </c>
      <c r="U8" s="22" t="n">
        <v>10000</v>
      </c>
      <c r="V8" s="22" t="n">
        <v>10000</v>
      </c>
      <c r="W8" s="70" t="n">
        <f aca="false">V8-U8</f>
        <v>0</v>
      </c>
      <c r="X8" s="22" t="n">
        <v>5000</v>
      </c>
      <c r="Y8" s="22" t="n">
        <v>5000</v>
      </c>
      <c r="Z8" s="70" t="n">
        <f aca="false">Y8-X8</f>
        <v>0</v>
      </c>
      <c r="AA8" s="22" t="n">
        <v>5000</v>
      </c>
      <c r="AB8" s="22" t="n">
        <v>5000</v>
      </c>
      <c r="AC8" s="70" t="n">
        <f aca="false">AB8-AA8</f>
        <v>0</v>
      </c>
      <c r="AD8" s="22" t="n">
        <f aca="false">10000+984</f>
        <v>10984</v>
      </c>
      <c r="AE8" s="22" t="n">
        <f aca="false">10000+984</f>
        <v>10984</v>
      </c>
      <c r="AF8" s="70" t="n">
        <f aca="false">AE8-AD8</f>
        <v>0</v>
      </c>
      <c r="AG8" s="22" t="n">
        <v>10000</v>
      </c>
      <c r="AH8" s="22" t="n">
        <v>10000</v>
      </c>
      <c r="AI8" s="70" t="n">
        <f aca="false">AH8-AG8</f>
        <v>0</v>
      </c>
      <c r="AJ8" s="22" t="n">
        <v>10000</v>
      </c>
      <c r="AK8" s="22" t="n">
        <v>10000</v>
      </c>
      <c r="AL8" s="70" t="n">
        <f aca="false">AK8-AJ8</f>
        <v>0</v>
      </c>
      <c r="AM8" s="22" t="n">
        <v>10000</v>
      </c>
      <c r="AN8" s="22" t="n">
        <v>10000</v>
      </c>
      <c r="AO8" s="70" t="n">
        <f aca="false">AN8-AM8</f>
        <v>0</v>
      </c>
      <c r="AP8" s="22" t="n">
        <v>5000</v>
      </c>
      <c r="AQ8" s="22" t="n">
        <v>5000</v>
      </c>
      <c r="AR8" s="70" t="n">
        <f aca="false">AQ8-AP8</f>
        <v>0</v>
      </c>
      <c r="AS8" s="22" t="n">
        <v>20000</v>
      </c>
      <c r="AT8" s="22" t="n">
        <v>20000</v>
      </c>
      <c r="AU8" s="70" t="n">
        <f aca="false">AT8-AS8</f>
        <v>0</v>
      </c>
      <c r="AV8" s="22" t="n">
        <v>20000</v>
      </c>
      <c r="AW8" s="22" t="n">
        <v>20000</v>
      </c>
      <c r="AX8" s="70" t="n">
        <f aca="false">AW8-AV8</f>
        <v>0</v>
      </c>
      <c r="AY8" s="22" t="n">
        <f aca="false">308+765</f>
        <v>1073</v>
      </c>
      <c r="AZ8" s="22" t="n">
        <v>1073</v>
      </c>
      <c r="BA8" s="70" t="n">
        <f aca="false">AZ8-AY8</f>
        <v>0</v>
      </c>
      <c r="BB8" s="22" t="n">
        <v>984</v>
      </c>
      <c r="BC8" s="22" t="n">
        <v>984</v>
      </c>
      <c r="BD8" s="70" t="n">
        <f aca="false">BC8-BB8</f>
        <v>0</v>
      </c>
      <c r="BE8" s="22" t="n">
        <v>5000</v>
      </c>
      <c r="BF8" s="22" t="n">
        <v>5000</v>
      </c>
      <c r="BG8" s="70" t="n">
        <f aca="false">BF8-BE8</f>
        <v>0</v>
      </c>
      <c r="BH8" s="22"/>
      <c r="BI8" s="22"/>
      <c r="BJ8" s="70" t="n">
        <f aca="false">BI8-BH8</f>
        <v>0</v>
      </c>
      <c r="BK8" s="22"/>
      <c r="BL8" s="22"/>
      <c r="BM8" s="70" t="n">
        <f aca="false">BL8-BK8</f>
        <v>0</v>
      </c>
      <c r="BN8" s="22"/>
      <c r="BO8" s="22"/>
      <c r="BP8" s="70" t="n">
        <f aca="false">BO8-BN8</f>
        <v>0</v>
      </c>
      <c r="BQ8" s="22"/>
      <c r="BR8" s="22"/>
      <c r="BS8" s="70" t="n">
        <f aca="false">BR8-BQ8</f>
        <v>0</v>
      </c>
      <c r="BT8" s="22"/>
      <c r="BU8" s="22"/>
      <c r="BV8" s="70" t="n">
        <f aca="false">BU8-BT8</f>
        <v>0</v>
      </c>
      <c r="BW8" s="22"/>
      <c r="BX8" s="22"/>
      <c r="BY8" s="70" t="n">
        <f aca="false">BX8-BW8</f>
        <v>0</v>
      </c>
      <c r="BZ8" s="22"/>
      <c r="CA8" s="22"/>
      <c r="CB8" s="70" t="n">
        <f aca="false">CA8-BZ8</f>
        <v>0</v>
      </c>
      <c r="CC8" s="22"/>
      <c r="CD8" s="22"/>
      <c r="CE8" s="70" t="n">
        <f aca="false">CD8-CC8</f>
        <v>0</v>
      </c>
      <c r="CF8" s="22"/>
      <c r="CG8" s="22"/>
      <c r="CH8" s="70" t="n">
        <f aca="false">CG8-CF8</f>
        <v>0</v>
      </c>
      <c r="CI8" s="22"/>
      <c r="CJ8" s="22"/>
      <c r="CK8" s="70" t="n">
        <f aca="false">CJ8-CI8</f>
        <v>0</v>
      </c>
      <c r="CL8" s="22"/>
      <c r="CM8" s="22"/>
      <c r="CN8" s="70" t="n">
        <f aca="false">CM8-CL8</f>
        <v>0</v>
      </c>
      <c r="CO8" s="22"/>
      <c r="CP8" s="22"/>
      <c r="CQ8" s="70" t="n">
        <f aca="false">CP8-CO8</f>
        <v>0</v>
      </c>
      <c r="CR8" s="22"/>
      <c r="CS8" s="22"/>
      <c r="CT8" s="70" t="n">
        <f aca="false">CS8-CR8</f>
        <v>0</v>
      </c>
      <c r="CU8" s="22"/>
      <c r="CV8" s="22"/>
      <c r="CW8" s="70" t="n">
        <f aca="false">CV8-CU8</f>
        <v>0</v>
      </c>
      <c r="CX8" s="22"/>
      <c r="CY8" s="22"/>
      <c r="CZ8" s="70" t="n">
        <f aca="false">CY8-CX8</f>
        <v>0</v>
      </c>
      <c r="DA8" s="22"/>
      <c r="DB8" s="22"/>
      <c r="DC8" s="70" t="n">
        <f aca="false">DB8-DA8</f>
        <v>0</v>
      </c>
      <c r="DD8" s="22"/>
      <c r="DE8" s="22"/>
      <c r="DF8" s="70" t="n">
        <f aca="false">DE8-DD8</f>
        <v>0</v>
      </c>
      <c r="DG8" s="22"/>
      <c r="DH8" s="22"/>
      <c r="DI8" s="70" t="n">
        <f aca="false">DH8-DG8</f>
        <v>0</v>
      </c>
      <c r="DJ8" s="22"/>
      <c r="DK8" s="22"/>
      <c r="DL8" s="70" t="n">
        <f aca="false">DK8-DJ8</f>
        <v>0</v>
      </c>
      <c r="DM8" s="22"/>
      <c r="DN8" s="22"/>
      <c r="DO8" s="70" t="n">
        <f aca="false">DN8-DM8</f>
        <v>0</v>
      </c>
      <c r="DP8" s="22"/>
      <c r="DQ8" s="22"/>
      <c r="DR8" s="70" t="n">
        <f aca="false">DQ8-DP8</f>
        <v>0</v>
      </c>
      <c r="DS8" s="70" t="n">
        <f aca="false">+C8+F8+I8+L8+O8+R8+U8+X8+AA8+AD8+AG8+AJ8+AM8+AP8+AS8+AV8+AY8+BB8+BE8+BH8+BK8+BN8+BQ8+BT8+BW8+BZ8+CC8+CF8+CI8+CL8+CO8+CR8+CU8+CX8+DA8+DD8+DG8+DJ8+DM8+DP8</f>
        <v>172885</v>
      </c>
      <c r="DT8" s="70" t="n">
        <f aca="false">+D8+G8+J8+M8+P8+S8+V8+Y8+AB8+AE8+AH8+AK8+AN8+AQ8+AT8+AW8+AZ8+BC8+BF8+BI8+BL8+BO8+BR8+BU8+BX8+CA8+CD8+CG8+CJ8+CM8+CP8+CS8+CV8+CY8+DB8+DE8+DH8+DK8+DN8+DQ8</f>
        <v>172883</v>
      </c>
      <c r="DU8" s="70" t="n">
        <f aca="false">DT8-DS8</f>
        <v>-2</v>
      </c>
      <c r="DV8" s="75"/>
      <c r="DW8" s="74"/>
      <c r="DX8" s="74"/>
      <c r="DY8" s="75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</row>
    <row r="9" customFormat="false" ht="12.75" hidden="false" customHeight="false" outlineLevel="0" collapsed="false">
      <c r="A9" s="69" t="n">
        <f aca="false">A8+1</f>
        <v>36681</v>
      </c>
      <c r="B9" s="69" t="s">
        <v>116</v>
      </c>
      <c r="C9" s="22" t="n">
        <v>4178</v>
      </c>
      <c r="D9" s="22" t="n">
        <v>4178</v>
      </c>
      <c r="E9" s="70" t="n">
        <f aca="false">D9-C9</f>
        <v>0</v>
      </c>
      <c r="F9" s="22" t="n">
        <v>5000</v>
      </c>
      <c r="G9" s="22" t="n">
        <v>5000</v>
      </c>
      <c r="H9" s="70" t="n">
        <f aca="false">G9-F9</f>
        <v>0</v>
      </c>
      <c r="I9" s="22" t="n">
        <v>4666</v>
      </c>
      <c r="J9" s="22" t="n">
        <v>4666</v>
      </c>
      <c r="K9" s="70" t="n">
        <f aca="false">J9-I9</f>
        <v>0</v>
      </c>
      <c r="L9" s="22" t="n">
        <v>16000</v>
      </c>
      <c r="M9" s="22" t="n">
        <f aca="false">1000+14989</f>
        <v>15989</v>
      </c>
      <c r="N9" s="70" t="n">
        <f aca="false">M9-L9</f>
        <v>-11</v>
      </c>
      <c r="O9" s="22" t="n">
        <v>10000</v>
      </c>
      <c r="P9" s="22" t="n">
        <v>10000</v>
      </c>
      <c r="Q9" s="70" t="n">
        <f aca="false">P9-O9</f>
        <v>0</v>
      </c>
      <c r="R9" s="22" t="n">
        <v>20000</v>
      </c>
      <c r="S9" s="22" t="n">
        <v>20000</v>
      </c>
      <c r="T9" s="70" t="n">
        <f aca="false">S9-R9</f>
        <v>0</v>
      </c>
      <c r="U9" s="22" t="n">
        <v>10000</v>
      </c>
      <c r="V9" s="22" t="n">
        <v>10000</v>
      </c>
      <c r="W9" s="70" t="n">
        <f aca="false">V9-U9</f>
        <v>0</v>
      </c>
      <c r="X9" s="22" t="n">
        <v>5000</v>
      </c>
      <c r="Y9" s="22" t="n">
        <v>5000</v>
      </c>
      <c r="Z9" s="70" t="n">
        <f aca="false">Y9-X9</f>
        <v>0</v>
      </c>
      <c r="AA9" s="22" t="n">
        <v>5000</v>
      </c>
      <c r="AB9" s="22" t="n">
        <v>5000</v>
      </c>
      <c r="AC9" s="70" t="n">
        <f aca="false">AB9-AA9</f>
        <v>0</v>
      </c>
      <c r="AD9" s="22" t="n">
        <f aca="false">10000+1635</f>
        <v>11635</v>
      </c>
      <c r="AE9" s="22" t="n">
        <f aca="false">10000+1635</f>
        <v>11635</v>
      </c>
      <c r="AF9" s="70" t="n">
        <f aca="false">AE9-AD9</f>
        <v>0</v>
      </c>
      <c r="AG9" s="22" t="n">
        <v>10000</v>
      </c>
      <c r="AH9" s="22" t="n">
        <v>10000</v>
      </c>
      <c r="AI9" s="70" t="n">
        <f aca="false">AH9-AG9</f>
        <v>0</v>
      </c>
      <c r="AJ9" s="22" t="n">
        <v>10000</v>
      </c>
      <c r="AK9" s="22" t="n">
        <v>10000</v>
      </c>
      <c r="AL9" s="70" t="n">
        <f aca="false">AK9-AJ9</f>
        <v>0</v>
      </c>
      <c r="AM9" s="22" t="n">
        <v>10000</v>
      </c>
      <c r="AN9" s="22" t="n">
        <v>10000</v>
      </c>
      <c r="AO9" s="70" t="n">
        <f aca="false">AN9-AM9</f>
        <v>0</v>
      </c>
      <c r="AP9" s="22" t="n">
        <v>5000</v>
      </c>
      <c r="AQ9" s="22" t="n">
        <v>5000</v>
      </c>
      <c r="AR9" s="70" t="n">
        <f aca="false">AQ9-AP9</f>
        <v>0</v>
      </c>
      <c r="AS9" s="22" t="n">
        <v>20000</v>
      </c>
      <c r="AT9" s="22" t="n">
        <v>20000</v>
      </c>
      <c r="AU9" s="70" t="n">
        <f aca="false">AT9-AS9</f>
        <v>0</v>
      </c>
      <c r="AV9" s="22" t="n">
        <v>20000</v>
      </c>
      <c r="AW9" s="22" t="n">
        <v>20000</v>
      </c>
      <c r="AX9" s="70" t="n">
        <f aca="false">AW9-AV9</f>
        <v>0</v>
      </c>
      <c r="AY9" s="22" t="n">
        <f aca="false">513+1288</f>
        <v>1801</v>
      </c>
      <c r="AZ9" s="22" t="n">
        <v>1801</v>
      </c>
      <c r="BA9" s="70" t="n">
        <f aca="false">AZ9-AY9</f>
        <v>0</v>
      </c>
      <c r="BB9" s="22" t="n">
        <v>1635</v>
      </c>
      <c r="BC9" s="22" t="n">
        <v>1635</v>
      </c>
      <c r="BD9" s="70" t="n">
        <f aca="false">BC9-BB9</f>
        <v>0</v>
      </c>
      <c r="BE9" s="22" t="n">
        <v>5000</v>
      </c>
      <c r="BF9" s="22" t="n">
        <v>5000</v>
      </c>
      <c r="BG9" s="70" t="n">
        <f aca="false">BF9-BE9</f>
        <v>0</v>
      </c>
      <c r="BH9" s="22"/>
      <c r="BI9" s="22"/>
      <c r="BJ9" s="70" t="n">
        <f aca="false">BI9-BH9</f>
        <v>0</v>
      </c>
      <c r="BK9" s="22"/>
      <c r="BL9" s="22"/>
      <c r="BM9" s="70" t="n">
        <f aca="false">BL9-BK9</f>
        <v>0</v>
      </c>
      <c r="BN9" s="22"/>
      <c r="BO9" s="22"/>
      <c r="BP9" s="70" t="n">
        <f aca="false">BO9-BN9</f>
        <v>0</v>
      </c>
      <c r="BQ9" s="22"/>
      <c r="BR9" s="22"/>
      <c r="BS9" s="70" t="n">
        <f aca="false">BR9-BQ9</f>
        <v>0</v>
      </c>
      <c r="BT9" s="22"/>
      <c r="BU9" s="22"/>
      <c r="BV9" s="70" t="n">
        <f aca="false">BU9-BT9</f>
        <v>0</v>
      </c>
      <c r="BW9" s="22"/>
      <c r="BX9" s="22"/>
      <c r="BY9" s="70" t="n">
        <f aca="false">BX9-BW9</f>
        <v>0</v>
      </c>
      <c r="BZ9" s="22"/>
      <c r="CA9" s="22"/>
      <c r="CB9" s="70" t="n">
        <f aca="false">CA9-BZ9</f>
        <v>0</v>
      </c>
      <c r="CC9" s="22"/>
      <c r="CD9" s="22"/>
      <c r="CE9" s="70" t="n">
        <f aca="false">CD9-CC9</f>
        <v>0</v>
      </c>
      <c r="CF9" s="22"/>
      <c r="CG9" s="22"/>
      <c r="CH9" s="70" t="n">
        <f aca="false">CG9-CF9</f>
        <v>0</v>
      </c>
      <c r="CI9" s="22"/>
      <c r="CJ9" s="22"/>
      <c r="CK9" s="70" t="n">
        <f aca="false">CJ9-CI9</f>
        <v>0</v>
      </c>
      <c r="CL9" s="22"/>
      <c r="CM9" s="22"/>
      <c r="CN9" s="70" t="n">
        <f aca="false">CM9-CL9</f>
        <v>0</v>
      </c>
      <c r="CO9" s="22"/>
      <c r="CP9" s="22"/>
      <c r="CQ9" s="70" t="n">
        <f aca="false">CP9-CO9</f>
        <v>0</v>
      </c>
      <c r="CR9" s="22"/>
      <c r="CS9" s="22"/>
      <c r="CT9" s="70" t="n">
        <f aca="false">CS9-CR9</f>
        <v>0</v>
      </c>
      <c r="CU9" s="22"/>
      <c r="CV9" s="22"/>
      <c r="CW9" s="70" t="n">
        <f aca="false">CV9-CU9</f>
        <v>0</v>
      </c>
      <c r="CX9" s="22"/>
      <c r="CY9" s="22"/>
      <c r="CZ9" s="70" t="n">
        <f aca="false">CY9-CX9</f>
        <v>0</v>
      </c>
      <c r="DA9" s="22"/>
      <c r="DB9" s="22"/>
      <c r="DC9" s="70" t="n">
        <f aca="false">DB9-DA9</f>
        <v>0</v>
      </c>
      <c r="DD9" s="22"/>
      <c r="DE9" s="22"/>
      <c r="DF9" s="70" t="n">
        <f aca="false">DE9-DD9</f>
        <v>0</v>
      </c>
      <c r="DG9" s="22"/>
      <c r="DH9" s="22"/>
      <c r="DI9" s="70" t="n">
        <f aca="false">DH9-DG9</f>
        <v>0</v>
      </c>
      <c r="DJ9" s="22"/>
      <c r="DK9" s="22"/>
      <c r="DL9" s="70" t="n">
        <f aca="false">DK9-DJ9</f>
        <v>0</v>
      </c>
      <c r="DM9" s="22"/>
      <c r="DN9" s="22"/>
      <c r="DO9" s="70" t="n">
        <f aca="false">DN9-DM9</f>
        <v>0</v>
      </c>
      <c r="DP9" s="22"/>
      <c r="DQ9" s="22"/>
      <c r="DR9" s="70" t="n">
        <f aca="false">DQ9-DP9</f>
        <v>0</v>
      </c>
      <c r="DS9" s="70" t="n">
        <f aca="false">+C9+F9+I9+L9+O9+R9+U9+X9+AA9+AD9+AG9+AJ9+AM9+AP9+AS9+AV9+AY9+BB9+BE9+BH9+BK9+BN9+BQ9+BT9+BW9+BZ9+CC9+CF9+CI9+CL9+CO9+CR9+CU9+CX9+DA9+DD9+DG9+DJ9+DM9+DP9</f>
        <v>174915</v>
      </c>
      <c r="DT9" s="70" t="n">
        <f aca="false">+D9+G9+J9+M9+P9+S9+V9+Y9+AB9+AE9+AH9+AK9+AN9+AQ9+AT9+AW9+AZ9+BC9+BF9+BI9+BL9+BO9+BR9+BU9+BX9+CA9+CD9+CG9+CJ9+CM9+CP9+CS9+CV9+CY9+DB9+DE9+DH9+DK9+DN9+DQ9</f>
        <v>174904</v>
      </c>
      <c r="DU9" s="70" t="n">
        <f aca="false">DT9-DS9</f>
        <v>-11</v>
      </c>
      <c r="DV9" s="75"/>
      <c r="DW9" s="74"/>
      <c r="DX9" s="74"/>
      <c r="DY9" s="75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</row>
    <row r="10" customFormat="false" ht="12.75" hidden="false" customHeight="false" outlineLevel="0" collapsed="false">
      <c r="A10" s="69" t="n">
        <f aca="false">A9+1</f>
        <v>36682</v>
      </c>
      <c r="B10" s="69" t="s">
        <v>117</v>
      </c>
      <c r="C10" s="22" t="n">
        <v>4178</v>
      </c>
      <c r="D10" s="22" t="n">
        <v>4178</v>
      </c>
      <c r="E10" s="70" t="n">
        <f aca="false">D10-C10</f>
        <v>0</v>
      </c>
      <c r="F10" s="22" t="n">
        <v>5000</v>
      </c>
      <c r="G10" s="22" t="n">
        <v>5000</v>
      </c>
      <c r="H10" s="70" t="n">
        <f aca="false">G10-F10</f>
        <v>0</v>
      </c>
      <c r="I10" s="22" t="n">
        <v>4666</v>
      </c>
      <c r="J10" s="22" t="n">
        <v>4666</v>
      </c>
      <c r="K10" s="70" t="n">
        <f aca="false">J10-I10</f>
        <v>0</v>
      </c>
      <c r="L10" s="22" t="n">
        <v>16000</v>
      </c>
      <c r="M10" s="22" t="n">
        <f aca="false">15000+1000</f>
        <v>16000</v>
      </c>
      <c r="N10" s="70" t="n">
        <f aca="false">M10-L10</f>
        <v>0</v>
      </c>
      <c r="O10" s="22" t="n">
        <v>10000</v>
      </c>
      <c r="P10" s="22" t="n">
        <v>10000</v>
      </c>
      <c r="Q10" s="70" t="n">
        <f aca="false">P10-O10</f>
        <v>0</v>
      </c>
      <c r="R10" s="22" t="n">
        <v>20000</v>
      </c>
      <c r="S10" s="22" t="n">
        <v>20000</v>
      </c>
      <c r="T10" s="70" t="n">
        <f aca="false">S10-R10</f>
        <v>0</v>
      </c>
      <c r="U10" s="22" t="n">
        <v>10000</v>
      </c>
      <c r="V10" s="22" t="n">
        <v>10000</v>
      </c>
      <c r="W10" s="70" t="n">
        <f aca="false">V10-U10</f>
        <v>0</v>
      </c>
      <c r="X10" s="22" t="n">
        <v>5000</v>
      </c>
      <c r="Y10" s="22" t="n">
        <v>5000</v>
      </c>
      <c r="Z10" s="70" t="n">
        <f aca="false">Y10-X10</f>
        <v>0</v>
      </c>
      <c r="AA10" s="22" t="n">
        <v>5000</v>
      </c>
      <c r="AB10" s="22" t="n">
        <v>5000</v>
      </c>
      <c r="AC10" s="70" t="n">
        <f aca="false">AB10-AA10</f>
        <v>0</v>
      </c>
      <c r="AD10" s="22" t="n">
        <f aca="false">10000+4318</f>
        <v>14318</v>
      </c>
      <c r="AE10" s="22" t="n">
        <v>14318</v>
      </c>
      <c r="AF10" s="70" t="n">
        <f aca="false">AE10-AD10</f>
        <v>0</v>
      </c>
      <c r="AG10" s="22" t="n">
        <v>10000</v>
      </c>
      <c r="AH10" s="22" t="n">
        <v>10000</v>
      </c>
      <c r="AI10" s="70" t="n">
        <f aca="false">AH10-AG10</f>
        <v>0</v>
      </c>
      <c r="AJ10" s="22" t="n">
        <v>10000</v>
      </c>
      <c r="AK10" s="22" t="n">
        <v>10000</v>
      </c>
      <c r="AL10" s="70" t="n">
        <f aca="false">AK10-AJ10</f>
        <v>0</v>
      </c>
      <c r="AM10" s="22" t="n">
        <v>10000</v>
      </c>
      <c r="AN10" s="22" t="n">
        <v>10000</v>
      </c>
      <c r="AO10" s="70" t="n">
        <f aca="false">AN10-AM10</f>
        <v>0</v>
      </c>
      <c r="AP10" s="22" t="n">
        <v>5000</v>
      </c>
      <c r="AQ10" s="22" t="n">
        <v>5000</v>
      </c>
      <c r="AR10" s="70" t="n">
        <f aca="false">AQ10-AP10</f>
        <v>0</v>
      </c>
      <c r="AS10" s="22" t="n">
        <v>20000</v>
      </c>
      <c r="AT10" s="22" t="n">
        <v>20000</v>
      </c>
      <c r="AU10" s="70" t="n">
        <f aca="false">AT10-AS10</f>
        <v>0</v>
      </c>
      <c r="AV10" s="22" t="n">
        <v>20000</v>
      </c>
      <c r="AW10" s="22" t="n">
        <v>20000</v>
      </c>
      <c r="AX10" s="70" t="n">
        <f aca="false">AW10-AV10</f>
        <v>0</v>
      </c>
      <c r="AY10" s="22" t="n">
        <f aca="false">2655+1166</f>
        <v>3821</v>
      </c>
      <c r="AZ10" s="22" t="n">
        <v>3821</v>
      </c>
      <c r="BA10" s="70" t="n">
        <f aca="false">AZ10-AY10</f>
        <v>0</v>
      </c>
      <c r="BB10" s="22" t="n">
        <v>4318</v>
      </c>
      <c r="BC10" s="22" t="n">
        <v>4318</v>
      </c>
      <c r="BD10" s="70" t="n">
        <f aca="false">BC10-BB10</f>
        <v>0</v>
      </c>
      <c r="BE10" s="22" t="n">
        <v>5000</v>
      </c>
      <c r="BF10" s="22" t="n">
        <v>5000</v>
      </c>
      <c r="BG10" s="70" t="n">
        <f aca="false">BF10-BE10</f>
        <v>0</v>
      </c>
      <c r="BH10" s="22"/>
      <c r="BI10" s="22"/>
      <c r="BJ10" s="70" t="n">
        <f aca="false">BI10-BH10</f>
        <v>0</v>
      </c>
      <c r="BK10" s="22"/>
      <c r="BL10" s="22"/>
      <c r="BM10" s="70" t="n">
        <f aca="false">BL10-BK10</f>
        <v>0</v>
      </c>
      <c r="BN10" s="22"/>
      <c r="BO10" s="22"/>
      <c r="BP10" s="70" t="n">
        <f aca="false">BO10-BN10</f>
        <v>0</v>
      </c>
      <c r="BQ10" s="22"/>
      <c r="BR10" s="22"/>
      <c r="BS10" s="70" t="n">
        <f aca="false">BR10-BQ10</f>
        <v>0</v>
      </c>
      <c r="BT10" s="22"/>
      <c r="BU10" s="22"/>
      <c r="BV10" s="70" t="n">
        <f aca="false">BU10-BT10</f>
        <v>0</v>
      </c>
      <c r="BW10" s="22"/>
      <c r="BX10" s="22"/>
      <c r="BY10" s="70" t="n">
        <f aca="false">BX10-BW10</f>
        <v>0</v>
      </c>
      <c r="BZ10" s="22"/>
      <c r="CA10" s="22"/>
      <c r="CB10" s="70" t="n">
        <f aca="false">CA10-BZ10</f>
        <v>0</v>
      </c>
      <c r="CC10" s="22"/>
      <c r="CD10" s="22"/>
      <c r="CE10" s="70" t="n">
        <f aca="false">CD10-CC10</f>
        <v>0</v>
      </c>
      <c r="CF10" s="22"/>
      <c r="CG10" s="22"/>
      <c r="CH10" s="70" t="n">
        <f aca="false">CG10-CF10</f>
        <v>0</v>
      </c>
      <c r="CI10" s="22"/>
      <c r="CJ10" s="22"/>
      <c r="CK10" s="70" t="n">
        <f aca="false">CJ10-CI10</f>
        <v>0</v>
      </c>
      <c r="CL10" s="22"/>
      <c r="CM10" s="22"/>
      <c r="CN10" s="70" t="n">
        <f aca="false">CM10-CL10</f>
        <v>0</v>
      </c>
      <c r="CO10" s="22"/>
      <c r="CP10" s="22"/>
      <c r="CQ10" s="70" t="n">
        <f aca="false">CP10-CO10</f>
        <v>0</v>
      </c>
      <c r="CR10" s="22"/>
      <c r="CS10" s="22"/>
      <c r="CT10" s="70" t="n">
        <f aca="false">CS10-CR10</f>
        <v>0</v>
      </c>
      <c r="CU10" s="22"/>
      <c r="CV10" s="22"/>
      <c r="CW10" s="70" t="n">
        <f aca="false">CV10-CU10</f>
        <v>0</v>
      </c>
      <c r="CX10" s="22"/>
      <c r="CY10" s="22"/>
      <c r="CZ10" s="70" t="n">
        <f aca="false">CY10-CX10</f>
        <v>0</v>
      </c>
      <c r="DA10" s="22"/>
      <c r="DB10" s="22"/>
      <c r="DC10" s="70" t="n">
        <f aca="false">DB10-DA10</f>
        <v>0</v>
      </c>
      <c r="DD10" s="22"/>
      <c r="DE10" s="22"/>
      <c r="DF10" s="70" t="n">
        <f aca="false">DE10-DD10</f>
        <v>0</v>
      </c>
      <c r="DG10" s="22"/>
      <c r="DH10" s="22"/>
      <c r="DI10" s="70" t="n">
        <f aca="false">DH10-DG10</f>
        <v>0</v>
      </c>
      <c r="DJ10" s="22"/>
      <c r="DK10" s="22"/>
      <c r="DL10" s="70" t="n">
        <f aca="false">DK10-DJ10</f>
        <v>0</v>
      </c>
      <c r="DM10" s="22"/>
      <c r="DN10" s="22"/>
      <c r="DO10" s="70" t="n">
        <f aca="false">DN10-DM10</f>
        <v>0</v>
      </c>
      <c r="DP10" s="22"/>
      <c r="DQ10" s="22"/>
      <c r="DR10" s="70" t="n">
        <f aca="false">DQ10-DP10</f>
        <v>0</v>
      </c>
      <c r="DS10" s="70" t="n">
        <f aca="false">+C10+F10+I10+L10+O10+R10+U10+X10+AA10+AD10+AG10+AJ10+AM10+AP10+AS10+AV10+AY10+BB10+BE10+BH10+BK10+BN10+BQ10+BT10+BW10+BZ10+CC10+CF10+CI10+CL10+CO10+CR10+CU10+CX10+DA10+DD10+DG10+DJ10+DM10+DP10</f>
        <v>182301</v>
      </c>
      <c r="DT10" s="70" t="n">
        <f aca="false">+D10+G10+J10+M10+P10+S10+V10+Y10+AB10+AE10+AH10+AK10+AN10+AQ10+AT10+AW10+AZ10+BC10+BF10+BI10+BL10+BO10+BR10+BU10+BX10+CA10+CD10+CG10+CJ10+CM10+CP10+CS10+CV10+CY10+DB10+DE10+DH10+DK10+DN10+DQ10</f>
        <v>182301</v>
      </c>
      <c r="DU10" s="70" t="n">
        <f aca="false">DT10-DS10</f>
        <v>0</v>
      </c>
      <c r="DV10" s="75"/>
      <c r="DW10" s="74"/>
      <c r="DX10" s="74"/>
      <c r="DY10" s="75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</row>
    <row r="11" customFormat="false" ht="12.75" hidden="false" customHeight="false" outlineLevel="0" collapsed="false">
      <c r="A11" s="69" t="n">
        <f aca="false">A10+1</f>
        <v>36683</v>
      </c>
      <c r="B11" s="69" t="s">
        <v>118</v>
      </c>
      <c r="C11" s="22" t="n">
        <v>4178</v>
      </c>
      <c r="D11" s="22" t="n">
        <v>4178</v>
      </c>
      <c r="E11" s="70" t="n">
        <f aca="false">D11-C11</f>
        <v>0</v>
      </c>
      <c r="F11" s="22" t="n">
        <v>5000</v>
      </c>
      <c r="G11" s="22" t="n">
        <v>5000</v>
      </c>
      <c r="H11" s="70" t="n">
        <f aca="false">G11-F11</f>
        <v>0</v>
      </c>
      <c r="I11" s="22" t="n">
        <v>4666</v>
      </c>
      <c r="J11" s="22" t="n">
        <v>4666</v>
      </c>
      <c r="K11" s="70" t="n">
        <f aca="false">J11-I11</f>
        <v>0</v>
      </c>
      <c r="L11" s="22" t="n">
        <v>16000</v>
      </c>
      <c r="M11" s="22" t="n">
        <f aca="false">1000+14752</f>
        <v>15752</v>
      </c>
      <c r="N11" s="70" t="n">
        <f aca="false">M11-L11</f>
        <v>-248</v>
      </c>
      <c r="O11" s="22" t="n">
        <v>10000</v>
      </c>
      <c r="P11" s="22" t="n">
        <v>10000</v>
      </c>
      <c r="Q11" s="70" t="n">
        <f aca="false">P11-O11</f>
        <v>0</v>
      </c>
      <c r="R11" s="22" t="n">
        <v>20000</v>
      </c>
      <c r="S11" s="22" t="n">
        <v>20000</v>
      </c>
      <c r="T11" s="70" t="n">
        <f aca="false">S11-R11</f>
        <v>0</v>
      </c>
      <c r="U11" s="22" t="n">
        <v>10000</v>
      </c>
      <c r="V11" s="22" t="n">
        <v>10000</v>
      </c>
      <c r="W11" s="70" t="n">
        <f aca="false">V11-U11</f>
        <v>0</v>
      </c>
      <c r="X11" s="22" t="n">
        <v>5000</v>
      </c>
      <c r="Y11" s="22" t="n">
        <v>5000</v>
      </c>
      <c r="Z11" s="70" t="n">
        <f aca="false">Y11-X11</f>
        <v>0</v>
      </c>
      <c r="AA11" s="22" t="n">
        <v>5000</v>
      </c>
      <c r="AB11" s="22" t="n">
        <v>5000</v>
      </c>
      <c r="AC11" s="70" t="n">
        <f aca="false">AB11-AA11</f>
        <v>0</v>
      </c>
      <c r="AD11" s="22" t="n">
        <f aca="false">10000+4327</f>
        <v>14327</v>
      </c>
      <c r="AE11" s="22" t="n">
        <f aca="false">10000+4327</f>
        <v>14327</v>
      </c>
      <c r="AF11" s="70" t="n">
        <f aca="false">AE11-AD11</f>
        <v>0</v>
      </c>
      <c r="AG11" s="22" t="n">
        <v>10000</v>
      </c>
      <c r="AH11" s="22" t="n">
        <v>10000</v>
      </c>
      <c r="AI11" s="70" t="n">
        <f aca="false">AH11-AG11</f>
        <v>0</v>
      </c>
      <c r="AJ11" s="22" t="n">
        <v>10000</v>
      </c>
      <c r="AK11" s="22" t="n">
        <v>10000</v>
      </c>
      <c r="AL11" s="70" t="n">
        <f aca="false">AK11-AJ11</f>
        <v>0</v>
      </c>
      <c r="AM11" s="22" t="n">
        <v>10000</v>
      </c>
      <c r="AN11" s="22" t="n">
        <v>10000</v>
      </c>
      <c r="AO11" s="70" t="n">
        <f aca="false">AN11-AM11</f>
        <v>0</v>
      </c>
      <c r="AP11" s="22" t="n">
        <v>5000</v>
      </c>
      <c r="AQ11" s="22" t="n">
        <v>5000</v>
      </c>
      <c r="AR11" s="70" t="n">
        <f aca="false">AQ11-AP11</f>
        <v>0</v>
      </c>
      <c r="AS11" s="22" t="n">
        <v>20000</v>
      </c>
      <c r="AT11" s="22" t="n">
        <v>20000</v>
      </c>
      <c r="AU11" s="70" t="n">
        <f aca="false">AT11-AS11</f>
        <v>0</v>
      </c>
      <c r="AV11" s="22" t="n">
        <v>20000</v>
      </c>
      <c r="AW11" s="22" t="n">
        <v>20000</v>
      </c>
      <c r="AX11" s="70" t="n">
        <f aca="false">AW11-AV11</f>
        <v>0</v>
      </c>
      <c r="AY11" s="22" t="n">
        <v>6000</v>
      </c>
      <c r="AZ11" s="22" t="n">
        <v>6000</v>
      </c>
      <c r="BA11" s="70" t="n">
        <f aca="false">AZ11-AY11</f>
        <v>0</v>
      </c>
      <c r="BB11" s="22" t="n">
        <v>4327</v>
      </c>
      <c r="BC11" s="22" t="n">
        <v>4327</v>
      </c>
      <c r="BD11" s="70" t="n">
        <f aca="false">BC11-BB11</f>
        <v>0</v>
      </c>
      <c r="BE11" s="22" t="n">
        <v>5000</v>
      </c>
      <c r="BF11" s="22" t="n">
        <v>5000</v>
      </c>
      <c r="BG11" s="70" t="n">
        <f aca="false">BF11-BE11</f>
        <v>0</v>
      </c>
      <c r="BH11" s="22"/>
      <c r="BI11" s="22"/>
      <c r="BJ11" s="70" t="n">
        <f aca="false">BI11-BH11</f>
        <v>0</v>
      </c>
      <c r="BK11" s="22"/>
      <c r="BL11" s="22"/>
      <c r="BM11" s="70" t="n">
        <f aca="false">BL11-BK11</f>
        <v>0</v>
      </c>
      <c r="BN11" s="22"/>
      <c r="BO11" s="22"/>
      <c r="BP11" s="70" t="n">
        <f aca="false">BO11-BN11</f>
        <v>0</v>
      </c>
      <c r="BQ11" s="22"/>
      <c r="BR11" s="22"/>
      <c r="BS11" s="70" t="n">
        <f aca="false">BR11-BQ11</f>
        <v>0</v>
      </c>
      <c r="BT11" s="22"/>
      <c r="BU11" s="22"/>
      <c r="BV11" s="70" t="n">
        <f aca="false">BU11-BT11</f>
        <v>0</v>
      </c>
      <c r="BW11" s="22"/>
      <c r="BX11" s="22"/>
      <c r="BY11" s="70" t="n">
        <f aca="false">BX11-BW11</f>
        <v>0</v>
      </c>
      <c r="BZ11" s="22"/>
      <c r="CA11" s="22"/>
      <c r="CB11" s="70" t="n">
        <f aca="false">CA11-BZ11</f>
        <v>0</v>
      </c>
      <c r="CC11" s="22"/>
      <c r="CD11" s="22"/>
      <c r="CE11" s="70" t="n">
        <f aca="false">CD11-CC11</f>
        <v>0</v>
      </c>
      <c r="CF11" s="22"/>
      <c r="CG11" s="22"/>
      <c r="CH11" s="70" t="n">
        <f aca="false">CG11-CF11</f>
        <v>0</v>
      </c>
      <c r="CI11" s="22"/>
      <c r="CJ11" s="22"/>
      <c r="CK11" s="70" t="n">
        <f aca="false">CJ11-CI11</f>
        <v>0</v>
      </c>
      <c r="CL11" s="22"/>
      <c r="CM11" s="22"/>
      <c r="CN11" s="70" t="n">
        <f aca="false">CM11-CL11</f>
        <v>0</v>
      </c>
      <c r="CO11" s="22"/>
      <c r="CP11" s="22"/>
      <c r="CQ11" s="70" t="n">
        <f aca="false">CP11-CO11</f>
        <v>0</v>
      </c>
      <c r="CR11" s="22"/>
      <c r="CS11" s="22"/>
      <c r="CT11" s="70" t="n">
        <f aca="false">CS11-CR11</f>
        <v>0</v>
      </c>
      <c r="CU11" s="22"/>
      <c r="CV11" s="22"/>
      <c r="CW11" s="70" t="n">
        <f aca="false">CV11-CU11</f>
        <v>0</v>
      </c>
      <c r="CX11" s="22"/>
      <c r="CY11" s="22"/>
      <c r="CZ11" s="70" t="n">
        <f aca="false">CY11-CX11</f>
        <v>0</v>
      </c>
      <c r="DA11" s="22"/>
      <c r="DB11" s="22"/>
      <c r="DC11" s="70" t="n">
        <f aca="false">DB11-DA11</f>
        <v>0</v>
      </c>
      <c r="DD11" s="22"/>
      <c r="DE11" s="22"/>
      <c r="DF11" s="70" t="n">
        <f aca="false">DE11-DD11</f>
        <v>0</v>
      </c>
      <c r="DG11" s="22"/>
      <c r="DH11" s="22"/>
      <c r="DI11" s="70" t="n">
        <f aca="false">DH11-DG11</f>
        <v>0</v>
      </c>
      <c r="DJ11" s="22"/>
      <c r="DK11" s="22"/>
      <c r="DL11" s="70" t="n">
        <f aca="false">DK11-DJ11</f>
        <v>0</v>
      </c>
      <c r="DM11" s="22"/>
      <c r="DN11" s="22"/>
      <c r="DO11" s="70" t="n">
        <f aca="false">DN11-DM11</f>
        <v>0</v>
      </c>
      <c r="DP11" s="22"/>
      <c r="DQ11" s="22"/>
      <c r="DR11" s="70" t="n">
        <f aca="false">DQ11-DP11</f>
        <v>0</v>
      </c>
      <c r="DS11" s="70" t="n">
        <f aca="false">+C11+F11+I11+L11+O11+R11+U11+X11+AA11+AD11+AG11+AJ11+AM11+AP11+AS11+AV11+AY11+BB11+BE11+BH11+BK11+BN11+BQ11+BT11+BW11+BZ11+CC11+CF11+CI11+CL11+CO11+CR11+CU11+CX11+DA11+DD11+DG11+DJ11+DM11+DP11</f>
        <v>184498</v>
      </c>
      <c r="DT11" s="70" t="n">
        <f aca="false">+D11+G11+J11+M11+P11+S11+V11+Y11+AB11+AE11+AH11+AK11+AN11+AQ11+AT11+AW11+AZ11+BC11+BF11+BI11+BL11+BO11+BR11+BU11+BX11+CA11+CD11+CG11+CJ11+CM11+CP11+CS11+CV11+CY11+DB11+DE11+DH11+DK11+DN11+DQ11</f>
        <v>184250</v>
      </c>
      <c r="DU11" s="70" t="n">
        <f aca="false">DT11-DS11</f>
        <v>-248</v>
      </c>
      <c r="DV11" s="75"/>
      <c r="DW11" s="74"/>
      <c r="DX11" s="74"/>
      <c r="DY11" s="75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</row>
    <row r="12" customFormat="false" ht="12.75" hidden="false" customHeight="false" outlineLevel="0" collapsed="false">
      <c r="A12" s="69" t="n">
        <f aca="false">A11+1</f>
        <v>36684</v>
      </c>
      <c r="B12" s="69" t="s">
        <v>119</v>
      </c>
      <c r="C12" s="22" t="n">
        <v>4178</v>
      </c>
      <c r="D12" s="22" t="n">
        <v>4178</v>
      </c>
      <c r="E12" s="70" t="n">
        <f aca="false">D12-C12</f>
        <v>0</v>
      </c>
      <c r="F12" s="22" t="n">
        <v>5000</v>
      </c>
      <c r="G12" s="22" t="n">
        <v>5000</v>
      </c>
      <c r="H12" s="70" t="n">
        <f aca="false">G12-F12</f>
        <v>0</v>
      </c>
      <c r="I12" s="22" t="n">
        <v>4666</v>
      </c>
      <c r="J12" s="22" t="n">
        <v>4666</v>
      </c>
      <c r="K12" s="70" t="n">
        <f aca="false">J12-I12</f>
        <v>0</v>
      </c>
      <c r="L12" s="22" t="n">
        <v>16000</v>
      </c>
      <c r="M12" s="22" t="n">
        <f aca="false">1000+11213</f>
        <v>12213</v>
      </c>
      <c r="N12" s="70" t="n">
        <f aca="false">M12-L12</f>
        <v>-3787</v>
      </c>
      <c r="O12" s="22" t="n">
        <v>10000</v>
      </c>
      <c r="P12" s="22" t="n">
        <v>10000</v>
      </c>
      <c r="Q12" s="70" t="n">
        <f aca="false">P12-O12</f>
        <v>0</v>
      </c>
      <c r="R12" s="22" t="n">
        <v>20000</v>
      </c>
      <c r="S12" s="22" t="n">
        <v>20000</v>
      </c>
      <c r="T12" s="70" t="n">
        <f aca="false">S12-R12</f>
        <v>0</v>
      </c>
      <c r="U12" s="22" t="n">
        <v>10000</v>
      </c>
      <c r="V12" s="22" t="n">
        <v>10000</v>
      </c>
      <c r="W12" s="70" t="n">
        <f aca="false">V12-U12</f>
        <v>0</v>
      </c>
      <c r="X12" s="22" t="n">
        <v>5000</v>
      </c>
      <c r="Y12" s="22" t="n">
        <v>5000</v>
      </c>
      <c r="Z12" s="70" t="n">
        <f aca="false">Y12-X12</f>
        <v>0</v>
      </c>
      <c r="AA12" s="22" t="n">
        <v>5000</v>
      </c>
      <c r="AB12" s="22" t="n">
        <v>5000</v>
      </c>
      <c r="AC12" s="70" t="n">
        <f aca="false">AB12-AA12</f>
        <v>0</v>
      </c>
      <c r="AD12" s="22" t="n">
        <f aca="false">10000+5000</f>
        <v>15000</v>
      </c>
      <c r="AE12" s="22" t="n">
        <f aca="false">10000+5000</f>
        <v>15000</v>
      </c>
      <c r="AF12" s="70" t="n">
        <f aca="false">AE12-AD12</f>
        <v>0</v>
      </c>
      <c r="AG12" s="22" t="n">
        <v>10000</v>
      </c>
      <c r="AH12" s="22" t="n">
        <v>10000</v>
      </c>
      <c r="AI12" s="70" t="n">
        <f aca="false">AH12-AG12</f>
        <v>0</v>
      </c>
      <c r="AJ12" s="22" t="n">
        <v>10000</v>
      </c>
      <c r="AK12" s="22" t="n">
        <v>10000</v>
      </c>
      <c r="AL12" s="70" t="n">
        <f aca="false">AK12-AJ12</f>
        <v>0</v>
      </c>
      <c r="AM12" s="22" t="n">
        <v>10000</v>
      </c>
      <c r="AN12" s="22" t="n">
        <v>10000</v>
      </c>
      <c r="AO12" s="70" t="n">
        <f aca="false">AN12-AM12</f>
        <v>0</v>
      </c>
      <c r="AP12" s="22" t="n">
        <v>5000</v>
      </c>
      <c r="AQ12" s="22" t="n">
        <v>5000</v>
      </c>
      <c r="AR12" s="70" t="n">
        <f aca="false">AQ12-AP12</f>
        <v>0</v>
      </c>
      <c r="AS12" s="22" t="n">
        <v>20000</v>
      </c>
      <c r="AT12" s="22" t="n">
        <v>20000</v>
      </c>
      <c r="AU12" s="70" t="n">
        <f aca="false">AT12-AS12</f>
        <v>0</v>
      </c>
      <c r="AV12" s="22" t="n">
        <v>20000</v>
      </c>
      <c r="AW12" s="22" t="n">
        <v>20000</v>
      </c>
      <c r="AX12" s="70" t="n">
        <f aca="false">AW12-AV12</f>
        <v>0</v>
      </c>
      <c r="AY12" s="22" t="n">
        <v>6000</v>
      </c>
      <c r="AZ12" s="22" t="n">
        <v>6000</v>
      </c>
      <c r="BA12" s="70" t="n">
        <f aca="false">AZ12-AY12</f>
        <v>0</v>
      </c>
      <c r="BB12" s="22" t="n">
        <v>5000</v>
      </c>
      <c r="BC12" s="22" t="n">
        <v>5000</v>
      </c>
      <c r="BD12" s="70" t="n">
        <f aca="false">BC12-BB12</f>
        <v>0</v>
      </c>
      <c r="BE12" s="22" t="n">
        <v>5000</v>
      </c>
      <c r="BF12" s="22" t="n">
        <v>5000</v>
      </c>
      <c r="BG12" s="70" t="n">
        <f aca="false">BF12-BE12</f>
        <v>0</v>
      </c>
      <c r="BH12" s="22"/>
      <c r="BI12" s="22"/>
      <c r="BJ12" s="70" t="n">
        <f aca="false">BI12-BH12</f>
        <v>0</v>
      </c>
      <c r="BK12" s="22"/>
      <c r="BL12" s="22"/>
      <c r="BM12" s="70" t="n">
        <f aca="false">BL12-BK12</f>
        <v>0</v>
      </c>
      <c r="BN12" s="22"/>
      <c r="BO12" s="22"/>
      <c r="BP12" s="70" t="n">
        <f aca="false">BO12-BN12</f>
        <v>0</v>
      </c>
      <c r="BQ12" s="22"/>
      <c r="BR12" s="22"/>
      <c r="BS12" s="70" t="n">
        <f aca="false">BR12-BQ12</f>
        <v>0</v>
      </c>
      <c r="BT12" s="22"/>
      <c r="BU12" s="22"/>
      <c r="BV12" s="70" t="n">
        <f aca="false">BU12-BT12</f>
        <v>0</v>
      </c>
      <c r="BW12" s="22"/>
      <c r="BX12" s="22"/>
      <c r="BY12" s="70" t="n">
        <f aca="false">BX12-BW12</f>
        <v>0</v>
      </c>
      <c r="BZ12" s="22"/>
      <c r="CA12" s="22"/>
      <c r="CB12" s="70" t="n">
        <f aca="false">CA12-BZ12</f>
        <v>0</v>
      </c>
      <c r="CC12" s="22"/>
      <c r="CD12" s="22"/>
      <c r="CE12" s="70" t="n">
        <f aca="false">CD12-CC12</f>
        <v>0</v>
      </c>
      <c r="CF12" s="22"/>
      <c r="CG12" s="22"/>
      <c r="CH12" s="70" t="n">
        <f aca="false">CG12-CF12</f>
        <v>0</v>
      </c>
      <c r="CI12" s="22"/>
      <c r="CJ12" s="22"/>
      <c r="CK12" s="70" t="n">
        <f aca="false">CJ12-CI12</f>
        <v>0</v>
      </c>
      <c r="CL12" s="22"/>
      <c r="CM12" s="22"/>
      <c r="CN12" s="70" t="n">
        <f aca="false">CM12-CL12</f>
        <v>0</v>
      </c>
      <c r="CO12" s="22"/>
      <c r="CP12" s="22"/>
      <c r="CQ12" s="70" t="n">
        <f aca="false">CP12-CO12</f>
        <v>0</v>
      </c>
      <c r="CR12" s="22"/>
      <c r="CS12" s="22"/>
      <c r="CT12" s="70" t="n">
        <f aca="false">CS12-CR12</f>
        <v>0</v>
      </c>
      <c r="CU12" s="22"/>
      <c r="CV12" s="22"/>
      <c r="CW12" s="70" t="n">
        <f aca="false">CV12-CU12</f>
        <v>0</v>
      </c>
      <c r="CX12" s="22"/>
      <c r="CY12" s="22"/>
      <c r="CZ12" s="70" t="n">
        <f aca="false">CY12-CX12</f>
        <v>0</v>
      </c>
      <c r="DA12" s="22"/>
      <c r="DB12" s="22"/>
      <c r="DC12" s="70" t="n">
        <f aca="false">DB12-DA12</f>
        <v>0</v>
      </c>
      <c r="DD12" s="22"/>
      <c r="DE12" s="22"/>
      <c r="DF12" s="70" t="n">
        <f aca="false">DE12-DD12</f>
        <v>0</v>
      </c>
      <c r="DG12" s="22"/>
      <c r="DH12" s="22"/>
      <c r="DI12" s="70" t="n">
        <f aca="false">DH12-DG12</f>
        <v>0</v>
      </c>
      <c r="DJ12" s="22"/>
      <c r="DK12" s="22"/>
      <c r="DL12" s="70" t="n">
        <f aca="false">DK12-DJ12</f>
        <v>0</v>
      </c>
      <c r="DM12" s="22"/>
      <c r="DN12" s="22"/>
      <c r="DO12" s="70" t="n">
        <f aca="false">DN12-DM12</f>
        <v>0</v>
      </c>
      <c r="DP12" s="22"/>
      <c r="DQ12" s="22"/>
      <c r="DR12" s="70" t="n">
        <f aca="false">DQ12-DP12</f>
        <v>0</v>
      </c>
      <c r="DS12" s="70" t="n">
        <f aca="false">+C12+F12+I12+L12+O12+R12+U12+X12+AA12+AD12+AG12+AJ12+AM12+AP12+AS12+AV12+AY12+BB12+BE12+BH12+BK12+BN12+BQ12+BT12+BW12+BZ12+CC12+CF12+CI12+CL12+CO12+CR12+CU12+CX12+DA12+DD12+DG12+DJ12+DM12+DP12</f>
        <v>185844</v>
      </c>
      <c r="DT12" s="70" t="n">
        <f aca="false">+D12+G12+J12+M12+P12+S12+V12+Y12+AB12+AE12+AH12+AK12+AN12+AQ12+AT12+AW12+AZ12+BC12+BF12+BI12+BL12+BO12+BR12+BU12+BX12+CA12+CD12+CG12+CJ12+CM12+CP12+CS12+CV12+CY12+DB12+DE12+DH12+DK12+DN12+DQ12</f>
        <v>182057</v>
      </c>
      <c r="DU12" s="70" t="n">
        <f aca="false">DT12-DS12</f>
        <v>-3787</v>
      </c>
      <c r="DV12" s="75"/>
      <c r="DW12" s="74"/>
      <c r="DX12" s="74"/>
      <c r="DY12" s="75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</row>
    <row r="13" customFormat="false" ht="12.75" hidden="false" customHeight="false" outlineLevel="0" collapsed="false">
      <c r="A13" s="69" t="n">
        <f aca="false">A12+1</f>
        <v>36685</v>
      </c>
      <c r="B13" s="69" t="s">
        <v>113</v>
      </c>
      <c r="C13" s="22" t="n">
        <v>4178</v>
      </c>
      <c r="D13" s="22" t="n">
        <v>4178</v>
      </c>
      <c r="E13" s="70" t="n">
        <f aca="false">D13-C13</f>
        <v>0</v>
      </c>
      <c r="F13" s="22" t="n">
        <v>5000</v>
      </c>
      <c r="G13" s="22" t="n">
        <v>5000</v>
      </c>
      <c r="H13" s="70" t="n">
        <f aca="false">G13-F13</f>
        <v>0</v>
      </c>
      <c r="I13" s="22" t="n">
        <v>4666</v>
      </c>
      <c r="J13" s="22" t="n">
        <v>4666</v>
      </c>
      <c r="K13" s="70" t="n">
        <f aca="false">J13-I13</f>
        <v>0</v>
      </c>
      <c r="L13" s="22" t="n">
        <v>16000</v>
      </c>
      <c r="M13" s="22" t="n">
        <f aca="false">1000+14639</f>
        <v>15639</v>
      </c>
      <c r="N13" s="70" t="n">
        <f aca="false">M13-L13</f>
        <v>-361</v>
      </c>
      <c r="O13" s="22" t="n">
        <v>10000</v>
      </c>
      <c r="P13" s="22" t="n">
        <v>10000</v>
      </c>
      <c r="Q13" s="70" t="n">
        <f aca="false">P13-O13</f>
        <v>0</v>
      </c>
      <c r="R13" s="22" t="n">
        <v>20000</v>
      </c>
      <c r="S13" s="22" t="n">
        <v>20000</v>
      </c>
      <c r="T13" s="70" t="n">
        <f aca="false">S13-R13</f>
        <v>0</v>
      </c>
      <c r="U13" s="22" t="n">
        <v>10000</v>
      </c>
      <c r="V13" s="22" t="n">
        <v>10000</v>
      </c>
      <c r="W13" s="70" t="n">
        <f aca="false">V13-U13</f>
        <v>0</v>
      </c>
      <c r="X13" s="22" t="n">
        <v>5000</v>
      </c>
      <c r="Y13" s="22" t="n">
        <v>5000</v>
      </c>
      <c r="Z13" s="70" t="n">
        <f aca="false">Y13-X13</f>
        <v>0</v>
      </c>
      <c r="AA13" s="22" t="n">
        <v>5000</v>
      </c>
      <c r="AB13" s="22" t="n">
        <v>5000</v>
      </c>
      <c r="AC13" s="70" t="n">
        <f aca="false">AB13-AA13</f>
        <v>0</v>
      </c>
      <c r="AD13" s="22" t="n">
        <f aca="false">10000+3629</f>
        <v>13629</v>
      </c>
      <c r="AE13" s="22" t="n">
        <f aca="false">10000+3629</f>
        <v>13629</v>
      </c>
      <c r="AF13" s="70" t="n">
        <f aca="false">AE13-AD13</f>
        <v>0</v>
      </c>
      <c r="AG13" s="22" t="n">
        <v>10000</v>
      </c>
      <c r="AH13" s="22" t="n">
        <v>10000</v>
      </c>
      <c r="AI13" s="70" t="n">
        <f aca="false">AH13-AG13</f>
        <v>0</v>
      </c>
      <c r="AJ13" s="22" t="n">
        <v>10000</v>
      </c>
      <c r="AK13" s="22" t="n">
        <v>10000</v>
      </c>
      <c r="AL13" s="70" t="n">
        <f aca="false">AK13-AJ13</f>
        <v>0</v>
      </c>
      <c r="AM13" s="22" t="n">
        <v>10000</v>
      </c>
      <c r="AN13" s="22" t="n">
        <v>10000</v>
      </c>
      <c r="AO13" s="70" t="n">
        <f aca="false">AN13-AM13</f>
        <v>0</v>
      </c>
      <c r="AP13" s="22" t="n">
        <v>5000</v>
      </c>
      <c r="AQ13" s="22" t="n">
        <v>5000</v>
      </c>
      <c r="AR13" s="70" t="n">
        <f aca="false">AQ13-AP13</f>
        <v>0</v>
      </c>
      <c r="AS13" s="22" t="n">
        <v>20000</v>
      </c>
      <c r="AT13" s="22" t="n">
        <v>20000</v>
      </c>
      <c r="AU13" s="70" t="n">
        <f aca="false">AT13-AS13</f>
        <v>0</v>
      </c>
      <c r="AV13" s="22" t="n">
        <v>20000</v>
      </c>
      <c r="AW13" s="22" t="n">
        <v>20000</v>
      </c>
      <c r="AX13" s="70" t="n">
        <f aca="false">AW13-AV13</f>
        <v>0</v>
      </c>
      <c r="AY13" s="22" t="n">
        <v>5537</v>
      </c>
      <c r="AZ13" s="22" t="n">
        <f aca="false">6000-1000+537</f>
        <v>5537</v>
      </c>
      <c r="BA13" s="70" t="n">
        <f aca="false">AZ13-AY13</f>
        <v>0</v>
      </c>
      <c r="BB13" s="22" t="n">
        <v>3629</v>
      </c>
      <c r="BC13" s="22" t="n">
        <v>3629</v>
      </c>
      <c r="BD13" s="70" t="n">
        <f aca="false">BC13-BB13</f>
        <v>0</v>
      </c>
      <c r="BE13" s="22" t="n">
        <v>5000</v>
      </c>
      <c r="BF13" s="22" t="n">
        <v>5000</v>
      </c>
      <c r="BG13" s="70" t="n">
        <f aca="false">BF13-BE13</f>
        <v>0</v>
      </c>
      <c r="BH13" s="22"/>
      <c r="BI13" s="22"/>
      <c r="BJ13" s="70" t="n">
        <f aca="false">BI13-BH13</f>
        <v>0</v>
      </c>
      <c r="BK13" s="22"/>
      <c r="BL13" s="22"/>
      <c r="BM13" s="70" t="n">
        <f aca="false">BL13-BK13</f>
        <v>0</v>
      </c>
      <c r="BN13" s="22"/>
      <c r="BO13" s="22"/>
      <c r="BP13" s="70" t="n">
        <f aca="false">BO13-BN13</f>
        <v>0</v>
      </c>
      <c r="BQ13" s="22"/>
      <c r="BR13" s="22"/>
      <c r="BS13" s="70" t="n">
        <f aca="false">BR13-BQ13</f>
        <v>0</v>
      </c>
      <c r="BT13" s="22"/>
      <c r="BU13" s="22"/>
      <c r="BV13" s="70" t="n">
        <f aca="false">BU13-BT13</f>
        <v>0</v>
      </c>
      <c r="BW13" s="22"/>
      <c r="BX13" s="22"/>
      <c r="BY13" s="70" t="n">
        <f aca="false">BX13-BW13</f>
        <v>0</v>
      </c>
      <c r="BZ13" s="22"/>
      <c r="CA13" s="22"/>
      <c r="CB13" s="70" t="n">
        <f aca="false">CA13-BZ13</f>
        <v>0</v>
      </c>
      <c r="CC13" s="22"/>
      <c r="CD13" s="22"/>
      <c r="CE13" s="70" t="n">
        <f aca="false">CD13-CC13</f>
        <v>0</v>
      </c>
      <c r="CF13" s="22"/>
      <c r="CG13" s="22"/>
      <c r="CH13" s="70" t="n">
        <f aca="false">CG13-CF13</f>
        <v>0</v>
      </c>
      <c r="CI13" s="22"/>
      <c r="CJ13" s="22"/>
      <c r="CK13" s="70" t="n">
        <f aca="false">CJ13-CI13</f>
        <v>0</v>
      </c>
      <c r="CL13" s="22"/>
      <c r="CM13" s="22"/>
      <c r="CN13" s="70" t="n">
        <f aca="false">CM13-CL13</f>
        <v>0</v>
      </c>
      <c r="CO13" s="22"/>
      <c r="CP13" s="22"/>
      <c r="CQ13" s="70" t="n">
        <f aca="false">CP13-CO13</f>
        <v>0</v>
      </c>
      <c r="CR13" s="22"/>
      <c r="CS13" s="22"/>
      <c r="CT13" s="70" t="n">
        <f aca="false">CS13-CR13</f>
        <v>0</v>
      </c>
      <c r="CU13" s="22"/>
      <c r="CV13" s="22"/>
      <c r="CW13" s="70" t="n">
        <f aca="false">CV13-CU13</f>
        <v>0</v>
      </c>
      <c r="CX13" s="22"/>
      <c r="CY13" s="22"/>
      <c r="CZ13" s="70" t="n">
        <f aca="false">CY13-CX13</f>
        <v>0</v>
      </c>
      <c r="DA13" s="22"/>
      <c r="DB13" s="22"/>
      <c r="DC13" s="70" t="n">
        <f aca="false">DB13-DA13</f>
        <v>0</v>
      </c>
      <c r="DD13" s="22"/>
      <c r="DE13" s="22"/>
      <c r="DF13" s="70" t="n">
        <f aca="false">DE13-DD13</f>
        <v>0</v>
      </c>
      <c r="DG13" s="22"/>
      <c r="DH13" s="22"/>
      <c r="DI13" s="70" t="n">
        <f aca="false">DH13-DG13</f>
        <v>0</v>
      </c>
      <c r="DJ13" s="22"/>
      <c r="DK13" s="22"/>
      <c r="DL13" s="70" t="n">
        <f aca="false">DK13-DJ13</f>
        <v>0</v>
      </c>
      <c r="DM13" s="22"/>
      <c r="DN13" s="22"/>
      <c r="DO13" s="70" t="n">
        <f aca="false">DN13-DM13</f>
        <v>0</v>
      </c>
      <c r="DP13" s="22"/>
      <c r="DQ13" s="22"/>
      <c r="DR13" s="70" t="n">
        <f aca="false">DQ13-DP13</f>
        <v>0</v>
      </c>
      <c r="DS13" s="70" t="n">
        <f aca="false">+C13+F13+I13+L13+O13+R13+U13+X13+AA13+AD13+AG13+AJ13+AM13+AP13+AS13+AV13+AY13+BB13+BE13+BH13+BK13+BN13+BQ13+BT13+BW13+BZ13+CC13+CF13+CI13+CL13+CO13+CR13+CU13+CX13+DA13+DD13+DG13+DJ13+DM13+DP13</f>
        <v>182639</v>
      </c>
      <c r="DT13" s="70" t="n">
        <f aca="false">+D13+G13+J13+M13+P13+S13+V13+Y13+AB13+AE13+AH13+AK13+AN13+AQ13+AT13+AW13+AZ13+BC13+BF13+BI13+BL13+BO13+BR13+BU13+BX13+CA13+CD13+CG13+CJ13+CM13+CP13+CS13+CV13+CY13+DB13+DE13+DH13+DK13+DN13+DQ13</f>
        <v>182278</v>
      </c>
      <c r="DU13" s="70" t="n">
        <f aca="false">DT13-DS13</f>
        <v>-361</v>
      </c>
      <c r="DV13" s="75"/>
      <c r="DW13" s="74"/>
      <c r="DX13" s="74"/>
      <c r="DY13" s="75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</row>
    <row r="14" customFormat="false" ht="12.75" hidden="false" customHeight="false" outlineLevel="0" collapsed="false">
      <c r="A14" s="69" t="n">
        <f aca="false">A13+1</f>
        <v>36686</v>
      </c>
      <c r="B14" s="69" t="s">
        <v>114</v>
      </c>
      <c r="C14" s="22" t="n">
        <v>4178</v>
      </c>
      <c r="D14" s="22" t="n">
        <v>4178</v>
      </c>
      <c r="E14" s="70" t="n">
        <f aca="false">D14-C14</f>
        <v>0</v>
      </c>
      <c r="F14" s="22" t="n">
        <v>5000</v>
      </c>
      <c r="G14" s="22" t="n">
        <v>5000</v>
      </c>
      <c r="H14" s="70" t="n">
        <f aca="false">G14-F14</f>
        <v>0</v>
      </c>
      <c r="I14" s="22" t="n">
        <v>4666</v>
      </c>
      <c r="J14" s="22" t="n">
        <v>4666</v>
      </c>
      <c r="K14" s="70" t="n">
        <f aca="false">J14-I14</f>
        <v>0</v>
      </c>
      <c r="L14" s="22" t="n">
        <v>16000</v>
      </c>
      <c r="M14" s="22" t="n">
        <f aca="false">1000+14995</f>
        <v>15995</v>
      </c>
      <c r="N14" s="70" t="n">
        <f aca="false">M14-L14</f>
        <v>-5</v>
      </c>
      <c r="O14" s="22" t="n">
        <v>10000</v>
      </c>
      <c r="P14" s="22" t="n">
        <v>10000</v>
      </c>
      <c r="Q14" s="70" t="n">
        <f aca="false">P14-O14</f>
        <v>0</v>
      </c>
      <c r="R14" s="22" t="n">
        <v>20000</v>
      </c>
      <c r="S14" s="22" t="n">
        <v>20000</v>
      </c>
      <c r="T14" s="70" t="n">
        <f aca="false">S14-R14</f>
        <v>0</v>
      </c>
      <c r="U14" s="22" t="n">
        <v>10000</v>
      </c>
      <c r="V14" s="22" t="n">
        <v>10000</v>
      </c>
      <c r="W14" s="70" t="n">
        <f aca="false">V14-U14</f>
        <v>0</v>
      </c>
      <c r="X14" s="22" t="n">
        <v>5000</v>
      </c>
      <c r="Y14" s="22" t="n">
        <v>5000</v>
      </c>
      <c r="Z14" s="70" t="n">
        <f aca="false">Y14-X14</f>
        <v>0</v>
      </c>
      <c r="AA14" s="22" t="n">
        <v>5000</v>
      </c>
      <c r="AB14" s="22" t="n">
        <v>5000</v>
      </c>
      <c r="AC14" s="70" t="n">
        <f aca="false">AB14-AA14</f>
        <v>0</v>
      </c>
      <c r="AD14" s="22" t="n">
        <f aca="false">10000+3649</f>
        <v>13649</v>
      </c>
      <c r="AE14" s="22" t="n">
        <f aca="false">10000+3649</f>
        <v>13649</v>
      </c>
      <c r="AF14" s="70" t="n">
        <f aca="false">AE14-AD14</f>
        <v>0</v>
      </c>
      <c r="AG14" s="22" t="n">
        <v>10000</v>
      </c>
      <c r="AH14" s="22" t="n">
        <v>10000</v>
      </c>
      <c r="AI14" s="70" t="n">
        <f aca="false">AH14-AG14</f>
        <v>0</v>
      </c>
      <c r="AJ14" s="22" t="n">
        <v>10000</v>
      </c>
      <c r="AK14" s="22" t="n">
        <v>10000</v>
      </c>
      <c r="AL14" s="70" t="n">
        <f aca="false">AK14-AJ14</f>
        <v>0</v>
      </c>
      <c r="AM14" s="22" t="n">
        <v>10000</v>
      </c>
      <c r="AN14" s="22" t="n">
        <v>10000</v>
      </c>
      <c r="AO14" s="70" t="n">
        <f aca="false">AN14-AM14</f>
        <v>0</v>
      </c>
      <c r="AP14" s="22" t="n">
        <v>5000</v>
      </c>
      <c r="AQ14" s="22" t="n">
        <v>5000</v>
      </c>
      <c r="AR14" s="70" t="n">
        <f aca="false">AQ14-AP14</f>
        <v>0</v>
      </c>
      <c r="AS14" s="22" t="n">
        <v>20000</v>
      </c>
      <c r="AT14" s="22" t="n">
        <v>20000</v>
      </c>
      <c r="AU14" s="70" t="n">
        <f aca="false">AT14-AS14</f>
        <v>0</v>
      </c>
      <c r="AV14" s="22" t="n">
        <v>20000</v>
      </c>
      <c r="AW14" s="22" t="n">
        <v>20000</v>
      </c>
      <c r="AX14" s="70" t="n">
        <f aca="false">AW14-AV14</f>
        <v>0</v>
      </c>
      <c r="AY14" s="22" t="n">
        <v>2584</v>
      </c>
      <c r="AZ14" s="22" t="n">
        <v>2584</v>
      </c>
      <c r="BA14" s="70" t="n">
        <f aca="false">AZ14-AY14</f>
        <v>0</v>
      </c>
      <c r="BB14" s="22" t="n">
        <v>3649</v>
      </c>
      <c r="BC14" s="22" t="n">
        <v>3649</v>
      </c>
      <c r="BD14" s="70" t="n">
        <f aca="false">BC14-BB14</f>
        <v>0</v>
      </c>
      <c r="BE14" s="22" t="n">
        <v>5000</v>
      </c>
      <c r="BF14" s="22" t="n">
        <v>5000</v>
      </c>
      <c r="BG14" s="70" t="n">
        <f aca="false">BF14-BE14</f>
        <v>0</v>
      </c>
      <c r="BH14" s="22"/>
      <c r="BI14" s="22"/>
      <c r="BJ14" s="70" t="n">
        <f aca="false">BI14-BH14</f>
        <v>0</v>
      </c>
      <c r="BK14" s="22"/>
      <c r="BL14" s="22"/>
      <c r="BM14" s="70" t="n">
        <f aca="false">BL14-BK14</f>
        <v>0</v>
      </c>
      <c r="BN14" s="22"/>
      <c r="BO14" s="22"/>
      <c r="BP14" s="70" t="n">
        <f aca="false">BO14-BN14</f>
        <v>0</v>
      </c>
      <c r="BQ14" s="22"/>
      <c r="BR14" s="22"/>
      <c r="BS14" s="70" t="n">
        <f aca="false">BR14-BQ14</f>
        <v>0</v>
      </c>
      <c r="BT14" s="22"/>
      <c r="BU14" s="22"/>
      <c r="BV14" s="70" t="n">
        <f aca="false">BU14-BT14</f>
        <v>0</v>
      </c>
      <c r="BW14" s="22"/>
      <c r="BX14" s="22"/>
      <c r="BY14" s="70" t="n">
        <f aca="false">BX14-BW14</f>
        <v>0</v>
      </c>
      <c r="BZ14" s="22"/>
      <c r="CA14" s="22"/>
      <c r="CB14" s="70" t="n">
        <f aca="false">CA14-BZ14</f>
        <v>0</v>
      </c>
      <c r="CC14" s="22"/>
      <c r="CD14" s="22"/>
      <c r="CE14" s="70" t="n">
        <f aca="false">CD14-CC14</f>
        <v>0</v>
      </c>
      <c r="CF14" s="22"/>
      <c r="CG14" s="22"/>
      <c r="CH14" s="70" t="n">
        <f aca="false">CG14-CF14</f>
        <v>0</v>
      </c>
      <c r="CI14" s="22"/>
      <c r="CJ14" s="22"/>
      <c r="CK14" s="70" t="n">
        <f aca="false">CJ14-CI14</f>
        <v>0</v>
      </c>
      <c r="CL14" s="22"/>
      <c r="CM14" s="22"/>
      <c r="CN14" s="70" t="n">
        <f aca="false">CM14-CL14</f>
        <v>0</v>
      </c>
      <c r="CO14" s="22"/>
      <c r="CP14" s="22"/>
      <c r="CQ14" s="70" t="n">
        <f aca="false">CP14-CO14</f>
        <v>0</v>
      </c>
      <c r="CR14" s="22"/>
      <c r="CS14" s="22"/>
      <c r="CT14" s="70" t="n">
        <f aca="false">CS14-CR14</f>
        <v>0</v>
      </c>
      <c r="CU14" s="22"/>
      <c r="CV14" s="22"/>
      <c r="CW14" s="70" t="n">
        <f aca="false">CV14-CU14</f>
        <v>0</v>
      </c>
      <c r="CX14" s="22"/>
      <c r="CY14" s="22"/>
      <c r="CZ14" s="70" t="n">
        <f aca="false">CY14-CX14</f>
        <v>0</v>
      </c>
      <c r="DA14" s="22"/>
      <c r="DB14" s="22"/>
      <c r="DC14" s="70" t="n">
        <f aca="false">DB14-DA14</f>
        <v>0</v>
      </c>
      <c r="DD14" s="22"/>
      <c r="DE14" s="22"/>
      <c r="DF14" s="70" t="n">
        <f aca="false">DE14-DD14</f>
        <v>0</v>
      </c>
      <c r="DG14" s="22"/>
      <c r="DH14" s="22"/>
      <c r="DI14" s="70" t="n">
        <f aca="false">DH14-DG14</f>
        <v>0</v>
      </c>
      <c r="DJ14" s="22"/>
      <c r="DK14" s="22"/>
      <c r="DL14" s="70" t="n">
        <f aca="false">DK14-DJ14</f>
        <v>0</v>
      </c>
      <c r="DM14" s="22"/>
      <c r="DN14" s="22"/>
      <c r="DO14" s="70" t="n">
        <f aca="false">DN14-DM14</f>
        <v>0</v>
      </c>
      <c r="DP14" s="22"/>
      <c r="DQ14" s="22"/>
      <c r="DR14" s="70" t="n">
        <f aca="false">DQ14-DP14</f>
        <v>0</v>
      </c>
      <c r="DS14" s="70" t="n">
        <f aca="false">+C14+F14+I14+L14+O14+R14+U14+X14+AA14+AD14+AG14+AJ14+AM14+AP14+AS14+AV14+AY14+BB14+BE14+BH14+BK14+BN14+BQ14+BT14+BW14+BZ14+CC14+CF14+CI14+CL14+CO14+CR14+CU14+CX14+DA14+DD14+DG14+DJ14+DM14+DP14</f>
        <v>179726</v>
      </c>
      <c r="DT14" s="70" t="n">
        <f aca="false">+D14+G14+J14+M14+P14+S14+V14+Y14+AB14+AE14+AH14+AK14+AN14+AQ14+AT14+AW14+AZ14+BC14+BF14+BI14+BL14+BO14+BR14+BU14+BX14+CA14+CD14+CG14+CJ14+CM14+CP14+CS14+CV14+CY14+DB14+DE14+DH14+DK14+DN14+DQ14</f>
        <v>179721</v>
      </c>
      <c r="DU14" s="70" t="n">
        <f aca="false">DT14-DS14</f>
        <v>-5</v>
      </c>
      <c r="DV14" s="75"/>
      <c r="DW14" s="74"/>
      <c r="DX14" s="74"/>
      <c r="DY14" s="75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</row>
    <row r="15" customFormat="false" ht="12.75" hidden="false" customHeight="false" outlineLevel="0" collapsed="false">
      <c r="A15" s="69" t="n">
        <f aca="false">A14+1</f>
        <v>36687</v>
      </c>
      <c r="B15" s="69" t="s">
        <v>115</v>
      </c>
      <c r="C15" s="22" t="n">
        <v>4178</v>
      </c>
      <c r="D15" s="22" t="n">
        <v>4178</v>
      </c>
      <c r="E15" s="70" t="n">
        <f aca="false">D15-C15</f>
        <v>0</v>
      </c>
      <c r="F15" s="22" t="n">
        <v>5000</v>
      </c>
      <c r="G15" s="22" t="n">
        <v>5000</v>
      </c>
      <c r="H15" s="70" t="n">
        <f aca="false">G15-F15</f>
        <v>0</v>
      </c>
      <c r="I15" s="22" t="n">
        <v>4666</v>
      </c>
      <c r="J15" s="22" t="n">
        <v>4666</v>
      </c>
      <c r="K15" s="70" t="n">
        <f aca="false">J15-I15</f>
        <v>0</v>
      </c>
      <c r="L15" s="22" t="n">
        <v>16000</v>
      </c>
      <c r="M15" s="22" t="n">
        <f aca="false">1000+14999</f>
        <v>15999</v>
      </c>
      <c r="N15" s="70" t="n">
        <f aca="false">M15-L15</f>
        <v>-1</v>
      </c>
      <c r="O15" s="22" t="n">
        <v>10000</v>
      </c>
      <c r="P15" s="22" t="n">
        <v>10000</v>
      </c>
      <c r="Q15" s="70" t="n">
        <f aca="false">P15-O15</f>
        <v>0</v>
      </c>
      <c r="R15" s="22" t="n">
        <v>20000</v>
      </c>
      <c r="S15" s="22" t="n">
        <v>20000</v>
      </c>
      <c r="T15" s="70" t="n">
        <f aca="false">S15-R15</f>
        <v>0</v>
      </c>
      <c r="U15" s="22" t="n">
        <v>10000</v>
      </c>
      <c r="V15" s="22" t="n">
        <v>10000</v>
      </c>
      <c r="W15" s="70" t="n">
        <f aca="false">V15-U15</f>
        <v>0</v>
      </c>
      <c r="X15" s="22" t="n">
        <v>5000</v>
      </c>
      <c r="Y15" s="22" t="n">
        <v>5000</v>
      </c>
      <c r="Z15" s="70" t="n">
        <f aca="false">Y15-X15</f>
        <v>0</v>
      </c>
      <c r="AA15" s="22" t="n">
        <v>5000</v>
      </c>
      <c r="AB15" s="22" t="n">
        <v>5000</v>
      </c>
      <c r="AC15" s="70" t="n">
        <f aca="false">AB15-AA15</f>
        <v>0</v>
      </c>
      <c r="AD15" s="22" t="n">
        <f aca="false">10000+5000</f>
        <v>15000</v>
      </c>
      <c r="AE15" s="22" t="n">
        <f aca="false">10000+5000</f>
        <v>15000</v>
      </c>
      <c r="AF15" s="70" t="n">
        <f aca="false">AE15-AD15</f>
        <v>0</v>
      </c>
      <c r="AG15" s="22" t="n">
        <v>10000</v>
      </c>
      <c r="AH15" s="22" t="n">
        <v>10000</v>
      </c>
      <c r="AI15" s="70" t="n">
        <f aca="false">AH15-AG15</f>
        <v>0</v>
      </c>
      <c r="AJ15" s="22" t="n">
        <v>10000</v>
      </c>
      <c r="AK15" s="22" t="n">
        <v>10000</v>
      </c>
      <c r="AL15" s="70" t="n">
        <f aca="false">AK15-AJ15</f>
        <v>0</v>
      </c>
      <c r="AM15" s="22" t="n">
        <v>10000</v>
      </c>
      <c r="AN15" s="22" t="n">
        <v>10000</v>
      </c>
      <c r="AO15" s="70" t="n">
        <f aca="false">AN15-AM15</f>
        <v>0</v>
      </c>
      <c r="AP15" s="22" t="n">
        <v>5000</v>
      </c>
      <c r="AQ15" s="22" t="n">
        <v>5000</v>
      </c>
      <c r="AR15" s="70" t="n">
        <f aca="false">AQ15-AP15</f>
        <v>0</v>
      </c>
      <c r="AS15" s="22" t="n">
        <v>20000</v>
      </c>
      <c r="AT15" s="22" t="n">
        <v>20000</v>
      </c>
      <c r="AU15" s="70" t="n">
        <f aca="false">AT15-AS15</f>
        <v>0</v>
      </c>
      <c r="AV15" s="22" t="n">
        <v>20000</v>
      </c>
      <c r="AW15" s="22" t="n">
        <v>20000</v>
      </c>
      <c r="AX15" s="70" t="n">
        <f aca="false">AW15-AV15</f>
        <v>0</v>
      </c>
      <c r="AY15" s="22" t="n">
        <v>6000</v>
      </c>
      <c r="AZ15" s="22" t="n">
        <v>6000</v>
      </c>
      <c r="BA15" s="70" t="n">
        <f aca="false">AZ15-AY15</f>
        <v>0</v>
      </c>
      <c r="BB15" s="22" t="n">
        <v>5000</v>
      </c>
      <c r="BC15" s="22" t="n">
        <v>5000</v>
      </c>
      <c r="BD15" s="70" t="n">
        <f aca="false">BC15-BB15</f>
        <v>0</v>
      </c>
      <c r="BE15" s="22" t="n">
        <v>5000</v>
      </c>
      <c r="BF15" s="22" t="n">
        <v>5000</v>
      </c>
      <c r="BG15" s="70" t="n">
        <f aca="false">BF15-BE15</f>
        <v>0</v>
      </c>
      <c r="BH15" s="22"/>
      <c r="BI15" s="22"/>
      <c r="BJ15" s="70" t="n">
        <f aca="false">BI15-BH15</f>
        <v>0</v>
      </c>
      <c r="BK15" s="22"/>
      <c r="BL15" s="22"/>
      <c r="BM15" s="70" t="n">
        <f aca="false">BL15-BK15</f>
        <v>0</v>
      </c>
      <c r="BN15" s="22"/>
      <c r="BO15" s="22"/>
      <c r="BP15" s="70" t="n">
        <f aca="false">BO15-BN15</f>
        <v>0</v>
      </c>
      <c r="BQ15" s="22"/>
      <c r="BR15" s="22"/>
      <c r="BS15" s="70" t="n">
        <f aca="false">BR15-BQ15</f>
        <v>0</v>
      </c>
      <c r="BT15" s="22"/>
      <c r="BU15" s="22"/>
      <c r="BV15" s="70" t="n">
        <f aca="false">BU15-BT15</f>
        <v>0</v>
      </c>
      <c r="BW15" s="22"/>
      <c r="BX15" s="22"/>
      <c r="BY15" s="70" t="n">
        <f aca="false">BX15-BW15</f>
        <v>0</v>
      </c>
      <c r="BZ15" s="22"/>
      <c r="CA15" s="22"/>
      <c r="CB15" s="70" t="n">
        <f aca="false">CA15-BZ15</f>
        <v>0</v>
      </c>
      <c r="CC15" s="22"/>
      <c r="CD15" s="22"/>
      <c r="CE15" s="70" t="n">
        <f aca="false">CD15-CC15</f>
        <v>0</v>
      </c>
      <c r="CF15" s="22"/>
      <c r="CG15" s="22"/>
      <c r="CH15" s="70" t="n">
        <f aca="false">CG15-CF15</f>
        <v>0</v>
      </c>
      <c r="CI15" s="22"/>
      <c r="CJ15" s="22"/>
      <c r="CK15" s="70" t="n">
        <f aca="false">CJ15-CI15</f>
        <v>0</v>
      </c>
      <c r="CL15" s="22"/>
      <c r="CM15" s="22"/>
      <c r="CN15" s="70" t="n">
        <f aca="false">CM15-CL15</f>
        <v>0</v>
      </c>
      <c r="CO15" s="22"/>
      <c r="CP15" s="22"/>
      <c r="CQ15" s="70" t="n">
        <f aca="false">CP15-CO15</f>
        <v>0</v>
      </c>
      <c r="CR15" s="22"/>
      <c r="CS15" s="22"/>
      <c r="CT15" s="70" t="n">
        <f aca="false">CS15-CR15</f>
        <v>0</v>
      </c>
      <c r="CU15" s="22"/>
      <c r="CV15" s="22"/>
      <c r="CW15" s="70" t="n">
        <f aca="false">CV15-CU15</f>
        <v>0</v>
      </c>
      <c r="CX15" s="22"/>
      <c r="CY15" s="22"/>
      <c r="CZ15" s="70" t="n">
        <f aca="false">CY15-CX15</f>
        <v>0</v>
      </c>
      <c r="DA15" s="22"/>
      <c r="DB15" s="22"/>
      <c r="DC15" s="70" t="n">
        <f aca="false">DB15-DA15</f>
        <v>0</v>
      </c>
      <c r="DD15" s="22"/>
      <c r="DE15" s="22"/>
      <c r="DF15" s="70" t="n">
        <f aca="false">DE15-DD15</f>
        <v>0</v>
      </c>
      <c r="DG15" s="22"/>
      <c r="DH15" s="22"/>
      <c r="DI15" s="70" t="n">
        <f aca="false">DH15-DG15</f>
        <v>0</v>
      </c>
      <c r="DJ15" s="22"/>
      <c r="DK15" s="22"/>
      <c r="DL15" s="70" t="n">
        <f aca="false">DK15-DJ15</f>
        <v>0</v>
      </c>
      <c r="DM15" s="22"/>
      <c r="DN15" s="22"/>
      <c r="DO15" s="70" t="n">
        <f aca="false">DN15-DM15</f>
        <v>0</v>
      </c>
      <c r="DP15" s="22"/>
      <c r="DQ15" s="22"/>
      <c r="DR15" s="70" t="n">
        <f aca="false">DQ15-DP15</f>
        <v>0</v>
      </c>
      <c r="DS15" s="70" t="n">
        <f aca="false">+C15+F15+I15+L15+O15+R15+U15+X15+AA15+AD15+AG15+AJ15+AM15+AP15+AS15+AV15+AY15+BB15+BE15+BH15+BK15+BN15+BQ15+BT15+BW15+BZ15+CC15+CF15+CI15+CL15+CO15+CR15+CU15+CX15+DA15+DD15+DG15+DJ15+DM15+DP15</f>
        <v>185844</v>
      </c>
      <c r="DT15" s="70" t="n">
        <f aca="false">+D15+G15+J15+M15+P15+S15+V15+Y15+AB15+AE15+AH15+AK15+AN15+AQ15+AT15+AW15+AZ15+BC15+BF15+BI15+BL15+BO15+BR15+BU15+BX15+CA15+CD15+CG15+CJ15+CM15+CP15+CS15+CV15+CY15+DB15+DE15+DH15+DK15+DN15+DQ15</f>
        <v>185843</v>
      </c>
      <c r="DU15" s="70" t="n">
        <f aca="false">DT15-DS15</f>
        <v>-1</v>
      </c>
      <c r="DV15" s="75"/>
      <c r="DW15" s="74"/>
      <c r="DX15" s="74"/>
      <c r="DY15" s="75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</row>
    <row r="16" customFormat="false" ht="12.75" hidden="false" customHeight="false" outlineLevel="0" collapsed="false">
      <c r="A16" s="69" t="n">
        <f aca="false">A15+1</f>
        <v>36688</v>
      </c>
      <c r="B16" s="69" t="s">
        <v>116</v>
      </c>
      <c r="C16" s="22" t="n">
        <v>4178</v>
      </c>
      <c r="D16" s="22" t="n">
        <v>4178</v>
      </c>
      <c r="E16" s="70" t="n">
        <f aca="false">D16-C16</f>
        <v>0</v>
      </c>
      <c r="F16" s="22" t="n">
        <v>5000</v>
      </c>
      <c r="G16" s="22" t="n">
        <v>5000</v>
      </c>
      <c r="H16" s="70" t="n">
        <f aca="false">G16-F16</f>
        <v>0</v>
      </c>
      <c r="I16" s="22" t="n">
        <v>4666</v>
      </c>
      <c r="J16" s="22" t="n">
        <v>4666</v>
      </c>
      <c r="K16" s="70" t="n">
        <f aca="false">J16-I16</f>
        <v>0</v>
      </c>
      <c r="L16" s="22" t="n">
        <v>16000</v>
      </c>
      <c r="M16" s="22" t="n">
        <f aca="false">1000+14578</f>
        <v>15578</v>
      </c>
      <c r="N16" s="70" t="n">
        <f aca="false">M16-L16</f>
        <v>-422</v>
      </c>
      <c r="O16" s="22" t="n">
        <v>10000</v>
      </c>
      <c r="P16" s="22" t="n">
        <v>10000</v>
      </c>
      <c r="Q16" s="70" t="n">
        <f aca="false">P16-O16</f>
        <v>0</v>
      </c>
      <c r="R16" s="22" t="n">
        <v>20000</v>
      </c>
      <c r="S16" s="22" t="n">
        <v>20000</v>
      </c>
      <c r="T16" s="70" t="n">
        <f aca="false">S16-R16</f>
        <v>0</v>
      </c>
      <c r="U16" s="22" t="n">
        <v>10000</v>
      </c>
      <c r="V16" s="22" t="n">
        <v>10000</v>
      </c>
      <c r="W16" s="70" t="n">
        <f aca="false">V16-U16</f>
        <v>0</v>
      </c>
      <c r="X16" s="22" t="n">
        <v>5000</v>
      </c>
      <c r="Y16" s="22" t="n">
        <v>5000</v>
      </c>
      <c r="Z16" s="70" t="n">
        <f aca="false">Y16-X16</f>
        <v>0</v>
      </c>
      <c r="AA16" s="22" t="n">
        <v>5000</v>
      </c>
      <c r="AB16" s="22" t="n">
        <v>5000</v>
      </c>
      <c r="AC16" s="70" t="n">
        <f aca="false">AB16-AA16</f>
        <v>0</v>
      </c>
      <c r="AD16" s="22" t="n">
        <f aca="false">10000+5000</f>
        <v>15000</v>
      </c>
      <c r="AE16" s="22" t="n">
        <f aca="false">10000+5000</f>
        <v>15000</v>
      </c>
      <c r="AF16" s="70" t="n">
        <f aca="false">AE16-AD16</f>
        <v>0</v>
      </c>
      <c r="AG16" s="22" t="n">
        <v>10000</v>
      </c>
      <c r="AH16" s="22" t="n">
        <v>10000</v>
      </c>
      <c r="AI16" s="70" t="n">
        <f aca="false">AH16-AG16</f>
        <v>0</v>
      </c>
      <c r="AJ16" s="22" t="n">
        <v>10000</v>
      </c>
      <c r="AK16" s="22" t="n">
        <v>10000</v>
      </c>
      <c r="AL16" s="70" t="n">
        <f aca="false">AK16-AJ16</f>
        <v>0</v>
      </c>
      <c r="AM16" s="22" t="n">
        <v>10000</v>
      </c>
      <c r="AN16" s="22" t="n">
        <v>10000</v>
      </c>
      <c r="AO16" s="70" t="n">
        <f aca="false">AN16-AM16</f>
        <v>0</v>
      </c>
      <c r="AP16" s="22" t="n">
        <v>5000</v>
      </c>
      <c r="AQ16" s="22" t="n">
        <v>5000</v>
      </c>
      <c r="AR16" s="70" t="n">
        <f aca="false">AQ16-AP16</f>
        <v>0</v>
      </c>
      <c r="AS16" s="22" t="n">
        <v>20000</v>
      </c>
      <c r="AT16" s="22" t="n">
        <v>20000</v>
      </c>
      <c r="AU16" s="70" t="n">
        <f aca="false">AT16-AS16</f>
        <v>0</v>
      </c>
      <c r="AV16" s="22" t="n">
        <v>20000</v>
      </c>
      <c r="AW16" s="22" t="n">
        <v>20000</v>
      </c>
      <c r="AX16" s="70" t="n">
        <f aca="false">AW16-AV16</f>
        <v>0</v>
      </c>
      <c r="AY16" s="22" t="n">
        <v>6000</v>
      </c>
      <c r="AZ16" s="22" t="n">
        <v>6000</v>
      </c>
      <c r="BA16" s="70" t="n">
        <f aca="false">AZ16-AY16</f>
        <v>0</v>
      </c>
      <c r="BB16" s="22" t="n">
        <v>5000</v>
      </c>
      <c r="BC16" s="22" t="n">
        <v>5000</v>
      </c>
      <c r="BD16" s="70" t="n">
        <f aca="false">BC16-BB16</f>
        <v>0</v>
      </c>
      <c r="BE16" s="22" t="n">
        <v>5000</v>
      </c>
      <c r="BF16" s="22" t="n">
        <v>5000</v>
      </c>
      <c r="BG16" s="70" t="n">
        <f aca="false">BF16-BE16</f>
        <v>0</v>
      </c>
      <c r="BH16" s="22"/>
      <c r="BI16" s="22"/>
      <c r="BJ16" s="70" t="n">
        <f aca="false">BI16-BH16</f>
        <v>0</v>
      </c>
      <c r="BK16" s="22"/>
      <c r="BL16" s="22"/>
      <c r="BM16" s="70" t="n">
        <f aca="false">BL16-BK16</f>
        <v>0</v>
      </c>
      <c r="BN16" s="22"/>
      <c r="BO16" s="22"/>
      <c r="BP16" s="70" t="n">
        <f aca="false">BO16-BN16</f>
        <v>0</v>
      </c>
      <c r="BQ16" s="22"/>
      <c r="BR16" s="22"/>
      <c r="BS16" s="70" t="n">
        <f aca="false">BR16-BQ16</f>
        <v>0</v>
      </c>
      <c r="BT16" s="22"/>
      <c r="BU16" s="22"/>
      <c r="BV16" s="70" t="n">
        <f aca="false">BU16-BT16</f>
        <v>0</v>
      </c>
      <c r="BW16" s="22"/>
      <c r="BX16" s="22"/>
      <c r="BY16" s="70" t="n">
        <f aca="false">BX16-BW16</f>
        <v>0</v>
      </c>
      <c r="BZ16" s="22"/>
      <c r="CA16" s="22"/>
      <c r="CB16" s="70" t="n">
        <f aca="false">CA16-BZ16</f>
        <v>0</v>
      </c>
      <c r="CC16" s="22"/>
      <c r="CD16" s="22"/>
      <c r="CE16" s="70" t="n">
        <f aca="false">CD16-CC16</f>
        <v>0</v>
      </c>
      <c r="CF16" s="22"/>
      <c r="CG16" s="22"/>
      <c r="CH16" s="70" t="n">
        <f aca="false">CG16-CF16</f>
        <v>0</v>
      </c>
      <c r="CI16" s="22"/>
      <c r="CJ16" s="22"/>
      <c r="CK16" s="70" t="n">
        <f aca="false">CJ16-CI16</f>
        <v>0</v>
      </c>
      <c r="CL16" s="22"/>
      <c r="CM16" s="22"/>
      <c r="CN16" s="70" t="n">
        <f aca="false">CM16-CL16</f>
        <v>0</v>
      </c>
      <c r="CO16" s="22"/>
      <c r="CP16" s="22"/>
      <c r="CQ16" s="70" t="n">
        <f aca="false">CP16-CO16</f>
        <v>0</v>
      </c>
      <c r="CR16" s="22"/>
      <c r="CS16" s="22"/>
      <c r="CT16" s="70" t="n">
        <f aca="false">CS16-CR16</f>
        <v>0</v>
      </c>
      <c r="CU16" s="22"/>
      <c r="CV16" s="22"/>
      <c r="CW16" s="70" t="n">
        <f aca="false">CV16-CU16</f>
        <v>0</v>
      </c>
      <c r="CX16" s="22"/>
      <c r="CY16" s="22"/>
      <c r="CZ16" s="70" t="n">
        <f aca="false">CY16-CX16</f>
        <v>0</v>
      </c>
      <c r="DA16" s="22"/>
      <c r="DB16" s="22"/>
      <c r="DC16" s="70" t="n">
        <f aca="false">DB16-DA16</f>
        <v>0</v>
      </c>
      <c r="DD16" s="22"/>
      <c r="DE16" s="22"/>
      <c r="DF16" s="70" t="n">
        <f aca="false">DE16-DD16</f>
        <v>0</v>
      </c>
      <c r="DG16" s="22"/>
      <c r="DH16" s="22"/>
      <c r="DI16" s="70" t="n">
        <f aca="false">DH16-DG16</f>
        <v>0</v>
      </c>
      <c r="DJ16" s="22"/>
      <c r="DK16" s="22"/>
      <c r="DL16" s="70" t="n">
        <f aca="false">DK16-DJ16</f>
        <v>0</v>
      </c>
      <c r="DM16" s="22"/>
      <c r="DN16" s="22"/>
      <c r="DO16" s="70" t="n">
        <f aca="false">DN16-DM16</f>
        <v>0</v>
      </c>
      <c r="DP16" s="22"/>
      <c r="DQ16" s="22"/>
      <c r="DR16" s="70" t="n">
        <f aca="false">DQ16-DP16</f>
        <v>0</v>
      </c>
      <c r="DS16" s="70" t="n">
        <f aca="false">+C16+F16+I16+L16+O16+R16+U16+X16+AA16+AD16+AG16+AJ16+AM16+AP16+AS16+AV16+AY16+BB16+BE16+BH16+BK16+BN16+BQ16+BT16+BW16+BZ16+CC16+CF16+CI16+CL16+CO16+CR16+CU16+CX16+DA16+DD16+DG16+DJ16+DM16+DP16</f>
        <v>185844</v>
      </c>
      <c r="DT16" s="70" t="n">
        <f aca="false">+D16+G16+J16+M16+P16+S16+V16+Y16+AB16+AE16+AH16+AK16+AN16+AQ16+AT16+AW16+AZ16+BC16+BF16+BI16+BL16+BO16+BR16+BU16+BX16+CA16+CD16+CG16+CJ16+CM16+CP16+CS16+CV16+CY16+DB16+DE16+DH16+DK16+DN16+DQ16</f>
        <v>185422</v>
      </c>
      <c r="DU16" s="70" t="n">
        <f aca="false">DT16-DS16</f>
        <v>-422</v>
      </c>
      <c r="DV16" s="75"/>
      <c r="DW16" s="74"/>
      <c r="DX16" s="74"/>
      <c r="DY16" s="75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</row>
    <row r="17" customFormat="false" ht="12.75" hidden="false" customHeight="false" outlineLevel="0" collapsed="false">
      <c r="A17" s="69" t="n">
        <f aca="false">A16+1</f>
        <v>36689</v>
      </c>
      <c r="B17" s="69" t="s">
        <v>117</v>
      </c>
      <c r="C17" s="22" t="n">
        <v>4178</v>
      </c>
      <c r="D17" s="22" t="n">
        <v>4178</v>
      </c>
      <c r="E17" s="70" t="n">
        <f aca="false">D17-C17</f>
        <v>0</v>
      </c>
      <c r="F17" s="22" t="n">
        <v>5000</v>
      </c>
      <c r="G17" s="22" t="n">
        <v>5000</v>
      </c>
      <c r="H17" s="70" t="n">
        <f aca="false">G17-F17</f>
        <v>0</v>
      </c>
      <c r="I17" s="22" t="n">
        <v>4666</v>
      </c>
      <c r="J17" s="22" t="n">
        <v>4666</v>
      </c>
      <c r="K17" s="70" t="n">
        <f aca="false">J17-I17</f>
        <v>0</v>
      </c>
      <c r="L17" s="22" t="n">
        <v>16000</v>
      </c>
      <c r="M17" s="22" t="n">
        <f aca="false">1000+14646</f>
        <v>15646</v>
      </c>
      <c r="N17" s="70" t="n">
        <f aca="false">M17-L17</f>
        <v>-354</v>
      </c>
      <c r="O17" s="22" t="n">
        <v>10000</v>
      </c>
      <c r="P17" s="22" t="n">
        <v>10000</v>
      </c>
      <c r="Q17" s="70" t="n">
        <f aca="false">P17-O17</f>
        <v>0</v>
      </c>
      <c r="R17" s="22" t="n">
        <v>20000</v>
      </c>
      <c r="S17" s="22" t="n">
        <v>20000</v>
      </c>
      <c r="T17" s="70" t="n">
        <f aca="false">S17-R17</f>
        <v>0</v>
      </c>
      <c r="U17" s="22" t="n">
        <v>10000</v>
      </c>
      <c r="V17" s="22" t="n">
        <v>10000</v>
      </c>
      <c r="W17" s="70" t="n">
        <f aca="false">V17-U17</f>
        <v>0</v>
      </c>
      <c r="X17" s="22" t="n">
        <v>5000</v>
      </c>
      <c r="Y17" s="22" t="n">
        <v>5000</v>
      </c>
      <c r="Z17" s="70" t="n">
        <f aca="false">Y17-X17</f>
        <v>0</v>
      </c>
      <c r="AA17" s="22" t="n">
        <v>5000</v>
      </c>
      <c r="AB17" s="22" t="n">
        <v>5000</v>
      </c>
      <c r="AC17" s="70" t="n">
        <f aca="false">AB17-AA17</f>
        <v>0</v>
      </c>
      <c r="AD17" s="22" t="n">
        <f aca="false">10000+5000</f>
        <v>15000</v>
      </c>
      <c r="AE17" s="22" t="n">
        <f aca="false">10000+5000</f>
        <v>15000</v>
      </c>
      <c r="AF17" s="70" t="n">
        <f aca="false">AE17-AD17</f>
        <v>0</v>
      </c>
      <c r="AG17" s="22" t="n">
        <v>10000</v>
      </c>
      <c r="AH17" s="22" t="n">
        <v>10000</v>
      </c>
      <c r="AI17" s="70" t="n">
        <f aca="false">AH17-AG17</f>
        <v>0</v>
      </c>
      <c r="AJ17" s="22" t="n">
        <v>10000</v>
      </c>
      <c r="AK17" s="22" t="n">
        <v>10000</v>
      </c>
      <c r="AL17" s="70" t="n">
        <f aca="false">AK17-AJ17</f>
        <v>0</v>
      </c>
      <c r="AM17" s="22" t="n">
        <v>10000</v>
      </c>
      <c r="AN17" s="22" t="n">
        <v>10000</v>
      </c>
      <c r="AO17" s="70" t="n">
        <f aca="false">AN17-AM17</f>
        <v>0</v>
      </c>
      <c r="AP17" s="22" t="n">
        <v>5000</v>
      </c>
      <c r="AQ17" s="22" t="n">
        <v>5000</v>
      </c>
      <c r="AR17" s="70" t="n">
        <f aca="false">AQ17-AP17</f>
        <v>0</v>
      </c>
      <c r="AS17" s="22" t="n">
        <v>20000</v>
      </c>
      <c r="AT17" s="22" t="n">
        <v>20000</v>
      </c>
      <c r="AU17" s="70" t="n">
        <f aca="false">AT17-AS17</f>
        <v>0</v>
      </c>
      <c r="AV17" s="22" t="n">
        <v>20000</v>
      </c>
      <c r="AW17" s="22" t="n">
        <v>20000</v>
      </c>
      <c r="AX17" s="70" t="n">
        <f aca="false">AW17-AV17</f>
        <v>0</v>
      </c>
      <c r="AY17" s="22" t="n">
        <v>6000</v>
      </c>
      <c r="AZ17" s="22" t="n">
        <v>6000</v>
      </c>
      <c r="BA17" s="70" t="n">
        <f aca="false">AZ17-AY17</f>
        <v>0</v>
      </c>
      <c r="BB17" s="22" t="n">
        <v>5000</v>
      </c>
      <c r="BC17" s="22" t="n">
        <v>5000</v>
      </c>
      <c r="BD17" s="70" t="n">
        <f aca="false">BC17-BB17</f>
        <v>0</v>
      </c>
      <c r="BE17" s="22" t="n">
        <v>5000</v>
      </c>
      <c r="BF17" s="22" t="n">
        <v>5000</v>
      </c>
      <c r="BG17" s="70" t="n">
        <f aca="false">BF17-BE17</f>
        <v>0</v>
      </c>
      <c r="BH17" s="22"/>
      <c r="BI17" s="22"/>
      <c r="BJ17" s="70" t="n">
        <f aca="false">BI17-BH17</f>
        <v>0</v>
      </c>
      <c r="BK17" s="22"/>
      <c r="BL17" s="22"/>
      <c r="BM17" s="70" t="n">
        <f aca="false">BL17-BK17</f>
        <v>0</v>
      </c>
      <c r="BN17" s="22"/>
      <c r="BO17" s="22"/>
      <c r="BP17" s="70" t="n">
        <f aca="false">BO17-BN17</f>
        <v>0</v>
      </c>
      <c r="BQ17" s="22"/>
      <c r="BR17" s="22"/>
      <c r="BS17" s="70" t="n">
        <f aca="false">BR17-BQ17</f>
        <v>0</v>
      </c>
      <c r="BT17" s="22"/>
      <c r="BU17" s="22"/>
      <c r="BV17" s="70" t="n">
        <f aca="false">BU17-BT17</f>
        <v>0</v>
      </c>
      <c r="BW17" s="22"/>
      <c r="BX17" s="22"/>
      <c r="BY17" s="70" t="n">
        <f aca="false">BX17-BW17</f>
        <v>0</v>
      </c>
      <c r="BZ17" s="22"/>
      <c r="CA17" s="22"/>
      <c r="CB17" s="70" t="n">
        <f aca="false">CA17-BZ17</f>
        <v>0</v>
      </c>
      <c r="CC17" s="22"/>
      <c r="CD17" s="22"/>
      <c r="CE17" s="70" t="n">
        <f aca="false">CD17-CC17</f>
        <v>0</v>
      </c>
      <c r="CF17" s="22"/>
      <c r="CG17" s="22"/>
      <c r="CH17" s="70" t="n">
        <f aca="false">CG17-CF17</f>
        <v>0</v>
      </c>
      <c r="CI17" s="22"/>
      <c r="CJ17" s="22"/>
      <c r="CK17" s="70" t="n">
        <f aca="false">CJ17-CI17</f>
        <v>0</v>
      </c>
      <c r="CL17" s="22"/>
      <c r="CM17" s="22"/>
      <c r="CN17" s="70" t="n">
        <f aca="false">CM17-CL17</f>
        <v>0</v>
      </c>
      <c r="CO17" s="22"/>
      <c r="CP17" s="22"/>
      <c r="CQ17" s="70" t="n">
        <f aca="false">CP17-CO17</f>
        <v>0</v>
      </c>
      <c r="CR17" s="22"/>
      <c r="CS17" s="22"/>
      <c r="CT17" s="70" t="n">
        <f aca="false">CS17-CR17</f>
        <v>0</v>
      </c>
      <c r="CU17" s="22"/>
      <c r="CV17" s="22"/>
      <c r="CW17" s="70" t="n">
        <f aca="false">CV17-CU17</f>
        <v>0</v>
      </c>
      <c r="CX17" s="22"/>
      <c r="CY17" s="22"/>
      <c r="CZ17" s="70" t="n">
        <f aca="false">CY17-CX17</f>
        <v>0</v>
      </c>
      <c r="DA17" s="22"/>
      <c r="DB17" s="22"/>
      <c r="DC17" s="70" t="n">
        <f aca="false">DB17-DA17</f>
        <v>0</v>
      </c>
      <c r="DD17" s="22"/>
      <c r="DE17" s="22"/>
      <c r="DF17" s="70" t="n">
        <f aca="false">DE17-DD17</f>
        <v>0</v>
      </c>
      <c r="DG17" s="22"/>
      <c r="DH17" s="22"/>
      <c r="DI17" s="70" t="n">
        <f aca="false">DH17-DG17</f>
        <v>0</v>
      </c>
      <c r="DJ17" s="22"/>
      <c r="DK17" s="22"/>
      <c r="DL17" s="70" t="n">
        <f aca="false">DK17-DJ17</f>
        <v>0</v>
      </c>
      <c r="DM17" s="22"/>
      <c r="DN17" s="22"/>
      <c r="DO17" s="70" t="n">
        <f aca="false">DN17-DM17</f>
        <v>0</v>
      </c>
      <c r="DP17" s="22"/>
      <c r="DQ17" s="22"/>
      <c r="DR17" s="70" t="n">
        <f aca="false">DQ17-DP17</f>
        <v>0</v>
      </c>
      <c r="DS17" s="70" t="n">
        <f aca="false">+C17+F17+I17+L17+O17+R17+U17+X17+AA17+AD17+AG17+AJ17+AM17+AP17+AS17+AV17+AY17+BB17+BE17+BH17+BK17+BN17+BQ17+BT17+BW17+BZ17+CC17+CF17+CI17+CL17+CO17+CR17+CU17+CX17+DA17+DD17+DG17+DJ17+DM17+DP17</f>
        <v>185844</v>
      </c>
      <c r="DT17" s="70" t="n">
        <f aca="false">+D17+G17+J17+M17+P17+S17+V17+Y17+AB17+AE17+AH17+AK17+AN17+AQ17+AT17+AW17+AZ17+BC17+BF17+BI17+BL17+BO17+BR17+BU17+BX17+CA17+CD17+CG17+CJ17+CM17+CP17+CS17+CV17+CY17+DB17+DE17+DH17+DK17+DN17+DQ17</f>
        <v>185490</v>
      </c>
      <c r="DU17" s="70" t="n">
        <f aca="false">DT17-DS17</f>
        <v>-354</v>
      </c>
      <c r="DV17" s="75"/>
      <c r="DW17" s="74"/>
      <c r="DX17" s="74"/>
      <c r="DY17" s="75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</row>
    <row r="18" customFormat="false" ht="12.75" hidden="false" customHeight="false" outlineLevel="0" collapsed="false">
      <c r="A18" s="69" t="n">
        <f aca="false">A17+1</f>
        <v>36690</v>
      </c>
      <c r="B18" s="69" t="s">
        <v>118</v>
      </c>
      <c r="C18" s="22" t="n">
        <v>4178</v>
      </c>
      <c r="D18" s="22" t="n">
        <v>4178</v>
      </c>
      <c r="E18" s="70" t="n">
        <f aca="false">D18-C18</f>
        <v>0</v>
      </c>
      <c r="F18" s="22" t="n">
        <v>5000</v>
      </c>
      <c r="G18" s="22" t="n">
        <v>5000</v>
      </c>
      <c r="H18" s="70" t="n">
        <f aca="false">G18-F18</f>
        <v>0</v>
      </c>
      <c r="I18" s="22" t="n">
        <v>4666</v>
      </c>
      <c r="J18" s="22" t="n">
        <v>4666</v>
      </c>
      <c r="K18" s="70" t="n">
        <f aca="false">J18-I18</f>
        <v>0</v>
      </c>
      <c r="L18" s="22" t="n">
        <v>16000</v>
      </c>
      <c r="M18" s="22" t="n">
        <f aca="false">1000+10792</f>
        <v>11792</v>
      </c>
      <c r="N18" s="70" t="n">
        <f aca="false">M18-L18</f>
        <v>-4208</v>
      </c>
      <c r="O18" s="22" t="n">
        <v>10000</v>
      </c>
      <c r="P18" s="22" t="n">
        <v>10000</v>
      </c>
      <c r="Q18" s="70" t="n">
        <f aca="false">P18-O18</f>
        <v>0</v>
      </c>
      <c r="R18" s="22" t="n">
        <v>20000</v>
      </c>
      <c r="S18" s="22" t="n">
        <v>20000</v>
      </c>
      <c r="T18" s="70" t="n">
        <f aca="false">S18-R18</f>
        <v>0</v>
      </c>
      <c r="U18" s="22" t="n">
        <v>10000</v>
      </c>
      <c r="V18" s="22" t="n">
        <v>10000</v>
      </c>
      <c r="W18" s="70" t="n">
        <f aca="false">V18-U18</f>
        <v>0</v>
      </c>
      <c r="X18" s="22" t="n">
        <v>5000</v>
      </c>
      <c r="Y18" s="22" t="n">
        <v>5000</v>
      </c>
      <c r="Z18" s="70" t="n">
        <f aca="false">Y18-X18</f>
        <v>0</v>
      </c>
      <c r="AA18" s="22" t="n">
        <v>5000</v>
      </c>
      <c r="AB18" s="22" t="n">
        <v>5000</v>
      </c>
      <c r="AC18" s="70" t="n">
        <f aca="false">AB18-AA18</f>
        <v>0</v>
      </c>
      <c r="AD18" s="22" t="n">
        <f aca="false">10000+5000</f>
        <v>15000</v>
      </c>
      <c r="AE18" s="22" t="n">
        <f aca="false">10000+5000</f>
        <v>15000</v>
      </c>
      <c r="AF18" s="70" t="n">
        <f aca="false">AE18-AD18</f>
        <v>0</v>
      </c>
      <c r="AG18" s="22" t="n">
        <v>10000</v>
      </c>
      <c r="AH18" s="22" t="n">
        <v>10000</v>
      </c>
      <c r="AI18" s="70" t="n">
        <f aca="false">AH18-AG18</f>
        <v>0</v>
      </c>
      <c r="AJ18" s="22" t="n">
        <v>10000</v>
      </c>
      <c r="AK18" s="22" t="n">
        <v>10000</v>
      </c>
      <c r="AL18" s="70" t="n">
        <f aca="false">AK18-AJ18</f>
        <v>0</v>
      </c>
      <c r="AM18" s="22" t="n">
        <v>10000</v>
      </c>
      <c r="AN18" s="22" t="n">
        <v>10000</v>
      </c>
      <c r="AO18" s="70" t="n">
        <f aca="false">AN18-AM18</f>
        <v>0</v>
      </c>
      <c r="AP18" s="22" t="n">
        <v>5000</v>
      </c>
      <c r="AQ18" s="22" t="n">
        <v>5000</v>
      </c>
      <c r="AR18" s="70" t="n">
        <f aca="false">AQ18-AP18</f>
        <v>0</v>
      </c>
      <c r="AS18" s="22" t="n">
        <v>20000</v>
      </c>
      <c r="AT18" s="22" t="n">
        <v>20000</v>
      </c>
      <c r="AU18" s="70" t="n">
        <f aca="false">AT18-AS18</f>
        <v>0</v>
      </c>
      <c r="AV18" s="22" t="n">
        <v>20000</v>
      </c>
      <c r="AW18" s="22" t="n">
        <v>20000</v>
      </c>
      <c r="AX18" s="70" t="n">
        <f aca="false">AW18-AV18</f>
        <v>0</v>
      </c>
      <c r="AY18" s="22" t="n">
        <v>6000</v>
      </c>
      <c r="AZ18" s="22" t="n">
        <v>6000</v>
      </c>
      <c r="BA18" s="70" t="n">
        <f aca="false">AZ18-AY18</f>
        <v>0</v>
      </c>
      <c r="BB18" s="22" t="n">
        <v>5000</v>
      </c>
      <c r="BC18" s="22" t="n">
        <v>5000</v>
      </c>
      <c r="BD18" s="70" t="n">
        <f aca="false">BC18-BB18</f>
        <v>0</v>
      </c>
      <c r="BE18" s="22" t="n">
        <v>5000</v>
      </c>
      <c r="BF18" s="22" t="n">
        <v>5000</v>
      </c>
      <c r="BG18" s="70" t="n">
        <f aca="false">BF18-BE18</f>
        <v>0</v>
      </c>
      <c r="BH18" s="22"/>
      <c r="BI18" s="22"/>
      <c r="BJ18" s="70" t="n">
        <f aca="false">BI18-BH18</f>
        <v>0</v>
      </c>
      <c r="BK18" s="22"/>
      <c r="BL18" s="22"/>
      <c r="BM18" s="70" t="n">
        <f aca="false">BL18-BK18</f>
        <v>0</v>
      </c>
      <c r="BN18" s="22"/>
      <c r="BO18" s="22"/>
      <c r="BP18" s="70" t="n">
        <f aca="false">BO18-BN18</f>
        <v>0</v>
      </c>
      <c r="BQ18" s="22"/>
      <c r="BR18" s="22"/>
      <c r="BS18" s="70" t="n">
        <f aca="false">BR18-BQ18</f>
        <v>0</v>
      </c>
      <c r="BT18" s="22"/>
      <c r="BU18" s="22"/>
      <c r="BV18" s="70" t="n">
        <f aca="false">BU18-BT18</f>
        <v>0</v>
      </c>
      <c r="BW18" s="22"/>
      <c r="BX18" s="22"/>
      <c r="BY18" s="70" t="n">
        <f aca="false">BX18-BW18</f>
        <v>0</v>
      </c>
      <c r="BZ18" s="22"/>
      <c r="CA18" s="22"/>
      <c r="CB18" s="70" t="n">
        <f aca="false">CA18-BZ18</f>
        <v>0</v>
      </c>
      <c r="CC18" s="22"/>
      <c r="CD18" s="22"/>
      <c r="CE18" s="70" t="n">
        <f aca="false">CD18-CC18</f>
        <v>0</v>
      </c>
      <c r="CF18" s="22"/>
      <c r="CG18" s="22"/>
      <c r="CH18" s="70" t="n">
        <f aca="false">CG18-CF18</f>
        <v>0</v>
      </c>
      <c r="CI18" s="22"/>
      <c r="CJ18" s="22"/>
      <c r="CK18" s="70" t="n">
        <f aca="false">CJ18-CI18</f>
        <v>0</v>
      </c>
      <c r="CL18" s="22"/>
      <c r="CM18" s="22"/>
      <c r="CN18" s="70" t="n">
        <f aca="false">CM18-CL18</f>
        <v>0</v>
      </c>
      <c r="CO18" s="22"/>
      <c r="CP18" s="22"/>
      <c r="CQ18" s="70" t="n">
        <f aca="false">CP18-CO18</f>
        <v>0</v>
      </c>
      <c r="CR18" s="22"/>
      <c r="CS18" s="22"/>
      <c r="CT18" s="70" t="n">
        <f aca="false">CS18-CR18</f>
        <v>0</v>
      </c>
      <c r="CU18" s="22"/>
      <c r="CV18" s="22"/>
      <c r="CW18" s="70" t="n">
        <f aca="false">CV18-CU18</f>
        <v>0</v>
      </c>
      <c r="CX18" s="22"/>
      <c r="CY18" s="22"/>
      <c r="CZ18" s="70" t="n">
        <f aca="false">CY18-CX18</f>
        <v>0</v>
      </c>
      <c r="DA18" s="22"/>
      <c r="DB18" s="22"/>
      <c r="DC18" s="70" t="n">
        <f aca="false">DB18-DA18</f>
        <v>0</v>
      </c>
      <c r="DD18" s="22"/>
      <c r="DE18" s="22"/>
      <c r="DF18" s="70" t="n">
        <f aca="false">DE18-DD18</f>
        <v>0</v>
      </c>
      <c r="DG18" s="22"/>
      <c r="DH18" s="22"/>
      <c r="DI18" s="70" t="n">
        <f aca="false">DH18-DG18</f>
        <v>0</v>
      </c>
      <c r="DJ18" s="22"/>
      <c r="DK18" s="22"/>
      <c r="DL18" s="70" t="n">
        <f aca="false">DK18-DJ18</f>
        <v>0</v>
      </c>
      <c r="DM18" s="22"/>
      <c r="DN18" s="22"/>
      <c r="DO18" s="70" t="n">
        <f aca="false">DN18-DM18</f>
        <v>0</v>
      </c>
      <c r="DP18" s="22"/>
      <c r="DQ18" s="22"/>
      <c r="DR18" s="70" t="n">
        <f aca="false">DQ18-DP18</f>
        <v>0</v>
      </c>
      <c r="DS18" s="70" t="n">
        <f aca="false">+C18+F18+I18+L18+O18+R18+U18+X18+AA18+AD18+AG18+AJ18+AM18+AP18+AS18+AV18+AY18+BB18+BE18+BH18+BK18+BN18+BQ18+BT18+BW18+BZ18+CC18+CF18+CI18+CL18+CO18+CR18+CU18+CX18+DA18+DD18+DG18+DJ18+DM18+DP18</f>
        <v>185844</v>
      </c>
      <c r="DT18" s="70" t="n">
        <f aca="false">+D18+G18+J18+M18+P18+S18+V18+Y18+AB18+AE18+AH18+AK18+AN18+AQ18+AT18+AW18+AZ18+BC18+BF18+BI18+BL18+BO18+BR18+BU18+BX18+CA18+CD18+CG18+CJ18+CM18+CP18+CS18+CV18+CY18+DB18+DE18+DH18+DK18+DN18+DQ18</f>
        <v>181636</v>
      </c>
      <c r="DU18" s="70" t="n">
        <f aca="false">DT18-DS18</f>
        <v>-4208</v>
      </c>
      <c r="DV18" s="75"/>
      <c r="DW18" s="74"/>
      <c r="DX18" s="74"/>
      <c r="DY18" s="75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</row>
    <row r="19" customFormat="false" ht="12.75" hidden="false" customHeight="false" outlineLevel="0" collapsed="false">
      <c r="A19" s="69" t="n">
        <f aca="false">A18+1</f>
        <v>36691</v>
      </c>
      <c r="B19" s="69" t="s">
        <v>119</v>
      </c>
      <c r="C19" s="22" t="n">
        <v>4178</v>
      </c>
      <c r="D19" s="22" t="n">
        <v>4178</v>
      </c>
      <c r="E19" s="70" t="n">
        <f aca="false">D19-C19</f>
        <v>0</v>
      </c>
      <c r="F19" s="22" t="n">
        <v>5000</v>
      </c>
      <c r="G19" s="22" t="n">
        <v>5000</v>
      </c>
      <c r="H19" s="70" t="n">
        <f aca="false">G19-F19</f>
        <v>0</v>
      </c>
      <c r="I19" s="22" t="n">
        <v>4666</v>
      </c>
      <c r="J19" s="22" t="n">
        <v>4666</v>
      </c>
      <c r="K19" s="70" t="n">
        <f aca="false">J19-I19</f>
        <v>0</v>
      </c>
      <c r="L19" s="22" t="n">
        <v>16000</v>
      </c>
      <c r="M19" s="22" t="n">
        <f aca="false">1000+14282</f>
        <v>15282</v>
      </c>
      <c r="N19" s="70" t="n">
        <f aca="false">M19-L19</f>
        <v>-718</v>
      </c>
      <c r="O19" s="22" t="n">
        <v>10000</v>
      </c>
      <c r="P19" s="22" t="n">
        <v>10000</v>
      </c>
      <c r="Q19" s="70" t="n">
        <f aca="false">P19-O19</f>
        <v>0</v>
      </c>
      <c r="R19" s="22" t="n">
        <v>20000</v>
      </c>
      <c r="S19" s="22" t="n">
        <v>20000</v>
      </c>
      <c r="T19" s="70" t="n">
        <f aca="false">S19-R19</f>
        <v>0</v>
      </c>
      <c r="U19" s="22" t="n">
        <v>10000</v>
      </c>
      <c r="V19" s="22" t="n">
        <v>10000</v>
      </c>
      <c r="W19" s="70" t="n">
        <f aca="false">V19-U19</f>
        <v>0</v>
      </c>
      <c r="X19" s="22" t="n">
        <v>5000</v>
      </c>
      <c r="Y19" s="22" t="n">
        <v>5000</v>
      </c>
      <c r="Z19" s="70" t="n">
        <f aca="false">Y19-X19</f>
        <v>0</v>
      </c>
      <c r="AA19" s="22" t="n">
        <v>5000</v>
      </c>
      <c r="AB19" s="22" t="n">
        <v>5000</v>
      </c>
      <c r="AC19" s="70" t="n">
        <f aca="false">AB19-AA19</f>
        <v>0</v>
      </c>
      <c r="AD19" s="22" t="n">
        <f aca="false">10000+5000</f>
        <v>15000</v>
      </c>
      <c r="AE19" s="22" t="n">
        <f aca="false">10000+5000</f>
        <v>15000</v>
      </c>
      <c r="AF19" s="70" t="n">
        <f aca="false">AE19-AD19</f>
        <v>0</v>
      </c>
      <c r="AG19" s="22" t="n">
        <v>10000</v>
      </c>
      <c r="AH19" s="22" t="n">
        <v>10000</v>
      </c>
      <c r="AI19" s="70" t="n">
        <f aca="false">AH19-AG19</f>
        <v>0</v>
      </c>
      <c r="AJ19" s="22" t="n">
        <v>10000</v>
      </c>
      <c r="AK19" s="22" t="n">
        <v>10000</v>
      </c>
      <c r="AL19" s="70" t="n">
        <f aca="false">AK19-AJ19</f>
        <v>0</v>
      </c>
      <c r="AM19" s="22" t="n">
        <v>10000</v>
      </c>
      <c r="AN19" s="22" t="n">
        <v>10000</v>
      </c>
      <c r="AO19" s="70" t="n">
        <f aca="false">AN19-AM19</f>
        <v>0</v>
      </c>
      <c r="AP19" s="22" t="n">
        <v>5000</v>
      </c>
      <c r="AQ19" s="22" t="n">
        <v>5000</v>
      </c>
      <c r="AR19" s="70" t="n">
        <f aca="false">AQ19-AP19</f>
        <v>0</v>
      </c>
      <c r="AS19" s="22" t="n">
        <v>20000</v>
      </c>
      <c r="AT19" s="22" t="n">
        <v>20000</v>
      </c>
      <c r="AU19" s="70" t="n">
        <f aca="false">AT19-AS19</f>
        <v>0</v>
      </c>
      <c r="AV19" s="22" t="n">
        <v>20000</v>
      </c>
      <c r="AW19" s="22" t="n">
        <v>20000</v>
      </c>
      <c r="AX19" s="70" t="n">
        <f aca="false">AW19-AV19</f>
        <v>0</v>
      </c>
      <c r="AY19" s="22" t="n">
        <v>6000</v>
      </c>
      <c r="AZ19" s="22" t="n">
        <v>6000</v>
      </c>
      <c r="BA19" s="70" t="n">
        <f aca="false">AZ19-AY19</f>
        <v>0</v>
      </c>
      <c r="BB19" s="22" t="n">
        <v>5000</v>
      </c>
      <c r="BC19" s="22" t="n">
        <v>5000</v>
      </c>
      <c r="BD19" s="70" t="n">
        <f aca="false">BC19-BB19</f>
        <v>0</v>
      </c>
      <c r="BE19" s="22" t="n">
        <v>5000</v>
      </c>
      <c r="BF19" s="22" t="n">
        <v>5000</v>
      </c>
      <c r="BG19" s="70" t="n">
        <f aca="false">BF19-BE19</f>
        <v>0</v>
      </c>
      <c r="BH19" s="22"/>
      <c r="BI19" s="22"/>
      <c r="BJ19" s="70" t="n">
        <f aca="false">BI19-BH19</f>
        <v>0</v>
      </c>
      <c r="BK19" s="22"/>
      <c r="BL19" s="22"/>
      <c r="BM19" s="70" t="n">
        <f aca="false">BL19-BK19</f>
        <v>0</v>
      </c>
      <c r="BN19" s="22"/>
      <c r="BO19" s="22"/>
      <c r="BP19" s="70" t="n">
        <f aca="false">BO19-BN19</f>
        <v>0</v>
      </c>
      <c r="BQ19" s="22"/>
      <c r="BR19" s="22"/>
      <c r="BS19" s="70" t="n">
        <f aca="false">BR19-BQ19</f>
        <v>0</v>
      </c>
      <c r="BT19" s="22"/>
      <c r="BU19" s="22"/>
      <c r="BV19" s="70" t="n">
        <f aca="false">BU19-BT19</f>
        <v>0</v>
      </c>
      <c r="BW19" s="22"/>
      <c r="BX19" s="22"/>
      <c r="BY19" s="70" t="n">
        <f aca="false">BX19-BW19</f>
        <v>0</v>
      </c>
      <c r="BZ19" s="22"/>
      <c r="CA19" s="22"/>
      <c r="CB19" s="70" t="n">
        <f aca="false">CA19-BZ19</f>
        <v>0</v>
      </c>
      <c r="CC19" s="22"/>
      <c r="CD19" s="22"/>
      <c r="CE19" s="70" t="n">
        <f aca="false">CD19-CC19</f>
        <v>0</v>
      </c>
      <c r="CF19" s="22"/>
      <c r="CG19" s="22"/>
      <c r="CH19" s="70" t="n">
        <f aca="false">CG19-CF19</f>
        <v>0</v>
      </c>
      <c r="CI19" s="22"/>
      <c r="CJ19" s="22"/>
      <c r="CK19" s="70" t="n">
        <f aca="false">CJ19-CI19</f>
        <v>0</v>
      </c>
      <c r="CL19" s="22"/>
      <c r="CM19" s="22"/>
      <c r="CN19" s="70" t="n">
        <f aca="false">CM19-CL19</f>
        <v>0</v>
      </c>
      <c r="CO19" s="22"/>
      <c r="CP19" s="22"/>
      <c r="CQ19" s="70" t="n">
        <f aca="false">CP19-CO19</f>
        <v>0</v>
      </c>
      <c r="CR19" s="22"/>
      <c r="CS19" s="22"/>
      <c r="CT19" s="70" t="n">
        <f aca="false">CS19-CR19</f>
        <v>0</v>
      </c>
      <c r="CU19" s="22"/>
      <c r="CV19" s="22"/>
      <c r="CW19" s="70" t="n">
        <f aca="false">CV19-CU19</f>
        <v>0</v>
      </c>
      <c r="CX19" s="22"/>
      <c r="CY19" s="22"/>
      <c r="CZ19" s="70" t="n">
        <f aca="false">CY19-CX19</f>
        <v>0</v>
      </c>
      <c r="DA19" s="22"/>
      <c r="DB19" s="22"/>
      <c r="DC19" s="70" t="n">
        <f aca="false">DB19-DA19</f>
        <v>0</v>
      </c>
      <c r="DD19" s="22"/>
      <c r="DE19" s="22"/>
      <c r="DF19" s="70" t="n">
        <f aca="false">DE19-DD19</f>
        <v>0</v>
      </c>
      <c r="DG19" s="22"/>
      <c r="DH19" s="22"/>
      <c r="DI19" s="70" t="n">
        <f aca="false">DH19-DG19</f>
        <v>0</v>
      </c>
      <c r="DJ19" s="22"/>
      <c r="DK19" s="22"/>
      <c r="DL19" s="70" t="n">
        <f aca="false">DK19-DJ19</f>
        <v>0</v>
      </c>
      <c r="DM19" s="22"/>
      <c r="DN19" s="22"/>
      <c r="DO19" s="70" t="n">
        <f aca="false">DN19-DM19</f>
        <v>0</v>
      </c>
      <c r="DP19" s="22"/>
      <c r="DQ19" s="22"/>
      <c r="DR19" s="70" t="n">
        <f aca="false">DQ19-DP19</f>
        <v>0</v>
      </c>
      <c r="DS19" s="70" t="n">
        <f aca="false">+C19+F19+I19+L19+O19+R19+U19+X19+AA19+AD19+AG19+AJ19+AM19+AP19+AS19+AV19+AY19+BB19+BE19+BH19+BK19+BN19+BQ19+BT19+BW19+BZ19+CC19+CF19+CI19+CL19+CO19+CR19+CU19+CX19+DA19+DD19+DG19+DJ19+DM19+DP19</f>
        <v>185844</v>
      </c>
      <c r="DT19" s="70" t="n">
        <f aca="false">+D19+G19+J19+M19+P19+S19+V19+Y19+AB19+AE19+AH19+AK19+AN19+AQ19+AT19+AW19+AZ19+BC19+BF19+BI19+BL19+BO19+BR19+BU19+BX19+CA19+CD19+CG19+CJ19+CM19+CP19+CS19+CV19+CY19+DB19+DE19+DH19+DK19+DN19+DQ19</f>
        <v>185126</v>
      </c>
      <c r="DU19" s="70" t="n">
        <f aca="false">DT19-DS19</f>
        <v>-718</v>
      </c>
      <c r="DV19" s="75"/>
      <c r="DW19" s="74"/>
      <c r="DX19" s="74"/>
      <c r="DY19" s="75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</row>
    <row r="20" customFormat="false" ht="12.75" hidden="false" customHeight="false" outlineLevel="0" collapsed="false">
      <c r="A20" s="69" t="n">
        <f aca="false">A19+1</f>
        <v>36692</v>
      </c>
      <c r="B20" s="69" t="s">
        <v>113</v>
      </c>
      <c r="C20" s="22" t="n">
        <v>4178</v>
      </c>
      <c r="D20" s="22" t="n">
        <v>4178</v>
      </c>
      <c r="E20" s="70" t="n">
        <f aca="false">D20-C20</f>
        <v>0</v>
      </c>
      <c r="F20" s="22" t="n">
        <v>5000</v>
      </c>
      <c r="G20" s="22" t="n">
        <v>5000</v>
      </c>
      <c r="H20" s="70" t="n">
        <f aca="false">G20-F20</f>
        <v>0</v>
      </c>
      <c r="I20" s="22" t="n">
        <v>4666</v>
      </c>
      <c r="J20" s="22" t="n">
        <v>4666</v>
      </c>
      <c r="K20" s="70" t="n">
        <f aca="false">J20-I20</f>
        <v>0</v>
      </c>
      <c r="L20" s="22" t="n">
        <v>16000</v>
      </c>
      <c r="M20" s="22" t="n">
        <f aca="false">1000+14494</f>
        <v>15494</v>
      </c>
      <c r="N20" s="70" t="n">
        <f aca="false">M20-L20</f>
        <v>-506</v>
      </c>
      <c r="O20" s="22" t="n">
        <v>10000</v>
      </c>
      <c r="P20" s="22" t="n">
        <v>10000</v>
      </c>
      <c r="Q20" s="70" t="n">
        <f aca="false">P20-O20</f>
        <v>0</v>
      </c>
      <c r="R20" s="22" t="n">
        <v>20000</v>
      </c>
      <c r="S20" s="22" t="n">
        <v>20000</v>
      </c>
      <c r="T20" s="70" t="n">
        <f aca="false">S20-R20</f>
        <v>0</v>
      </c>
      <c r="U20" s="22" t="n">
        <v>10000</v>
      </c>
      <c r="V20" s="22" t="n">
        <v>10000</v>
      </c>
      <c r="W20" s="70" t="n">
        <f aca="false">V20-U20</f>
        <v>0</v>
      </c>
      <c r="X20" s="22" t="n">
        <v>5000</v>
      </c>
      <c r="Y20" s="22" t="n">
        <v>5000</v>
      </c>
      <c r="Z20" s="70" t="n">
        <f aca="false">Y20-X20</f>
        <v>0</v>
      </c>
      <c r="AA20" s="22" t="n">
        <v>5000</v>
      </c>
      <c r="AB20" s="22" t="n">
        <v>5000</v>
      </c>
      <c r="AC20" s="70" t="n">
        <f aca="false">AB20-AA20</f>
        <v>0</v>
      </c>
      <c r="AD20" s="22" t="n">
        <f aca="false">10000+1413+2606</f>
        <v>14019</v>
      </c>
      <c r="AE20" s="22" t="n">
        <v>14019</v>
      </c>
      <c r="AF20" s="70" t="n">
        <f aca="false">AE20-AD20</f>
        <v>0</v>
      </c>
      <c r="AG20" s="22" t="n">
        <v>10000</v>
      </c>
      <c r="AH20" s="22" t="n">
        <v>10000</v>
      </c>
      <c r="AI20" s="70" t="n">
        <f aca="false">AH20-AG20</f>
        <v>0</v>
      </c>
      <c r="AJ20" s="22" t="n">
        <v>10000</v>
      </c>
      <c r="AK20" s="22" t="n">
        <v>10000</v>
      </c>
      <c r="AL20" s="70" t="n">
        <f aca="false">AK20-AJ20</f>
        <v>0</v>
      </c>
      <c r="AM20" s="22" t="n">
        <v>10000</v>
      </c>
      <c r="AN20" s="22" t="n">
        <v>10000</v>
      </c>
      <c r="AO20" s="70" t="n">
        <f aca="false">AN20-AM20</f>
        <v>0</v>
      </c>
      <c r="AP20" s="22" t="n">
        <v>5000</v>
      </c>
      <c r="AQ20" s="22" t="n">
        <v>5000</v>
      </c>
      <c r="AR20" s="70" t="n">
        <f aca="false">AQ20-AP20</f>
        <v>0</v>
      </c>
      <c r="AS20" s="22" t="n">
        <v>20000</v>
      </c>
      <c r="AT20" s="22" t="n">
        <v>20000</v>
      </c>
      <c r="AU20" s="70" t="n">
        <f aca="false">AT20-AS20</f>
        <v>0</v>
      </c>
      <c r="AV20" s="22" t="n">
        <v>20000</v>
      </c>
      <c r="AW20" s="22" t="n">
        <v>20000</v>
      </c>
      <c r="AX20" s="70" t="n">
        <f aca="false">AW20-AV20</f>
        <v>0</v>
      </c>
      <c r="AY20" s="22" t="n">
        <v>6000</v>
      </c>
      <c r="AZ20" s="22" t="n">
        <v>6000</v>
      </c>
      <c r="BA20" s="70" t="n">
        <f aca="false">AZ20-AY20</f>
        <v>0</v>
      </c>
      <c r="BB20" s="22" t="n">
        <v>5000</v>
      </c>
      <c r="BC20" s="22" t="n">
        <v>5000</v>
      </c>
      <c r="BD20" s="70" t="n">
        <f aca="false">BC20-BB20</f>
        <v>0</v>
      </c>
      <c r="BE20" s="22" t="n">
        <v>5000</v>
      </c>
      <c r="BF20" s="22" t="n">
        <v>5000</v>
      </c>
      <c r="BG20" s="70" t="n">
        <f aca="false">BF20-BE20</f>
        <v>0</v>
      </c>
      <c r="BH20" s="22"/>
      <c r="BI20" s="22"/>
      <c r="BJ20" s="70" t="n">
        <f aca="false">BI20-BH20</f>
        <v>0</v>
      </c>
      <c r="BK20" s="22"/>
      <c r="BL20" s="22"/>
      <c r="BM20" s="70" t="n">
        <f aca="false">BL20-BK20</f>
        <v>0</v>
      </c>
      <c r="BN20" s="22"/>
      <c r="BO20" s="22"/>
      <c r="BP20" s="70" t="n">
        <f aca="false">BO20-BN20</f>
        <v>0</v>
      </c>
      <c r="BQ20" s="22"/>
      <c r="BR20" s="22"/>
      <c r="BS20" s="70" t="n">
        <f aca="false">BR20-BQ20</f>
        <v>0</v>
      </c>
      <c r="BT20" s="22"/>
      <c r="BU20" s="22"/>
      <c r="BV20" s="70" t="n">
        <f aca="false">BU20-BT20</f>
        <v>0</v>
      </c>
      <c r="BW20" s="22"/>
      <c r="BX20" s="22"/>
      <c r="BY20" s="70" t="n">
        <f aca="false">BX20-BW20</f>
        <v>0</v>
      </c>
      <c r="BZ20" s="22"/>
      <c r="CA20" s="22"/>
      <c r="CB20" s="70" t="n">
        <f aca="false">CA20-BZ20</f>
        <v>0</v>
      </c>
      <c r="CC20" s="22"/>
      <c r="CD20" s="22"/>
      <c r="CE20" s="70" t="n">
        <f aca="false">CD20-CC20</f>
        <v>0</v>
      </c>
      <c r="CF20" s="22"/>
      <c r="CG20" s="22"/>
      <c r="CH20" s="70" t="n">
        <f aca="false">CG20-CF20</f>
        <v>0</v>
      </c>
      <c r="CI20" s="22"/>
      <c r="CJ20" s="22"/>
      <c r="CK20" s="70" t="n">
        <f aca="false">CJ20-CI20</f>
        <v>0</v>
      </c>
      <c r="CL20" s="22"/>
      <c r="CM20" s="22"/>
      <c r="CN20" s="70" t="n">
        <f aca="false">CM20-CL20</f>
        <v>0</v>
      </c>
      <c r="CO20" s="22"/>
      <c r="CP20" s="22"/>
      <c r="CQ20" s="70" t="n">
        <f aca="false">CP20-CO20</f>
        <v>0</v>
      </c>
      <c r="CR20" s="22"/>
      <c r="CS20" s="22"/>
      <c r="CT20" s="70" t="n">
        <f aca="false">CS20-CR20</f>
        <v>0</v>
      </c>
      <c r="CU20" s="22"/>
      <c r="CV20" s="22"/>
      <c r="CW20" s="70" t="n">
        <f aca="false">CV20-CU20</f>
        <v>0</v>
      </c>
      <c r="CX20" s="22"/>
      <c r="CY20" s="22"/>
      <c r="CZ20" s="70" t="n">
        <f aca="false">CY20-CX20</f>
        <v>0</v>
      </c>
      <c r="DA20" s="22"/>
      <c r="DB20" s="22"/>
      <c r="DC20" s="70" t="n">
        <f aca="false">DB20-DA20</f>
        <v>0</v>
      </c>
      <c r="DD20" s="22"/>
      <c r="DE20" s="22"/>
      <c r="DF20" s="70" t="n">
        <f aca="false">DE20-DD20</f>
        <v>0</v>
      </c>
      <c r="DG20" s="22"/>
      <c r="DH20" s="22"/>
      <c r="DI20" s="70" t="n">
        <f aca="false">DH20-DG20</f>
        <v>0</v>
      </c>
      <c r="DJ20" s="22"/>
      <c r="DK20" s="22"/>
      <c r="DL20" s="70" t="n">
        <f aca="false">DK20-DJ20</f>
        <v>0</v>
      </c>
      <c r="DM20" s="22"/>
      <c r="DN20" s="22"/>
      <c r="DO20" s="70" t="n">
        <f aca="false">DN20-DM20</f>
        <v>0</v>
      </c>
      <c r="DP20" s="22"/>
      <c r="DQ20" s="22"/>
      <c r="DR20" s="70" t="n">
        <f aca="false">DQ20-DP20</f>
        <v>0</v>
      </c>
      <c r="DS20" s="70" t="n">
        <f aca="false">+C20+F20+I20+L20+O20+R20+U20+X20+AA20+AD20+AG20+AJ20+AM20+AP20+AS20+AV20+AY20+BB20+BE20+BH20+BK20+BN20+BQ20+BT20+BW20+BZ20+CC20+CF20+CI20+CL20+CO20+CR20+CU20+CX20+DA20+DD20+DG20+DJ20+DM20+DP20</f>
        <v>184863</v>
      </c>
      <c r="DT20" s="70" t="n">
        <f aca="false">+D20+G20+J20+M20+P20+S20+V20+Y20+AB20+AE20+AH20+AK20+AN20+AQ20+AT20+AW20+AZ20+BC20+BF20+BI20+BL20+BO20+BR20+BU20+BX20+CA20+CD20+CG20+CJ20+CM20+CP20+CS20+CV20+CY20+DB20+DE20+DH20+DK20+DN20+DQ20</f>
        <v>184357</v>
      </c>
      <c r="DU20" s="70" t="n">
        <f aca="false">DT20-DS20</f>
        <v>-506</v>
      </c>
      <c r="DV20" s="75"/>
      <c r="DW20" s="74"/>
      <c r="DX20" s="74"/>
      <c r="DY20" s="75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</row>
    <row r="21" customFormat="false" ht="12.75" hidden="false" customHeight="false" outlineLevel="0" collapsed="false">
      <c r="A21" s="69" t="n">
        <f aca="false">A20+1</f>
        <v>36693</v>
      </c>
      <c r="B21" s="69" t="s">
        <v>114</v>
      </c>
      <c r="C21" s="22" t="n">
        <v>4178</v>
      </c>
      <c r="D21" s="22" t="n">
        <v>4178</v>
      </c>
      <c r="E21" s="70" t="n">
        <f aca="false">D21-C21</f>
        <v>0</v>
      </c>
      <c r="F21" s="22" t="n">
        <v>5000</v>
      </c>
      <c r="G21" s="22" t="n">
        <v>5000</v>
      </c>
      <c r="H21" s="70" t="n">
        <f aca="false">G21-F21</f>
        <v>0</v>
      </c>
      <c r="I21" s="22" t="n">
        <v>4666</v>
      </c>
      <c r="J21" s="22" t="n">
        <v>4666</v>
      </c>
      <c r="K21" s="70" t="n">
        <f aca="false">J21-I21</f>
        <v>0</v>
      </c>
      <c r="L21" s="22" t="n">
        <v>16000</v>
      </c>
      <c r="M21" s="22" t="n">
        <f aca="false">1000+13846</f>
        <v>14846</v>
      </c>
      <c r="N21" s="70" t="n">
        <f aca="false">M21-L21</f>
        <v>-1154</v>
      </c>
      <c r="O21" s="22" t="n">
        <v>10000</v>
      </c>
      <c r="P21" s="22" t="n">
        <v>10000</v>
      </c>
      <c r="Q21" s="70" t="n">
        <f aca="false">P21-O21</f>
        <v>0</v>
      </c>
      <c r="R21" s="22" t="n">
        <v>20000</v>
      </c>
      <c r="S21" s="22" t="n">
        <v>20000</v>
      </c>
      <c r="T21" s="70" t="n">
        <f aca="false">S21-R21</f>
        <v>0</v>
      </c>
      <c r="U21" s="22" t="n">
        <v>10000</v>
      </c>
      <c r="V21" s="22" t="n">
        <v>10000</v>
      </c>
      <c r="W21" s="70" t="n">
        <f aca="false">V21-U21</f>
        <v>0</v>
      </c>
      <c r="X21" s="22" t="n">
        <v>5000</v>
      </c>
      <c r="Y21" s="22" t="n">
        <v>5000</v>
      </c>
      <c r="Z21" s="70" t="n">
        <f aca="false">Y21-X21</f>
        <v>0</v>
      </c>
      <c r="AA21" s="22" t="n">
        <v>5000</v>
      </c>
      <c r="AB21" s="22" t="n">
        <v>5000</v>
      </c>
      <c r="AC21" s="70" t="n">
        <f aca="false">AB21-AA21</f>
        <v>0</v>
      </c>
      <c r="AD21" s="22" t="n">
        <f aca="false">10000+3642</f>
        <v>13642</v>
      </c>
      <c r="AE21" s="22" t="n">
        <f aca="false">10000+3642</f>
        <v>13642</v>
      </c>
      <c r="AF21" s="70" t="n">
        <f aca="false">AE21-AD21</f>
        <v>0</v>
      </c>
      <c r="AG21" s="22" t="n">
        <v>10000</v>
      </c>
      <c r="AH21" s="22" t="n">
        <v>10000</v>
      </c>
      <c r="AI21" s="70" t="n">
        <f aca="false">AH21-AG21</f>
        <v>0</v>
      </c>
      <c r="AJ21" s="22" t="n">
        <v>10000</v>
      </c>
      <c r="AK21" s="22" t="n">
        <v>10000</v>
      </c>
      <c r="AL21" s="70" t="n">
        <f aca="false">AK21-AJ21</f>
        <v>0</v>
      </c>
      <c r="AM21" s="22" t="n">
        <v>10000</v>
      </c>
      <c r="AN21" s="22" t="n">
        <v>10000</v>
      </c>
      <c r="AO21" s="70" t="n">
        <f aca="false">AN21-AM21</f>
        <v>0</v>
      </c>
      <c r="AP21" s="22" t="n">
        <v>5000</v>
      </c>
      <c r="AQ21" s="22" t="n">
        <v>5000</v>
      </c>
      <c r="AR21" s="70" t="n">
        <f aca="false">AQ21-AP21</f>
        <v>0</v>
      </c>
      <c r="AS21" s="22" t="n">
        <v>20000</v>
      </c>
      <c r="AT21" s="22" t="n">
        <v>20000</v>
      </c>
      <c r="AU21" s="70" t="n">
        <f aca="false">AT21-AS21</f>
        <v>0</v>
      </c>
      <c r="AV21" s="22" t="n">
        <v>20000</v>
      </c>
      <c r="AW21" s="22" t="n">
        <v>20000</v>
      </c>
      <c r="AX21" s="70" t="n">
        <f aca="false">AW21-AV21</f>
        <v>0</v>
      </c>
      <c r="AY21" s="22" t="n">
        <v>6000</v>
      </c>
      <c r="AZ21" s="22" t="n">
        <v>6000</v>
      </c>
      <c r="BA21" s="70" t="n">
        <f aca="false">AZ21-AY21</f>
        <v>0</v>
      </c>
      <c r="BB21" s="22" t="n">
        <v>0</v>
      </c>
      <c r="BC21" s="22" t="n">
        <v>0</v>
      </c>
      <c r="BD21" s="70" t="n">
        <f aca="false">BC21-BB21</f>
        <v>0</v>
      </c>
      <c r="BE21" s="22" t="n">
        <v>5000</v>
      </c>
      <c r="BF21" s="22" t="n">
        <v>5000</v>
      </c>
      <c r="BG21" s="70" t="n">
        <f aca="false">BF21-BE21</f>
        <v>0</v>
      </c>
      <c r="BH21" s="22"/>
      <c r="BI21" s="22"/>
      <c r="BJ21" s="70" t="n">
        <f aca="false">BI21-BH21</f>
        <v>0</v>
      </c>
      <c r="BK21" s="22"/>
      <c r="BL21" s="22"/>
      <c r="BM21" s="70" t="n">
        <f aca="false">BL21-BK21</f>
        <v>0</v>
      </c>
      <c r="BN21" s="22"/>
      <c r="BO21" s="22"/>
      <c r="BP21" s="70" t="n">
        <f aca="false">BO21-BN21</f>
        <v>0</v>
      </c>
      <c r="BQ21" s="22"/>
      <c r="BR21" s="22"/>
      <c r="BS21" s="70" t="n">
        <f aca="false">BR21-BQ21</f>
        <v>0</v>
      </c>
      <c r="BT21" s="22"/>
      <c r="BU21" s="22"/>
      <c r="BV21" s="70" t="n">
        <f aca="false">BU21-BT21</f>
        <v>0</v>
      </c>
      <c r="BW21" s="22"/>
      <c r="BX21" s="22"/>
      <c r="BY21" s="70" t="n">
        <f aca="false">BX21-BW21</f>
        <v>0</v>
      </c>
      <c r="BZ21" s="22"/>
      <c r="CA21" s="22"/>
      <c r="CB21" s="70" t="n">
        <f aca="false">CA21-BZ21</f>
        <v>0</v>
      </c>
      <c r="CC21" s="22"/>
      <c r="CD21" s="22"/>
      <c r="CE21" s="70" t="n">
        <f aca="false">CD21-CC21</f>
        <v>0</v>
      </c>
      <c r="CF21" s="22"/>
      <c r="CG21" s="22"/>
      <c r="CH21" s="70" t="n">
        <f aca="false">CG21-CF21</f>
        <v>0</v>
      </c>
      <c r="CI21" s="22"/>
      <c r="CJ21" s="22"/>
      <c r="CK21" s="70" t="n">
        <f aca="false">CJ21-CI21</f>
        <v>0</v>
      </c>
      <c r="CL21" s="22"/>
      <c r="CM21" s="22"/>
      <c r="CN21" s="70" t="n">
        <f aca="false">CM21-CL21</f>
        <v>0</v>
      </c>
      <c r="CO21" s="22"/>
      <c r="CP21" s="22"/>
      <c r="CQ21" s="70" t="n">
        <f aca="false">CP21-CO21</f>
        <v>0</v>
      </c>
      <c r="CR21" s="22"/>
      <c r="CS21" s="22"/>
      <c r="CT21" s="70" t="n">
        <f aca="false">CS21-CR21</f>
        <v>0</v>
      </c>
      <c r="CU21" s="22"/>
      <c r="CV21" s="22"/>
      <c r="CW21" s="70" t="n">
        <f aca="false">CV21-CU21</f>
        <v>0</v>
      </c>
      <c r="CX21" s="22"/>
      <c r="CY21" s="22"/>
      <c r="CZ21" s="70" t="n">
        <f aca="false">CY21-CX21</f>
        <v>0</v>
      </c>
      <c r="DA21" s="22"/>
      <c r="DB21" s="22"/>
      <c r="DC21" s="70" t="n">
        <f aca="false">DB21-DA21</f>
        <v>0</v>
      </c>
      <c r="DD21" s="22"/>
      <c r="DE21" s="22"/>
      <c r="DF21" s="70" t="n">
        <f aca="false">DE21-DD21</f>
        <v>0</v>
      </c>
      <c r="DG21" s="22"/>
      <c r="DH21" s="22"/>
      <c r="DI21" s="70" t="n">
        <f aca="false">DH21-DG21</f>
        <v>0</v>
      </c>
      <c r="DJ21" s="22"/>
      <c r="DK21" s="22"/>
      <c r="DL21" s="70" t="n">
        <f aca="false">DK21-DJ21</f>
        <v>0</v>
      </c>
      <c r="DM21" s="22"/>
      <c r="DN21" s="22"/>
      <c r="DO21" s="70" t="n">
        <f aca="false">DN21-DM21</f>
        <v>0</v>
      </c>
      <c r="DP21" s="22"/>
      <c r="DQ21" s="22"/>
      <c r="DR21" s="70" t="n">
        <f aca="false">DQ21-DP21</f>
        <v>0</v>
      </c>
      <c r="DS21" s="70" t="n">
        <f aca="false">+C21+F21+I21+L21+O21+R21+U21+X21+AA21+AD21+AG21+AJ21+AM21+AP21+AS21+AV21+AY21+BB21+BE21+BH21+BK21+BN21+BQ21+BT21+BW21+BZ21+CC21+CF21+CI21+CL21+CO21+CR21+CU21+CX21+DA21+DD21+DG21+DJ21+DM21+DP21</f>
        <v>179486</v>
      </c>
      <c r="DT21" s="70" t="n">
        <f aca="false">+D21+G21+J21+M21+P21+S21+V21+Y21+AB21+AE21+AH21+AK21+AN21+AQ21+AT21+AW21+AZ21+BC21+BF21+BI21+BL21+BO21+BR21+BU21+BX21+CA21+CD21+CG21+CJ21+CM21+CP21+CS21+CV21+CY21+DB21+DE21+DH21+DK21+DN21+DQ21</f>
        <v>178332</v>
      </c>
      <c r="DU21" s="70" t="n">
        <f aca="false">DT21-DS21</f>
        <v>-1154</v>
      </c>
      <c r="DV21" s="75"/>
      <c r="DW21" s="74"/>
      <c r="DX21" s="74"/>
      <c r="DY21" s="75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</row>
    <row r="22" customFormat="false" ht="12.75" hidden="false" customHeight="false" outlineLevel="0" collapsed="false">
      <c r="A22" s="69" t="n">
        <f aca="false">A21+1</f>
        <v>36694</v>
      </c>
      <c r="B22" s="69" t="s">
        <v>115</v>
      </c>
      <c r="C22" s="22" t="n">
        <v>4178</v>
      </c>
      <c r="D22" s="22" t="n">
        <v>4178</v>
      </c>
      <c r="E22" s="70" t="n">
        <f aca="false">D22-C22</f>
        <v>0</v>
      </c>
      <c r="F22" s="22" t="n">
        <v>5000</v>
      </c>
      <c r="G22" s="22" t="n">
        <v>5000</v>
      </c>
      <c r="H22" s="70" t="n">
        <f aca="false">G22-F22</f>
        <v>0</v>
      </c>
      <c r="I22" s="22" t="n">
        <v>4666</v>
      </c>
      <c r="J22" s="22" t="n">
        <v>4666</v>
      </c>
      <c r="K22" s="70" t="n">
        <f aca="false">J22-I22</f>
        <v>0</v>
      </c>
      <c r="L22" s="22" t="n">
        <v>16000</v>
      </c>
      <c r="M22" s="22" t="n">
        <f aca="false">1000+14770</f>
        <v>15770</v>
      </c>
      <c r="N22" s="70" t="n">
        <f aca="false">M22-L22</f>
        <v>-230</v>
      </c>
      <c r="O22" s="22" t="n">
        <v>10000</v>
      </c>
      <c r="P22" s="22" t="n">
        <v>10000</v>
      </c>
      <c r="Q22" s="70" t="n">
        <f aca="false">P22-O22</f>
        <v>0</v>
      </c>
      <c r="R22" s="22" t="n">
        <v>20000</v>
      </c>
      <c r="S22" s="22" t="n">
        <v>20000</v>
      </c>
      <c r="T22" s="70" t="n">
        <f aca="false">S22-R22</f>
        <v>0</v>
      </c>
      <c r="U22" s="22" t="n">
        <v>10000</v>
      </c>
      <c r="V22" s="22" t="n">
        <v>10000</v>
      </c>
      <c r="W22" s="70" t="n">
        <f aca="false">V22-U22</f>
        <v>0</v>
      </c>
      <c r="X22" s="22" t="n">
        <v>5000</v>
      </c>
      <c r="Y22" s="22" t="n">
        <v>5000</v>
      </c>
      <c r="Z22" s="70" t="n">
        <f aca="false">Y22-X22</f>
        <v>0</v>
      </c>
      <c r="AA22" s="22" t="n">
        <v>5000</v>
      </c>
      <c r="AB22" s="22" t="n">
        <v>5000</v>
      </c>
      <c r="AC22" s="70" t="n">
        <f aca="false">AB22-AA22</f>
        <v>0</v>
      </c>
      <c r="AD22" s="22" t="n">
        <f aca="false">10000+3367</f>
        <v>13367</v>
      </c>
      <c r="AE22" s="22" t="n">
        <f aca="false">10000+3367</f>
        <v>13367</v>
      </c>
      <c r="AF22" s="70" t="n">
        <f aca="false">AE22-AD22</f>
        <v>0</v>
      </c>
      <c r="AG22" s="22" t="n">
        <v>10000</v>
      </c>
      <c r="AH22" s="22" t="n">
        <v>10000</v>
      </c>
      <c r="AI22" s="70" t="n">
        <f aca="false">AH22-AG22</f>
        <v>0</v>
      </c>
      <c r="AJ22" s="22" t="n">
        <v>10000</v>
      </c>
      <c r="AK22" s="22" t="n">
        <v>10000</v>
      </c>
      <c r="AL22" s="70" t="n">
        <f aca="false">AK22-AJ22</f>
        <v>0</v>
      </c>
      <c r="AM22" s="22" t="n">
        <v>10000</v>
      </c>
      <c r="AN22" s="22" t="n">
        <v>10000</v>
      </c>
      <c r="AO22" s="70" t="n">
        <f aca="false">AN22-AM22</f>
        <v>0</v>
      </c>
      <c r="AP22" s="22" t="n">
        <v>5000</v>
      </c>
      <c r="AQ22" s="22" t="n">
        <v>5000</v>
      </c>
      <c r="AR22" s="70" t="n">
        <f aca="false">AQ22-AP22</f>
        <v>0</v>
      </c>
      <c r="AS22" s="22" t="n">
        <v>20000</v>
      </c>
      <c r="AT22" s="22" t="n">
        <v>20000</v>
      </c>
      <c r="AU22" s="70" t="n">
        <f aca="false">AT22-AS22</f>
        <v>0</v>
      </c>
      <c r="AV22" s="22" t="n">
        <v>20000</v>
      </c>
      <c r="AW22" s="22" t="n">
        <v>20000</v>
      </c>
      <c r="AX22" s="70" t="n">
        <f aca="false">AW22-AV22</f>
        <v>0</v>
      </c>
      <c r="AY22" s="22" t="n">
        <v>6000</v>
      </c>
      <c r="AZ22" s="22" t="n">
        <v>6000</v>
      </c>
      <c r="BA22" s="70" t="n">
        <f aca="false">AZ22-AY22</f>
        <v>0</v>
      </c>
      <c r="BB22" s="22" t="n">
        <v>3367</v>
      </c>
      <c r="BC22" s="22" t="n">
        <v>3367</v>
      </c>
      <c r="BD22" s="70" t="n">
        <f aca="false">BC22-BB22</f>
        <v>0</v>
      </c>
      <c r="BE22" s="22" t="n">
        <v>5000</v>
      </c>
      <c r="BF22" s="22" t="n">
        <v>5000</v>
      </c>
      <c r="BG22" s="70" t="n">
        <f aca="false">BF22-BE22</f>
        <v>0</v>
      </c>
      <c r="BH22" s="22"/>
      <c r="BI22" s="22"/>
      <c r="BJ22" s="70" t="n">
        <f aca="false">BI22-BH22</f>
        <v>0</v>
      </c>
      <c r="BK22" s="22"/>
      <c r="BL22" s="22"/>
      <c r="BM22" s="70" t="n">
        <f aca="false">BL22-BK22</f>
        <v>0</v>
      </c>
      <c r="BN22" s="22"/>
      <c r="BO22" s="22"/>
      <c r="BP22" s="70" t="n">
        <f aca="false">BO22-BN22</f>
        <v>0</v>
      </c>
      <c r="BQ22" s="22"/>
      <c r="BR22" s="22"/>
      <c r="BS22" s="70" t="n">
        <f aca="false">BR22-BQ22</f>
        <v>0</v>
      </c>
      <c r="BT22" s="22"/>
      <c r="BU22" s="22"/>
      <c r="BV22" s="70" t="n">
        <f aca="false">BU22-BT22</f>
        <v>0</v>
      </c>
      <c r="BW22" s="22"/>
      <c r="BX22" s="22"/>
      <c r="BY22" s="70" t="n">
        <f aca="false">BX22-BW22</f>
        <v>0</v>
      </c>
      <c r="BZ22" s="22"/>
      <c r="CA22" s="22"/>
      <c r="CB22" s="70" t="n">
        <f aca="false">CA22-BZ22</f>
        <v>0</v>
      </c>
      <c r="CC22" s="22"/>
      <c r="CD22" s="22"/>
      <c r="CE22" s="70" t="n">
        <f aca="false">CD22-CC22</f>
        <v>0</v>
      </c>
      <c r="CF22" s="22"/>
      <c r="CG22" s="22"/>
      <c r="CH22" s="70" t="n">
        <f aca="false">CG22-CF22</f>
        <v>0</v>
      </c>
      <c r="CI22" s="22"/>
      <c r="CJ22" s="22"/>
      <c r="CK22" s="70" t="n">
        <f aca="false">CJ22-CI22</f>
        <v>0</v>
      </c>
      <c r="CL22" s="22"/>
      <c r="CM22" s="22"/>
      <c r="CN22" s="70" t="n">
        <f aca="false">CM22-CL22</f>
        <v>0</v>
      </c>
      <c r="CO22" s="22"/>
      <c r="CP22" s="22"/>
      <c r="CQ22" s="70" t="n">
        <f aca="false">CP22-CO22</f>
        <v>0</v>
      </c>
      <c r="CR22" s="22"/>
      <c r="CS22" s="22"/>
      <c r="CT22" s="70" t="n">
        <f aca="false">CS22-CR22</f>
        <v>0</v>
      </c>
      <c r="CU22" s="22"/>
      <c r="CV22" s="22"/>
      <c r="CW22" s="70" t="n">
        <f aca="false">CV22-CU22</f>
        <v>0</v>
      </c>
      <c r="CX22" s="22"/>
      <c r="CY22" s="22"/>
      <c r="CZ22" s="70" t="n">
        <f aca="false">CY22-CX22</f>
        <v>0</v>
      </c>
      <c r="DA22" s="22"/>
      <c r="DB22" s="22"/>
      <c r="DC22" s="70" t="n">
        <f aca="false">DB22-DA22</f>
        <v>0</v>
      </c>
      <c r="DD22" s="22"/>
      <c r="DE22" s="22"/>
      <c r="DF22" s="70" t="n">
        <f aca="false">DE22-DD22</f>
        <v>0</v>
      </c>
      <c r="DG22" s="22"/>
      <c r="DH22" s="22"/>
      <c r="DI22" s="70" t="n">
        <f aca="false">DH22-DG22</f>
        <v>0</v>
      </c>
      <c r="DJ22" s="22"/>
      <c r="DK22" s="22"/>
      <c r="DL22" s="70" t="n">
        <f aca="false">DK22-DJ22</f>
        <v>0</v>
      </c>
      <c r="DM22" s="22"/>
      <c r="DN22" s="22"/>
      <c r="DO22" s="70" t="n">
        <f aca="false">DN22-DM22</f>
        <v>0</v>
      </c>
      <c r="DP22" s="22"/>
      <c r="DQ22" s="22"/>
      <c r="DR22" s="70" t="n">
        <f aca="false">DQ22-DP22</f>
        <v>0</v>
      </c>
      <c r="DS22" s="70" t="n">
        <f aca="false">+C22+F22+I22+L22+O22+R22+U22+X22+AA22+AD22+AG22+AJ22+AM22+AP22+AS22+AV22+AY22+BB22+BE22+BH22+BK22+BN22+BQ22+BT22+BW22+BZ22+CC22+CF22+CI22+CL22+CO22+CR22+CU22+CX22+DA22+DD22+DG22+DJ22+DM22+DP22</f>
        <v>182578</v>
      </c>
      <c r="DT22" s="70" t="n">
        <f aca="false">+D22+G22+J22+M22+P22+S22+V22+Y22+AB22+AE22+AH22+AK22+AN22+AQ22+AT22+AW22+AZ22+BC22+BF22+BI22+BL22+BO22+BR22+BU22+BX22+CA22+CD22+CG22+CJ22+CM22+CP22+CS22+CV22+CY22+DB22+DE22+DH22+DK22+DN22+DQ22</f>
        <v>182348</v>
      </c>
      <c r="DU22" s="70" t="n">
        <f aca="false">DT22-DS22</f>
        <v>-230</v>
      </c>
      <c r="DV22" s="75"/>
      <c r="DW22" s="74"/>
      <c r="DX22" s="74"/>
      <c r="DY22" s="75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</row>
    <row r="23" customFormat="false" ht="12.75" hidden="false" customHeight="false" outlineLevel="0" collapsed="false">
      <c r="A23" s="69" t="n">
        <f aca="false">A22+1</f>
        <v>36695</v>
      </c>
      <c r="B23" s="69" t="s">
        <v>116</v>
      </c>
      <c r="C23" s="22" t="n">
        <v>4178</v>
      </c>
      <c r="D23" s="22" t="n">
        <v>4178</v>
      </c>
      <c r="E23" s="70" t="n">
        <f aca="false">D23-C23</f>
        <v>0</v>
      </c>
      <c r="F23" s="22" t="n">
        <v>5000</v>
      </c>
      <c r="G23" s="22" t="n">
        <v>5000</v>
      </c>
      <c r="H23" s="70" t="n">
        <f aca="false">G23-F23</f>
        <v>0</v>
      </c>
      <c r="I23" s="22" t="n">
        <v>4666</v>
      </c>
      <c r="J23" s="22" t="n">
        <v>4666</v>
      </c>
      <c r="K23" s="70" t="n">
        <f aca="false">J23-I23</f>
        <v>0</v>
      </c>
      <c r="L23" s="22" t="n">
        <v>16000</v>
      </c>
      <c r="M23" s="22" t="n">
        <f aca="false">1000+14212</f>
        <v>15212</v>
      </c>
      <c r="N23" s="70" t="n">
        <f aca="false">M23-L23</f>
        <v>-788</v>
      </c>
      <c r="O23" s="22" t="n">
        <v>10000</v>
      </c>
      <c r="P23" s="22" t="n">
        <v>10000</v>
      </c>
      <c r="Q23" s="70" t="n">
        <f aca="false">P23-O23</f>
        <v>0</v>
      </c>
      <c r="R23" s="22" t="n">
        <v>20000</v>
      </c>
      <c r="S23" s="22" t="n">
        <v>20000</v>
      </c>
      <c r="T23" s="70" t="n">
        <f aca="false">S23-R23</f>
        <v>0</v>
      </c>
      <c r="U23" s="22" t="n">
        <v>10000</v>
      </c>
      <c r="V23" s="22" t="n">
        <v>10000</v>
      </c>
      <c r="W23" s="70" t="n">
        <f aca="false">V23-U23</f>
        <v>0</v>
      </c>
      <c r="X23" s="22" t="n">
        <v>5000</v>
      </c>
      <c r="Y23" s="22" t="n">
        <v>5000</v>
      </c>
      <c r="Z23" s="70" t="n">
        <f aca="false">Y23-X23</f>
        <v>0</v>
      </c>
      <c r="AA23" s="22" t="n">
        <v>5000</v>
      </c>
      <c r="AB23" s="22" t="n">
        <v>5000</v>
      </c>
      <c r="AC23" s="70" t="n">
        <f aca="false">AB23-AA23</f>
        <v>0</v>
      </c>
      <c r="AD23" s="22" t="n">
        <f aca="false">10000+5000</f>
        <v>15000</v>
      </c>
      <c r="AE23" s="22" t="n">
        <f aca="false">10000+3333</f>
        <v>13333</v>
      </c>
      <c r="AF23" s="70" t="n">
        <f aca="false">AE23-AD23</f>
        <v>-1667</v>
      </c>
      <c r="AG23" s="22" t="n">
        <v>10000</v>
      </c>
      <c r="AH23" s="22" t="n">
        <v>10000</v>
      </c>
      <c r="AI23" s="70" t="n">
        <f aca="false">AH23-AG23</f>
        <v>0</v>
      </c>
      <c r="AJ23" s="22" t="n">
        <v>10000</v>
      </c>
      <c r="AK23" s="22" t="n">
        <v>10000</v>
      </c>
      <c r="AL23" s="70" t="n">
        <f aca="false">AK23-AJ23</f>
        <v>0</v>
      </c>
      <c r="AM23" s="22" t="n">
        <v>10000</v>
      </c>
      <c r="AN23" s="22" t="n">
        <v>10000</v>
      </c>
      <c r="AO23" s="70" t="n">
        <f aca="false">AN23-AM23</f>
        <v>0</v>
      </c>
      <c r="AP23" s="22" t="n">
        <v>5000</v>
      </c>
      <c r="AQ23" s="22" t="n">
        <v>5000</v>
      </c>
      <c r="AR23" s="70" t="n">
        <f aca="false">AQ23-AP23</f>
        <v>0</v>
      </c>
      <c r="AS23" s="22" t="n">
        <v>20000</v>
      </c>
      <c r="AT23" s="22" t="n">
        <v>20000</v>
      </c>
      <c r="AU23" s="70" t="n">
        <f aca="false">AT23-AS23</f>
        <v>0</v>
      </c>
      <c r="AV23" s="22" t="n">
        <v>20000</v>
      </c>
      <c r="AW23" s="22" t="n">
        <v>20000</v>
      </c>
      <c r="AX23" s="70" t="n">
        <f aca="false">AW23-AV23</f>
        <v>0</v>
      </c>
      <c r="AY23" s="22" t="n">
        <v>6000</v>
      </c>
      <c r="AZ23" s="22" t="n">
        <v>6000</v>
      </c>
      <c r="BA23" s="70" t="n">
        <f aca="false">AZ23-AY23</f>
        <v>0</v>
      </c>
      <c r="BB23" s="22" t="n">
        <v>5000</v>
      </c>
      <c r="BC23" s="22" t="n">
        <v>3333</v>
      </c>
      <c r="BD23" s="70" t="n">
        <f aca="false">BC23-BB23</f>
        <v>-1667</v>
      </c>
      <c r="BE23" s="22" t="n">
        <v>5000</v>
      </c>
      <c r="BF23" s="22" t="n">
        <v>5000</v>
      </c>
      <c r="BG23" s="70" t="n">
        <f aca="false">BF23-BE23</f>
        <v>0</v>
      </c>
      <c r="BH23" s="22"/>
      <c r="BI23" s="22"/>
      <c r="BJ23" s="70" t="n">
        <f aca="false">BI23-BH23</f>
        <v>0</v>
      </c>
      <c r="BK23" s="22"/>
      <c r="BL23" s="22"/>
      <c r="BM23" s="70" t="n">
        <f aca="false">BL23-BK23</f>
        <v>0</v>
      </c>
      <c r="BN23" s="22"/>
      <c r="BO23" s="22"/>
      <c r="BP23" s="70" t="n">
        <f aca="false">BO23-BN23</f>
        <v>0</v>
      </c>
      <c r="BQ23" s="22"/>
      <c r="BR23" s="22"/>
      <c r="BS23" s="70" t="n">
        <f aca="false">BR23-BQ23</f>
        <v>0</v>
      </c>
      <c r="BT23" s="22"/>
      <c r="BU23" s="22"/>
      <c r="BV23" s="70" t="n">
        <f aca="false">BU23-BT23</f>
        <v>0</v>
      </c>
      <c r="BW23" s="22"/>
      <c r="BX23" s="22"/>
      <c r="BY23" s="70" t="n">
        <f aca="false">BX23-BW23</f>
        <v>0</v>
      </c>
      <c r="BZ23" s="22"/>
      <c r="CA23" s="22"/>
      <c r="CB23" s="70" t="n">
        <f aca="false">CA23-BZ23</f>
        <v>0</v>
      </c>
      <c r="CC23" s="22"/>
      <c r="CD23" s="22"/>
      <c r="CE23" s="70" t="n">
        <f aca="false">CD23-CC23</f>
        <v>0</v>
      </c>
      <c r="CF23" s="22"/>
      <c r="CG23" s="22"/>
      <c r="CH23" s="70" t="n">
        <f aca="false">CG23-CF23</f>
        <v>0</v>
      </c>
      <c r="CI23" s="22"/>
      <c r="CJ23" s="22"/>
      <c r="CK23" s="70" t="n">
        <f aca="false">CJ23-CI23</f>
        <v>0</v>
      </c>
      <c r="CL23" s="22"/>
      <c r="CM23" s="22"/>
      <c r="CN23" s="70" t="n">
        <f aca="false">CM23-CL23</f>
        <v>0</v>
      </c>
      <c r="CO23" s="22"/>
      <c r="CP23" s="22"/>
      <c r="CQ23" s="70" t="n">
        <f aca="false">CP23-CO23</f>
        <v>0</v>
      </c>
      <c r="CR23" s="22"/>
      <c r="CS23" s="22"/>
      <c r="CT23" s="70" t="n">
        <f aca="false">CS23-CR23</f>
        <v>0</v>
      </c>
      <c r="CU23" s="22"/>
      <c r="CV23" s="22"/>
      <c r="CW23" s="70" t="n">
        <f aca="false">CV23-CU23</f>
        <v>0</v>
      </c>
      <c r="CX23" s="22"/>
      <c r="CY23" s="22"/>
      <c r="CZ23" s="70" t="n">
        <f aca="false">CY23-CX23</f>
        <v>0</v>
      </c>
      <c r="DA23" s="22"/>
      <c r="DB23" s="22"/>
      <c r="DC23" s="70" t="n">
        <f aca="false">DB23-DA23</f>
        <v>0</v>
      </c>
      <c r="DD23" s="22"/>
      <c r="DE23" s="22"/>
      <c r="DF23" s="70" t="n">
        <f aca="false">DE23-DD23</f>
        <v>0</v>
      </c>
      <c r="DG23" s="22"/>
      <c r="DH23" s="22"/>
      <c r="DI23" s="70" t="n">
        <f aca="false">DH23-DG23</f>
        <v>0</v>
      </c>
      <c r="DJ23" s="22"/>
      <c r="DK23" s="22"/>
      <c r="DL23" s="70" t="n">
        <f aca="false">DK23-DJ23</f>
        <v>0</v>
      </c>
      <c r="DM23" s="22"/>
      <c r="DN23" s="22"/>
      <c r="DO23" s="70" t="n">
        <f aca="false">DN23-DM23</f>
        <v>0</v>
      </c>
      <c r="DP23" s="22"/>
      <c r="DQ23" s="22"/>
      <c r="DR23" s="70" t="n">
        <f aca="false">DQ23-DP23</f>
        <v>0</v>
      </c>
      <c r="DS23" s="70" t="n">
        <f aca="false">+C23+F23+I23+L23+O23+R23+U23+X23+AA23+AD23+AG23+AJ23+AM23+AP23+AS23+AV23+AY23+BB23+BE23+BH23+BK23+BN23+BQ23+BT23+BW23+BZ23+CC23+CF23+CI23+CL23+CO23+CR23+CU23+CX23+DA23+DD23+DG23+DJ23+DM23+DP23</f>
        <v>185844</v>
      </c>
      <c r="DT23" s="70" t="n">
        <f aca="false">+D23+G23+J23+M23+P23+S23+V23+Y23+AB23+AE23+AH23+AK23+AN23+AQ23+AT23+AW23+AZ23+BC23+BF23+BI23+BL23+BO23+BR23+BU23+BX23+CA23+CD23+CG23+CJ23+CM23+CP23+CS23+CV23+CY23+DB23+DE23+DH23+DK23+DN23+DQ23</f>
        <v>181722</v>
      </c>
      <c r="DU23" s="70" t="n">
        <f aca="false">DT23-DS23</f>
        <v>-4122</v>
      </c>
      <c r="DV23" s="75"/>
      <c r="DW23" s="74"/>
      <c r="DX23" s="74"/>
      <c r="DY23" s="75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</row>
    <row r="24" customFormat="false" ht="12.75" hidden="false" customHeight="false" outlineLevel="0" collapsed="false">
      <c r="A24" s="69" t="n">
        <f aca="false">A23+1</f>
        <v>36696</v>
      </c>
      <c r="B24" s="69" t="s">
        <v>117</v>
      </c>
      <c r="C24" s="22" t="n">
        <v>4178</v>
      </c>
      <c r="D24" s="22" t="n">
        <v>4178</v>
      </c>
      <c r="E24" s="70" t="n">
        <f aca="false">D24-C24</f>
        <v>0</v>
      </c>
      <c r="F24" s="22" t="n">
        <v>5000</v>
      </c>
      <c r="G24" s="22" t="n">
        <v>5000</v>
      </c>
      <c r="H24" s="70" t="n">
        <f aca="false">G24-F24</f>
        <v>0</v>
      </c>
      <c r="I24" s="22" t="n">
        <v>4666</v>
      </c>
      <c r="J24" s="22" t="n">
        <v>4666</v>
      </c>
      <c r="K24" s="70" t="n">
        <f aca="false">J24-I24</f>
        <v>0</v>
      </c>
      <c r="L24" s="22" t="n">
        <v>16000</v>
      </c>
      <c r="M24" s="22" t="n">
        <f aca="false">1000+13954</f>
        <v>14954</v>
      </c>
      <c r="N24" s="70" t="n">
        <f aca="false">M24-L24</f>
        <v>-1046</v>
      </c>
      <c r="O24" s="22" t="n">
        <v>10000</v>
      </c>
      <c r="P24" s="22" t="n">
        <v>10000</v>
      </c>
      <c r="Q24" s="70" t="n">
        <f aca="false">P24-O24</f>
        <v>0</v>
      </c>
      <c r="R24" s="22" t="n">
        <v>20000</v>
      </c>
      <c r="S24" s="22" t="n">
        <v>20000</v>
      </c>
      <c r="T24" s="70" t="n">
        <f aca="false">S24-R24</f>
        <v>0</v>
      </c>
      <c r="U24" s="22" t="n">
        <v>10000</v>
      </c>
      <c r="V24" s="22" t="n">
        <v>10000</v>
      </c>
      <c r="W24" s="70" t="n">
        <f aca="false">V24-U24</f>
        <v>0</v>
      </c>
      <c r="X24" s="22" t="n">
        <v>5000</v>
      </c>
      <c r="Y24" s="22" t="n">
        <v>5000</v>
      </c>
      <c r="Z24" s="70" t="n">
        <f aca="false">Y24-X24</f>
        <v>0</v>
      </c>
      <c r="AA24" s="22" t="n">
        <v>5000</v>
      </c>
      <c r="AB24" s="22" t="n">
        <v>5000</v>
      </c>
      <c r="AC24" s="70" t="n">
        <f aca="false">AB24-AA24</f>
        <v>0</v>
      </c>
      <c r="AD24" s="22" t="n">
        <f aca="false">10000+5000</f>
        <v>15000</v>
      </c>
      <c r="AE24" s="22" t="n">
        <f aca="false">10000+3198</f>
        <v>13198</v>
      </c>
      <c r="AF24" s="70" t="n">
        <f aca="false">AE24-AD24</f>
        <v>-1802</v>
      </c>
      <c r="AG24" s="22" t="n">
        <v>10000</v>
      </c>
      <c r="AH24" s="22" t="n">
        <v>10000</v>
      </c>
      <c r="AI24" s="70" t="n">
        <f aca="false">AH24-AG24</f>
        <v>0</v>
      </c>
      <c r="AJ24" s="22" t="n">
        <v>10000</v>
      </c>
      <c r="AK24" s="22" t="n">
        <v>10000</v>
      </c>
      <c r="AL24" s="70" t="n">
        <f aca="false">AK24-AJ24</f>
        <v>0</v>
      </c>
      <c r="AM24" s="22" t="n">
        <v>10000</v>
      </c>
      <c r="AN24" s="22" t="n">
        <v>10000</v>
      </c>
      <c r="AO24" s="70" t="n">
        <f aca="false">AN24-AM24</f>
        <v>0</v>
      </c>
      <c r="AP24" s="22" t="n">
        <v>5000</v>
      </c>
      <c r="AQ24" s="22" t="n">
        <v>5000</v>
      </c>
      <c r="AR24" s="70" t="n">
        <f aca="false">AQ24-AP24</f>
        <v>0</v>
      </c>
      <c r="AS24" s="22" t="n">
        <v>20000</v>
      </c>
      <c r="AT24" s="22" t="n">
        <v>20000</v>
      </c>
      <c r="AU24" s="70" t="n">
        <f aca="false">AT24-AS24</f>
        <v>0</v>
      </c>
      <c r="AV24" s="22" t="n">
        <v>20000</v>
      </c>
      <c r="AW24" s="22" t="n">
        <v>20000</v>
      </c>
      <c r="AX24" s="70" t="n">
        <f aca="false">AW24-AV24</f>
        <v>0</v>
      </c>
      <c r="AY24" s="22" t="n">
        <v>6000</v>
      </c>
      <c r="AZ24" s="22" t="n">
        <v>6000</v>
      </c>
      <c r="BA24" s="70" t="n">
        <f aca="false">AZ24-AY24</f>
        <v>0</v>
      </c>
      <c r="BB24" s="22" t="n">
        <v>5000</v>
      </c>
      <c r="BC24" s="22" t="n">
        <v>3198</v>
      </c>
      <c r="BD24" s="70" t="n">
        <f aca="false">BC24-BB24</f>
        <v>-1802</v>
      </c>
      <c r="BE24" s="22" t="n">
        <v>5000</v>
      </c>
      <c r="BF24" s="22" t="n">
        <v>5000</v>
      </c>
      <c r="BG24" s="70" t="n">
        <f aca="false">BF24-BE24</f>
        <v>0</v>
      </c>
      <c r="BH24" s="22"/>
      <c r="BI24" s="22"/>
      <c r="BJ24" s="70" t="n">
        <f aca="false">BI24-BH24</f>
        <v>0</v>
      </c>
      <c r="BK24" s="22"/>
      <c r="BL24" s="22"/>
      <c r="BM24" s="70" t="n">
        <f aca="false">BL24-BK24</f>
        <v>0</v>
      </c>
      <c r="BN24" s="22"/>
      <c r="BO24" s="22"/>
      <c r="BP24" s="70" t="n">
        <f aca="false">BO24-BN24</f>
        <v>0</v>
      </c>
      <c r="BQ24" s="22"/>
      <c r="BR24" s="22"/>
      <c r="BS24" s="70" t="n">
        <f aca="false">BR24-BQ24</f>
        <v>0</v>
      </c>
      <c r="BT24" s="22"/>
      <c r="BU24" s="22"/>
      <c r="BV24" s="70" t="n">
        <f aca="false">BU24-BT24</f>
        <v>0</v>
      </c>
      <c r="BW24" s="22"/>
      <c r="BX24" s="22"/>
      <c r="BY24" s="70" t="n">
        <f aca="false">BX24-BW24</f>
        <v>0</v>
      </c>
      <c r="BZ24" s="22"/>
      <c r="CA24" s="22"/>
      <c r="CB24" s="70" t="n">
        <f aca="false">CA24-BZ24</f>
        <v>0</v>
      </c>
      <c r="CC24" s="22"/>
      <c r="CD24" s="22"/>
      <c r="CE24" s="70" t="n">
        <f aca="false">CD24-CC24</f>
        <v>0</v>
      </c>
      <c r="CF24" s="22"/>
      <c r="CG24" s="22"/>
      <c r="CH24" s="70" t="n">
        <f aca="false">CG24-CF24</f>
        <v>0</v>
      </c>
      <c r="CI24" s="22"/>
      <c r="CJ24" s="22"/>
      <c r="CK24" s="70" t="n">
        <f aca="false">CJ24-CI24</f>
        <v>0</v>
      </c>
      <c r="CL24" s="22"/>
      <c r="CM24" s="22"/>
      <c r="CN24" s="70" t="n">
        <f aca="false">CM24-CL24</f>
        <v>0</v>
      </c>
      <c r="CO24" s="22"/>
      <c r="CP24" s="22"/>
      <c r="CQ24" s="70" t="n">
        <f aca="false">CP24-CO24</f>
        <v>0</v>
      </c>
      <c r="CR24" s="22"/>
      <c r="CS24" s="22"/>
      <c r="CT24" s="70" t="n">
        <f aca="false">CS24-CR24</f>
        <v>0</v>
      </c>
      <c r="CU24" s="22"/>
      <c r="CV24" s="22"/>
      <c r="CW24" s="70" t="n">
        <f aca="false">CV24-CU24</f>
        <v>0</v>
      </c>
      <c r="CX24" s="22"/>
      <c r="CY24" s="22"/>
      <c r="CZ24" s="70" t="n">
        <f aca="false">CY24-CX24</f>
        <v>0</v>
      </c>
      <c r="DA24" s="22"/>
      <c r="DB24" s="22"/>
      <c r="DC24" s="70" t="n">
        <f aca="false">DB24-DA24</f>
        <v>0</v>
      </c>
      <c r="DD24" s="22"/>
      <c r="DE24" s="22"/>
      <c r="DF24" s="70" t="n">
        <f aca="false">DE24-DD24</f>
        <v>0</v>
      </c>
      <c r="DG24" s="22"/>
      <c r="DH24" s="22"/>
      <c r="DI24" s="70" t="n">
        <f aca="false">DH24-DG24</f>
        <v>0</v>
      </c>
      <c r="DJ24" s="22"/>
      <c r="DK24" s="22"/>
      <c r="DL24" s="70" t="n">
        <f aca="false">DK24-DJ24</f>
        <v>0</v>
      </c>
      <c r="DM24" s="22"/>
      <c r="DN24" s="22"/>
      <c r="DO24" s="70" t="n">
        <f aca="false">DN24-DM24</f>
        <v>0</v>
      </c>
      <c r="DP24" s="22"/>
      <c r="DQ24" s="22"/>
      <c r="DR24" s="70" t="n">
        <f aca="false">DQ24-DP24</f>
        <v>0</v>
      </c>
      <c r="DS24" s="70" t="n">
        <f aca="false">+C24+F24+I24+L24+O24+R24+U24+X24+AA24+AD24+AG24+AJ24+AM24+AP24+AS24+AV24+AY24+BB24+BE24+BH24+BK24+BN24+BQ24+BT24+BW24+BZ24+CC24+CF24+CI24+CL24+CO24+CR24+CU24+CX24+DA24+DD24+DG24+DJ24+DM24+DP24</f>
        <v>185844</v>
      </c>
      <c r="DT24" s="70" t="n">
        <f aca="false">+D24+G24+J24+M24+P24+S24+V24+Y24+AB24+AE24+AH24+AK24+AN24+AQ24+AT24+AW24+AZ24+BC24+BF24+BI24+BL24+BO24+BR24+BU24+BX24+CA24+CD24+CG24+CJ24+CM24+CP24+CS24+CV24+CY24+DB24+DE24+DH24+DK24+DN24+DQ24</f>
        <v>181194</v>
      </c>
      <c r="DU24" s="70" t="n">
        <f aca="false">DT24-DS24</f>
        <v>-4650</v>
      </c>
      <c r="DV24" s="75"/>
      <c r="DW24" s="74"/>
      <c r="DX24" s="74"/>
      <c r="DY24" s="75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</row>
    <row r="25" customFormat="false" ht="12.75" hidden="false" customHeight="false" outlineLevel="0" collapsed="false">
      <c r="A25" s="69" t="n">
        <f aca="false">A24+1</f>
        <v>36697</v>
      </c>
      <c r="B25" s="69" t="s">
        <v>118</v>
      </c>
      <c r="C25" s="22" t="n">
        <v>4178</v>
      </c>
      <c r="D25" s="22" t="n">
        <v>4178</v>
      </c>
      <c r="E25" s="70" t="n">
        <f aca="false">D25-C25</f>
        <v>0</v>
      </c>
      <c r="F25" s="22" t="n">
        <v>5000</v>
      </c>
      <c r="G25" s="22" t="n">
        <v>5000</v>
      </c>
      <c r="H25" s="70" t="n">
        <f aca="false">G25-F25</f>
        <v>0</v>
      </c>
      <c r="I25" s="22" t="n">
        <v>4666</v>
      </c>
      <c r="J25" s="22" t="n">
        <v>4666</v>
      </c>
      <c r="K25" s="70" t="n">
        <f aca="false">J25-I25</f>
        <v>0</v>
      </c>
      <c r="L25" s="22" t="n">
        <v>16000</v>
      </c>
      <c r="M25" s="22" t="n">
        <f aca="false">1000+14998</f>
        <v>15998</v>
      </c>
      <c r="N25" s="70" t="n">
        <f aca="false">M25-L25</f>
        <v>-2</v>
      </c>
      <c r="O25" s="22" t="n">
        <v>10000</v>
      </c>
      <c r="P25" s="22" t="n">
        <v>10000</v>
      </c>
      <c r="Q25" s="70" t="n">
        <f aca="false">P25-O25</f>
        <v>0</v>
      </c>
      <c r="R25" s="22" t="n">
        <v>20000</v>
      </c>
      <c r="S25" s="22" t="n">
        <v>20000</v>
      </c>
      <c r="T25" s="70" t="n">
        <f aca="false">S25-R25</f>
        <v>0</v>
      </c>
      <c r="U25" s="22" t="n">
        <v>10000</v>
      </c>
      <c r="V25" s="22" t="n">
        <v>10000</v>
      </c>
      <c r="W25" s="70" t="n">
        <f aca="false">V25-U25</f>
        <v>0</v>
      </c>
      <c r="X25" s="22" t="n">
        <v>5000</v>
      </c>
      <c r="Y25" s="22" t="n">
        <v>5000</v>
      </c>
      <c r="Z25" s="70" t="n">
        <f aca="false">Y25-X25</f>
        <v>0</v>
      </c>
      <c r="AA25" s="22" t="n">
        <v>5000</v>
      </c>
      <c r="AB25" s="22" t="n">
        <v>5000</v>
      </c>
      <c r="AC25" s="70" t="n">
        <f aca="false">AB25-AA25</f>
        <v>0</v>
      </c>
      <c r="AD25" s="22" t="n">
        <f aca="false">10000+5000</f>
        <v>15000</v>
      </c>
      <c r="AE25" s="22" t="n">
        <f aca="false">10000+5000</f>
        <v>15000</v>
      </c>
      <c r="AF25" s="70" t="n">
        <f aca="false">AE25-AD25</f>
        <v>0</v>
      </c>
      <c r="AG25" s="22" t="n">
        <v>10000</v>
      </c>
      <c r="AH25" s="22" t="n">
        <v>10000</v>
      </c>
      <c r="AI25" s="70" t="n">
        <f aca="false">AH25-AG25</f>
        <v>0</v>
      </c>
      <c r="AJ25" s="22" t="n">
        <v>10000</v>
      </c>
      <c r="AK25" s="22" t="n">
        <v>10000</v>
      </c>
      <c r="AL25" s="70" t="n">
        <f aca="false">AK25-AJ25</f>
        <v>0</v>
      </c>
      <c r="AM25" s="22" t="n">
        <v>10000</v>
      </c>
      <c r="AN25" s="22" t="n">
        <v>10000</v>
      </c>
      <c r="AO25" s="70" t="n">
        <f aca="false">AN25-AM25</f>
        <v>0</v>
      </c>
      <c r="AP25" s="22" t="n">
        <v>5000</v>
      </c>
      <c r="AQ25" s="22" t="n">
        <v>5000</v>
      </c>
      <c r="AR25" s="70" t="n">
        <f aca="false">AQ25-AP25</f>
        <v>0</v>
      </c>
      <c r="AS25" s="22" t="n">
        <v>20000</v>
      </c>
      <c r="AT25" s="22" t="n">
        <v>20000</v>
      </c>
      <c r="AU25" s="70" t="n">
        <f aca="false">AT25-AS25</f>
        <v>0</v>
      </c>
      <c r="AV25" s="22" t="n">
        <v>20000</v>
      </c>
      <c r="AW25" s="22" t="n">
        <v>20000</v>
      </c>
      <c r="AX25" s="70" t="n">
        <f aca="false">AW25-AV25</f>
        <v>0</v>
      </c>
      <c r="AY25" s="22" t="n">
        <v>6000</v>
      </c>
      <c r="AZ25" s="22" t="n">
        <v>6000</v>
      </c>
      <c r="BA25" s="70" t="n">
        <f aca="false">AZ25-AY25</f>
        <v>0</v>
      </c>
      <c r="BB25" s="22" t="n">
        <v>5000</v>
      </c>
      <c r="BC25" s="22" t="n">
        <v>5000</v>
      </c>
      <c r="BD25" s="70" t="n">
        <f aca="false">BC25-BB25</f>
        <v>0</v>
      </c>
      <c r="BE25" s="22" t="n">
        <v>5000</v>
      </c>
      <c r="BF25" s="22" t="n">
        <v>5000</v>
      </c>
      <c r="BG25" s="70" t="n">
        <f aca="false">BF25-BE25</f>
        <v>0</v>
      </c>
      <c r="BH25" s="22"/>
      <c r="BI25" s="22"/>
      <c r="BJ25" s="70" t="n">
        <f aca="false">BI25-BH25</f>
        <v>0</v>
      </c>
      <c r="BK25" s="22"/>
      <c r="BL25" s="22"/>
      <c r="BM25" s="70" t="n">
        <f aca="false">BL25-BK25</f>
        <v>0</v>
      </c>
      <c r="BN25" s="22"/>
      <c r="BO25" s="22"/>
      <c r="BP25" s="70" t="n">
        <f aca="false">BO25-BN25</f>
        <v>0</v>
      </c>
      <c r="BQ25" s="22"/>
      <c r="BR25" s="22"/>
      <c r="BS25" s="70" t="n">
        <f aca="false">BR25-BQ25</f>
        <v>0</v>
      </c>
      <c r="BT25" s="22"/>
      <c r="BU25" s="22"/>
      <c r="BV25" s="70" t="n">
        <f aca="false">BU25-BT25</f>
        <v>0</v>
      </c>
      <c r="BW25" s="22"/>
      <c r="BX25" s="22"/>
      <c r="BY25" s="70" t="n">
        <f aca="false">BX25-BW25</f>
        <v>0</v>
      </c>
      <c r="BZ25" s="22"/>
      <c r="CA25" s="22"/>
      <c r="CB25" s="70" t="n">
        <f aca="false">CA25-BZ25</f>
        <v>0</v>
      </c>
      <c r="CC25" s="22"/>
      <c r="CD25" s="22"/>
      <c r="CE25" s="70" t="n">
        <f aca="false">CD25-CC25</f>
        <v>0</v>
      </c>
      <c r="CF25" s="22"/>
      <c r="CG25" s="22"/>
      <c r="CH25" s="70" t="n">
        <f aca="false">CG25-CF25</f>
        <v>0</v>
      </c>
      <c r="CI25" s="22"/>
      <c r="CJ25" s="22"/>
      <c r="CK25" s="70" t="n">
        <f aca="false">CJ25-CI25</f>
        <v>0</v>
      </c>
      <c r="CL25" s="22"/>
      <c r="CM25" s="22"/>
      <c r="CN25" s="70" t="n">
        <f aca="false">CM25-CL25</f>
        <v>0</v>
      </c>
      <c r="CO25" s="22"/>
      <c r="CP25" s="22"/>
      <c r="CQ25" s="70" t="n">
        <f aca="false">CP25-CO25</f>
        <v>0</v>
      </c>
      <c r="CR25" s="22"/>
      <c r="CS25" s="22"/>
      <c r="CT25" s="70" t="n">
        <f aca="false">CS25-CR25</f>
        <v>0</v>
      </c>
      <c r="CU25" s="22"/>
      <c r="CV25" s="22"/>
      <c r="CW25" s="70" t="n">
        <f aca="false">CV25-CU25</f>
        <v>0</v>
      </c>
      <c r="CX25" s="22"/>
      <c r="CY25" s="22"/>
      <c r="CZ25" s="70" t="n">
        <f aca="false">CY25-CX25</f>
        <v>0</v>
      </c>
      <c r="DA25" s="22"/>
      <c r="DB25" s="22"/>
      <c r="DC25" s="70" t="n">
        <f aca="false">DB25-DA25</f>
        <v>0</v>
      </c>
      <c r="DD25" s="22"/>
      <c r="DE25" s="22"/>
      <c r="DF25" s="70" t="n">
        <f aca="false">DE25-DD25</f>
        <v>0</v>
      </c>
      <c r="DG25" s="22"/>
      <c r="DH25" s="22"/>
      <c r="DI25" s="70" t="n">
        <f aca="false">DH25-DG25</f>
        <v>0</v>
      </c>
      <c r="DJ25" s="22"/>
      <c r="DK25" s="22"/>
      <c r="DL25" s="70" t="n">
        <f aca="false">DK25-DJ25</f>
        <v>0</v>
      </c>
      <c r="DM25" s="22"/>
      <c r="DN25" s="22"/>
      <c r="DO25" s="70" t="n">
        <f aca="false">DN25-DM25</f>
        <v>0</v>
      </c>
      <c r="DP25" s="22"/>
      <c r="DQ25" s="22"/>
      <c r="DR25" s="70" t="n">
        <f aca="false">DQ25-DP25</f>
        <v>0</v>
      </c>
      <c r="DS25" s="70" t="n">
        <f aca="false">+C25+F25+I25+L25+O25+R25+U25+X25+AA25+AD25+AG25+AJ25+AM25+AP25+AS25+AV25+AY25+BB25+BE25+BH25+BK25+BN25+BQ25+BT25+BW25+BZ25+CC25+CF25+CI25+CL25+CO25+CR25+CU25+CX25+DA25+DD25+DG25+DJ25+DM25+DP25</f>
        <v>185844</v>
      </c>
      <c r="DT25" s="70" t="n">
        <f aca="false">+D25+G25+J25+M25+P25+S25+V25+Y25+AB25+AE25+AH25+AK25+AN25+AQ25+AT25+AW25+AZ25+BC25+BF25+BI25+BL25+BO25+BR25+BU25+BX25+CA25+CD25+CG25+CJ25+CM25+CP25+CS25+CV25+CY25+DB25+DE25+DH25+DK25+DN25+DQ25</f>
        <v>185842</v>
      </c>
      <c r="DU25" s="70" t="n">
        <f aca="false">DT25-DS25</f>
        <v>-2</v>
      </c>
      <c r="DV25" s="75"/>
      <c r="DW25" s="74"/>
      <c r="DX25" s="74"/>
      <c r="DY25" s="75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</row>
    <row r="26" customFormat="false" ht="12.75" hidden="false" customHeight="false" outlineLevel="0" collapsed="false">
      <c r="A26" s="69" t="n">
        <f aca="false">A25+1</f>
        <v>36698</v>
      </c>
      <c r="B26" s="69" t="s">
        <v>119</v>
      </c>
      <c r="C26" s="22" t="n">
        <v>4178</v>
      </c>
      <c r="D26" s="22" t="n">
        <v>4178</v>
      </c>
      <c r="E26" s="70" t="n">
        <f aca="false">D26-C26</f>
        <v>0</v>
      </c>
      <c r="F26" s="22" t="n">
        <v>5000</v>
      </c>
      <c r="G26" s="22" t="n">
        <v>5000</v>
      </c>
      <c r="H26" s="70" t="n">
        <f aca="false">G26-F26</f>
        <v>0</v>
      </c>
      <c r="I26" s="22" t="n">
        <v>4666</v>
      </c>
      <c r="J26" s="22" t="n">
        <v>4666</v>
      </c>
      <c r="K26" s="70" t="n">
        <f aca="false">J26-I26</f>
        <v>0</v>
      </c>
      <c r="L26" s="22" t="n">
        <v>16000</v>
      </c>
      <c r="M26" s="22" t="n">
        <f aca="false">1000+9876</f>
        <v>10876</v>
      </c>
      <c r="N26" s="70" t="n">
        <f aca="false">M26-L26</f>
        <v>-5124</v>
      </c>
      <c r="O26" s="22" t="n">
        <v>10000</v>
      </c>
      <c r="P26" s="22" t="n">
        <v>10000</v>
      </c>
      <c r="Q26" s="70" t="n">
        <f aca="false">P26-O26</f>
        <v>0</v>
      </c>
      <c r="R26" s="22" t="n">
        <v>20000</v>
      </c>
      <c r="S26" s="22" t="n">
        <v>20000</v>
      </c>
      <c r="T26" s="70" t="n">
        <f aca="false">S26-R26</f>
        <v>0</v>
      </c>
      <c r="U26" s="22" t="n">
        <v>10000</v>
      </c>
      <c r="V26" s="22" t="n">
        <v>10000</v>
      </c>
      <c r="W26" s="70" t="n">
        <f aca="false">V26-U26</f>
        <v>0</v>
      </c>
      <c r="X26" s="22" t="n">
        <v>5000</v>
      </c>
      <c r="Y26" s="22" t="n">
        <v>5000</v>
      </c>
      <c r="Z26" s="70" t="n">
        <f aca="false">Y26-X26</f>
        <v>0</v>
      </c>
      <c r="AA26" s="22" t="n">
        <v>5000</v>
      </c>
      <c r="AB26" s="22" t="n">
        <v>5000</v>
      </c>
      <c r="AC26" s="70" t="n">
        <f aca="false">AB26-AA26</f>
        <v>0</v>
      </c>
      <c r="AD26" s="22" t="n">
        <f aca="false">10000+5000</f>
        <v>15000</v>
      </c>
      <c r="AE26" s="22" t="n">
        <f aca="false">10000+3550</f>
        <v>13550</v>
      </c>
      <c r="AF26" s="70" t="n">
        <f aca="false">AE26-AD26</f>
        <v>-1450</v>
      </c>
      <c r="AG26" s="22" t="n">
        <v>10000</v>
      </c>
      <c r="AH26" s="22" t="n">
        <v>10000</v>
      </c>
      <c r="AI26" s="70" t="n">
        <f aca="false">AH26-AG26</f>
        <v>0</v>
      </c>
      <c r="AJ26" s="22" t="n">
        <v>10000</v>
      </c>
      <c r="AK26" s="22" t="n">
        <v>10000</v>
      </c>
      <c r="AL26" s="70" t="n">
        <f aca="false">AK26-AJ26</f>
        <v>0</v>
      </c>
      <c r="AM26" s="22" t="n">
        <v>10000</v>
      </c>
      <c r="AN26" s="22" t="n">
        <v>10000</v>
      </c>
      <c r="AO26" s="70" t="n">
        <f aca="false">AN26-AM26</f>
        <v>0</v>
      </c>
      <c r="AP26" s="22" t="n">
        <v>5000</v>
      </c>
      <c r="AQ26" s="22" t="n">
        <v>5000</v>
      </c>
      <c r="AR26" s="70" t="n">
        <f aca="false">AQ26-AP26</f>
        <v>0</v>
      </c>
      <c r="AS26" s="22" t="n">
        <v>20000</v>
      </c>
      <c r="AT26" s="22" t="n">
        <v>20000</v>
      </c>
      <c r="AU26" s="70" t="n">
        <f aca="false">AT26-AS26</f>
        <v>0</v>
      </c>
      <c r="AV26" s="22" t="n">
        <v>20000</v>
      </c>
      <c r="AW26" s="22" t="n">
        <v>20000</v>
      </c>
      <c r="AX26" s="70" t="n">
        <f aca="false">AW26-AV26</f>
        <v>0</v>
      </c>
      <c r="AY26" s="22" t="n">
        <v>6000</v>
      </c>
      <c r="AZ26" s="22" t="n">
        <v>6000</v>
      </c>
      <c r="BA26" s="70" t="n">
        <f aca="false">AZ26-AY26</f>
        <v>0</v>
      </c>
      <c r="BB26" s="22" t="n">
        <v>5000</v>
      </c>
      <c r="BC26" s="22" t="n">
        <v>3550</v>
      </c>
      <c r="BD26" s="70" t="n">
        <f aca="false">BC26-BB26</f>
        <v>-1450</v>
      </c>
      <c r="BE26" s="22" t="n">
        <v>5000</v>
      </c>
      <c r="BF26" s="22" t="n">
        <v>5000</v>
      </c>
      <c r="BG26" s="70" t="n">
        <f aca="false">BF26-BE26</f>
        <v>0</v>
      </c>
      <c r="BH26" s="22"/>
      <c r="BI26" s="22"/>
      <c r="BJ26" s="70" t="n">
        <f aca="false">BI26-BH26</f>
        <v>0</v>
      </c>
      <c r="BK26" s="22"/>
      <c r="BL26" s="22"/>
      <c r="BM26" s="70" t="n">
        <f aca="false">BL26-BK26</f>
        <v>0</v>
      </c>
      <c r="BN26" s="22"/>
      <c r="BO26" s="22"/>
      <c r="BP26" s="70" t="n">
        <f aca="false">BO26-BN26</f>
        <v>0</v>
      </c>
      <c r="BQ26" s="22"/>
      <c r="BR26" s="22"/>
      <c r="BS26" s="70" t="n">
        <f aca="false">BR26-BQ26</f>
        <v>0</v>
      </c>
      <c r="BT26" s="22"/>
      <c r="BU26" s="22"/>
      <c r="BV26" s="70" t="n">
        <f aca="false">BU26-BT26</f>
        <v>0</v>
      </c>
      <c r="BW26" s="22"/>
      <c r="BX26" s="22"/>
      <c r="BY26" s="70" t="n">
        <f aca="false">BX26-BW26</f>
        <v>0</v>
      </c>
      <c r="BZ26" s="22"/>
      <c r="CA26" s="22"/>
      <c r="CB26" s="70" t="n">
        <f aca="false">CA26-BZ26</f>
        <v>0</v>
      </c>
      <c r="CC26" s="22"/>
      <c r="CD26" s="22"/>
      <c r="CE26" s="70" t="n">
        <f aca="false">CD26-CC26</f>
        <v>0</v>
      </c>
      <c r="CF26" s="22"/>
      <c r="CG26" s="22"/>
      <c r="CH26" s="70" t="n">
        <f aca="false">CG26-CF26</f>
        <v>0</v>
      </c>
      <c r="CI26" s="22"/>
      <c r="CJ26" s="22"/>
      <c r="CK26" s="70" t="n">
        <f aca="false">CJ26-CI26</f>
        <v>0</v>
      </c>
      <c r="CL26" s="22"/>
      <c r="CM26" s="22"/>
      <c r="CN26" s="70" t="n">
        <f aca="false">CM26-CL26</f>
        <v>0</v>
      </c>
      <c r="CO26" s="22"/>
      <c r="CP26" s="22"/>
      <c r="CQ26" s="70" t="n">
        <f aca="false">CP26-CO26</f>
        <v>0</v>
      </c>
      <c r="CR26" s="22"/>
      <c r="CS26" s="22"/>
      <c r="CT26" s="70" t="n">
        <f aca="false">CS26-CR26</f>
        <v>0</v>
      </c>
      <c r="CU26" s="22"/>
      <c r="CV26" s="22"/>
      <c r="CW26" s="70" t="n">
        <f aca="false">CV26-CU26</f>
        <v>0</v>
      </c>
      <c r="CX26" s="22"/>
      <c r="CY26" s="22"/>
      <c r="CZ26" s="70" t="n">
        <f aca="false">CY26-CX26</f>
        <v>0</v>
      </c>
      <c r="DA26" s="22"/>
      <c r="DB26" s="22"/>
      <c r="DC26" s="70" t="n">
        <f aca="false">DB26-DA26</f>
        <v>0</v>
      </c>
      <c r="DD26" s="22"/>
      <c r="DE26" s="22"/>
      <c r="DF26" s="70" t="n">
        <f aca="false">DE26-DD26</f>
        <v>0</v>
      </c>
      <c r="DG26" s="22"/>
      <c r="DH26" s="22"/>
      <c r="DI26" s="70" t="n">
        <f aca="false">DH26-DG26</f>
        <v>0</v>
      </c>
      <c r="DJ26" s="22"/>
      <c r="DK26" s="22"/>
      <c r="DL26" s="70" t="n">
        <f aca="false">DK26-DJ26</f>
        <v>0</v>
      </c>
      <c r="DM26" s="22"/>
      <c r="DN26" s="22"/>
      <c r="DO26" s="70" t="n">
        <f aca="false">DN26-DM26</f>
        <v>0</v>
      </c>
      <c r="DP26" s="22"/>
      <c r="DQ26" s="22"/>
      <c r="DR26" s="70" t="n">
        <f aca="false">DQ26-DP26</f>
        <v>0</v>
      </c>
      <c r="DS26" s="70" t="n">
        <f aca="false">+C26+F26+I26+L26+O26+R26+U26+X26+AA26+AD26+AG26+AJ26+AM26+AP26+AS26+AV26+AY26+BB26+BE26+BH26+BK26+BN26+BQ26+BT26+BW26+BZ26+CC26+CF26+CI26+CL26+CO26+CR26+CU26+CX26+DA26+DD26+DG26+DJ26+DM26+DP26</f>
        <v>185844</v>
      </c>
      <c r="DT26" s="70" t="n">
        <f aca="false">+D26+G26+J26+M26+P26+S26+V26+Y26+AB26+AE26+AH26+AK26+AN26+AQ26+AT26+AW26+AZ26+BC26+BF26+BI26+BL26+BO26+BR26+BU26+BX26+CA26+CD26+CG26+CJ26+CM26+CP26+CS26+CV26+CY26+DB26+DE26+DH26+DK26+DN26+DQ26</f>
        <v>177820</v>
      </c>
      <c r="DU26" s="70" t="n">
        <f aca="false">DT26-DS26</f>
        <v>-8024</v>
      </c>
      <c r="DV26" s="75"/>
      <c r="DW26" s="74"/>
      <c r="DX26" s="74"/>
      <c r="DY26" s="75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</row>
    <row r="27" customFormat="false" ht="12.75" hidden="false" customHeight="false" outlineLevel="0" collapsed="false">
      <c r="A27" s="69" t="n">
        <f aca="false">A26+1</f>
        <v>36699</v>
      </c>
      <c r="B27" s="69" t="s">
        <v>113</v>
      </c>
      <c r="C27" s="22" t="n">
        <v>4178</v>
      </c>
      <c r="D27" s="22" t="n">
        <v>4178</v>
      </c>
      <c r="E27" s="70" t="n">
        <f aca="false">D27-C27</f>
        <v>0</v>
      </c>
      <c r="F27" s="22" t="n">
        <v>5000</v>
      </c>
      <c r="G27" s="22" t="n">
        <v>5000</v>
      </c>
      <c r="H27" s="70" t="n">
        <f aca="false">G27-F27</f>
        <v>0</v>
      </c>
      <c r="I27" s="22" t="n">
        <v>4666</v>
      </c>
      <c r="J27" s="22" t="n">
        <v>4666</v>
      </c>
      <c r="K27" s="70" t="n">
        <f aca="false">J27-I27</f>
        <v>0</v>
      </c>
      <c r="L27" s="22" t="n">
        <v>16000</v>
      </c>
      <c r="M27" s="22" t="n">
        <f aca="false">1000+14683</f>
        <v>15683</v>
      </c>
      <c r="N27" s="70" t="n">
        <f aca="false">M27-L27</f>
        <v>-317</v>
      </c>
      <c r="O27" s="22" t="n">
        <v>10000</v>
      </c>
      <c r="P27" s="22" t="n">
        <v>10000</v>
      </c>
      <c r="Q27" s="70" t="n">
        <f aca="false">P27-O27</f>
        <v>0</v>
      </c>
      <c r="R27" s="22" t="n">
        <v>20000</v>
      </c>
      <c r="S27" s="22" t="n">
        <v>20000</v>
      </c>
      <c r="T27" s="70" t="n">
        <f aca="false">S27-R27</f>
        <v>0</v>
      </c>
      <c r="U27" s="22" t="n">
        <v>10000</v>
      </c>
      <c r="V27" s="22" t="n">
        <v>10000</v>
      </c>
      <c r="W27" s="70" t="n">
        <f aca="false">V27-U27</f>
        <v>0</v>
      </c>
      <c r="X27" s="22" t="n">
        <v>5000</v>
      </c>
      <c r="Y27" s="22" t="n">
        <v>5000</v>
      </c>
      <c r="Z27" s="70" t="n">
        <f aca="false">Y27-X27</f>
        <v>0</v>
      </c>
      <c r="AA27" s="22" t="n">
        <v>5000</v>
      </c>
      <c r="AB27" s="22" t="n">
        <v>5000</v>
      </c>
      <c r="AC27" s="70" t="n">
        <f aca="false">AB27-AA27</f>
        <v>0</v>
      </c>
      <c r="AD27" s="22" t="n">
        <f aca="false">10000+5000</f>
        <v>15000</v>
      </c>
      <c r="AE27" s="22" t="n">
        <f aca="false">10000+3317</f>
        <v>13317</v>
      </c>
      <c r="AF27" s="70" t="n">
        <f aca="false">AE27-AD27</f>
        <v>-1683</v>
      </c>
      <c r="AG27" s="22" t="n">
        <v>10000</v>
      </c>
      <c r="AH27" s="22" t="n">
        <v>10000</v>
      </c>
      <c r="AI27" s="70" t="n">
        <f aca="false">AH27-AG27</f>
        <v>0</v>
      </c>
      <c r="AJ27" s="22" t="n">
        <v>10000</v>
      </c>
      <c r="AK27" s="22" t="n">
        <v>10000</v>
      </c>
      <c r="AL27" s="70" t="n">
        <f aca="false">AK27-AJ27</f>
        <v>0</v>
      </c>
      <c r="AM27" s="22" t="n">
        <v>10000</v>
      </c>
      <c r="AN27" s="22" t="n">
        <v>10000</v>
      </c>
      <c r="AO27" s="70" t="n">
        <f aca="false">AN27-AM27</f>
        <v>0</v>
      </c>
      <c r="AP27" s="22" t="n">
        <v>5000</v>
      </c>
      <c r="AQ27" s="22" t="n">
        <v>5000</v>
      </c>
      <c r="AR27" s="70" t="n">
        <f aca="false">AQ27-AP27</f>
        <v>0</v>
      </c>
      <c r="AS27" s="22" t="n">
        <v>20000</v>
      </c>
      <c r="AT27" s="22" t="n">
        <v>20000</v>
      </c>
      <c r="AU27" s="70" t="n">
        <f aca="false">AT27-AS27</f>
        <v>0</v>
      </c>
      <c r="AV27" s="22" t="n">
        <v>20000</v>
      </c>
      <c r="AW27" s="22" t="n">
        <v>20000</v>
      </c>
      <c r="AX27" s="70" t="n">
        <f aca="false">AW27-AV27</f>
        <v>0</v>
      </c>
      <c r="AY27" s="22" t="n">
        <v>6000</v>
      </c>
      <c r="AZ27" s="22" t="n">
        <v>6000</v>
      </c>
      <c r="BA27" s="70" t="n">
        <f aca="false">AZ27-AY27</f>
        <v>0</v>
      </c>
      <c r="BB27" s="22" t="n">
        <v>5000</v>
      </c>
      <c r="BC27" s="22" t="n">
        <v>3317</v>
      </c>
      <c r="BD27" s="70" t="n">
        <f aca="false">BC27-BB27</f>
        <v>-1683</v>
      </c>
      <c r="BE27" s="22" t="n">
        <v>5000</v>
      </c>
      <c r="BF27" s="22" t="n">
        <v>5000</v>
      </c>
      <c r="BG27" s="70" t="n">
        <f aca="false">BF27-BE27</f>
        <v>0</v>
      </c>
      <c r="BH27" s="22"/>
      <c r="BI27" s="22"/>
      <c r="BJ27" s="70" t="n">
        <f aca="false">BI27-BH27</f>
        <v>0</v>
      </c>
      <c r="BK27" s="22"/>
      <c r="BL27" s="22"/>
      <c r="BM27" s="70" t="n">
        <f aca="false">BL27-BK27</f>
        <v>0</v>
      </c>
      <c r="BN27" s="22"/>
      <c r="BO27" s="22"/>
      <c r="BP27" s="70" t="n">
        <f aca="false">BO27-BN27</f>
        <v>0</v>
      </c>
      <c r="BQ27" s="22"/>
      <c r="BR27" s="22"/>
      <c r="BS27" s="70" t="n">
        <f aca="false">BR27-BQ27</f>
        <v>0</v>
      </c>
      <c r="BT27" s="22"/>
      <c r="BU27" s="22"/>
      <c r="BV27" s="70" t="n">
        <f aca="false">BU27-BT27</f>
        <v>0</v>
      </c>
      <c r="BW27" s="22"/>
      <c r="BX27" s="22"/>
      <c r="BY27" s="70" t="n">
        <f aca="false">BX27-BW27</f>
        <v>0</v>
      </c>
      <c r="BZ27" s="22"/>
      <c r="CA27" s="22"/>
      <c r="CB27" s="70" t="n">
        <f aca="false">CA27-BZ27</f>
        <v>0</v>
      </c>
      <c r="CC27" s="22"/>
      <c r="CD27" s="22"/>
      <c r="CE27" s="70" t="n">
        <f aca="false">CD27-CC27</f>
        <v>0</v>
      </c>
      <c r="CF27" s="22"/>
      <c r="CG27" s="22"/>
      <c r="CH27" s="70" t="n">
        <f aca="false">CG27-CF27</f>
        <v>0</v>
      </c>
      <c r="CI27" s="22"/>
      <c r="CJ27" s="22"/>
      <c r="CK27" s="70" t="n">
        <f aca="false">CJ27-CI27</f>
        <v>0</v>
      </c>
      <c r="CL27" s="22"/>
      <c r="CM27" s="22"/>
      <c r="CN27" s="70" t="n">
        <f aca="false">CM27-CL27</f>
        <v>0</v>
      </c>
      <c r="CO27" s="22"/>
      <c r="CP27" s="22"/>
      <c r="CQ27" s="70" t="n">
        <f aca="false">CP27-CO27</f>
        <v>0</v>
      </c>
      <c r="CR27" s="22"/>
      <c r="CS27" s="22"/>
      <c r="CT27" s="70" t="n">
        <f aca="false">CS27-CR27</f>
        <v>0</v>
      </c>
      <c r="CU27" s="22"/>
      <c r="CV27" s="22"/>
      <c r="CW27" s="70" t="n">
        <f aca="false">CV27-CU27</f>
        <v>0</v>
      </c>
      <c r="CX27" s="22"/>
      <c r="CY27" s="22"/>
      <c r="CZ27" s="70" t="n">
        <f aca="false">CY27-CX27</f>
        <v>0</v>
      </c>
      <c r="DA27" s="22"/>
      <c r="DB27" s="22"/>
      <c r="DC27" s="70" t="n">
        <f aca="false">DB27-DA27</f>
        <v>0</v>
      </c>
      <c r="DD27" s="22"/>
      <c r="DE27" s="22"/>
      <c r="DF27" s="70" t="n">
        <f aca="false">DE27-DD27</f>
        <v>0</v>
      </c>
      <c r="DG27" s="22"/>
      <c r="DH27" s="22"/>
      <c r="DI27" s="70" t="n">
        <f aca="false">DH27-DG27</f>
        <v>0</v>
      </c>
      <c r="DJ27" s="22"/>
      <c r="DK27" s="22"/>
      <c r="DL27" s="70" t="n">
        <f aca="false">DK27-DJ27</f>
        <v>0</v>
      </c>
      <c r="DM27" s="22"/>
      <c r="DN27" s="22"/>
      <c r="DO27" s="70" t="n">
        <f aca="false">DN27-DM27</f>
        <v>0</v>
      </c>
      <c r="DP27" s="22"/>
      <c r="DQ27" s="22"/>
      <c r="DR27" s="70" t="n">
        <f aca="false">DQ27-DP27</f>
        <v>0</v>
      </c>
      <c r="DS27" s="70" t="n">
        <f aca="false">+C27+F27+I27+L27+O27+R27+U27+X27+AA27+AD27+AG27+AJ27+AM27+AP27+AS27+AV27+AY27+BB27+BE27+BH27+BK27+BN27+BQ27+BT27+BW27+BZ27+CC27+CF27+CI27+CL27+CO27+CR27+CU27+CX27+DA27+DD27+DG27+DJ27+DM27+DP27</f>
        <v>185844</v>
      </c>
      <c r="DT27" s="70" t="n">
        <f aca="false">+D27+G27+J27+M27+P27+S27+V27+Y27+AB27+AE27+AH27+AK27+AN27+AQ27+AT27+AW27+AZ27+BC27+BF27+BI27+BL27+BO27+BR27+BU27+BX27+CA27+CD27+CG27+CJ27+CM27+CP27+CS27+CV27+CY27+DB27+DE27+DH27+DK27+DN27+DQ27</f>
        <v>182161</v>
      </c>
      <c r="DU27" s="70" t="n">
        <f aca="false">DT27-DS27</f>
        <v>-3683</v>
      </c>
      <c r="DV27" s="75"/>
      <c r="DW27" s="74"/>
      <c r="DX27" s="74"/>
      <c r="DY27" s="75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</row>
    <row r="28" customFormat="false" ht="12.75" hidden="false" customHeight="false" outlineLevel="0" collapsed="false">
      <c r="A28" s="69" t="n">
        <f aca="false">A27+1</f>
        <v>36700</v>
      </c>
      <c r="B28" s="69" t="s">
        <v>114</v>
      </c>
      <c r="C28" s="22" t="n">
        <v>4178</v>
      </c>
      <c r="D28" s="22" t="n">
        <v>4178</v>
      </c>
      <c r="E28" s="70" t="n">
        <f aca="false">D28-C28</f>
        <v>0</v>
      </c>
      <c r="F28" s="22" t="n">
        <v>5000</v>
      </c>
      <c r="G28" s="22" t="n">
        <v>5000</v>
      </c>
      <c r="H28" s="70" t="n">
        <f aca="false">G28-F28</f>
        <v>0</v>
      </c>
      <c r="I28" s="22" t="n">
        <v>4666</v>
      </c>
      <c r="J28" s="22" t="n">
        <v>4666</v>
      </c>
      <c r="K28" s="70" t="n">
        <f aca="false">J28-I28</f>
        <v>0</v>
      </c>
      <c r="L28" s="22" t="n">
        <v>16000</v>
      </c>
      <c r="M28" s="22" t="n">
        <f aca="false">15000+1000</f>
        <v>16000</v>
      </c>
      <c r="N28" s="70" t="n">
        <f aca="false">M28-L28</f>
        <v>0</v>
      </c>
      <c r="O28" s="22" t="n">
        <v>10000</v>
      </c>
      <c r="P28" s="22" t="n">
        <v>10000</v>
      </c>
      <c r="Q28" s="70" t="n">
        <f aca="false">P28-O28</f>
        <v>0</v>
      </c>
      <c r="R28" s="22" t="n">
        <v>20000</v>
      </c>
      <c r="S28" s="22" t="n">
        <v>20000</v>
      </c>
      <c r="T28" s="70" t="n">
        <f aca="false">S28-R28</f>
        <v>0</v>
      </c>
      <c r="U28" s="22" t="n">
        <v>10000</v>
      </c>
      <c r="V28" s="22" t="n">
        <v>10000</v>
      </c>
      <c r="W28" s="70" t="n">
        <f aca="false">V28-U28</f>
        <v>0</v>
      </c>
      <c r="X28" s="22" t="n">
        <v>5000</v>
      </c>
      <c r="Y28" s="22" t="n">
        <v>5000</v>
      </c>
      <c r="Z28" s="70" t="n">
        <f aca="false">Y28-X28</f>
        <v>0</v>
      </c>
      <c r="AA28" s="22" t="n">
        <v>5000</v>
      </c>
      <c r="AB28" s="22" t="n">
        <v>5000</v>
      </c>
      <c r="AC28" s="70" t="n">
        <f aca="false">AB28-AA28</f>
        <v>0</v>
      </c>
      <c r="AD28" s="22" t="n">
        <f aca="false">10000+5000</f>
        <v>15000</v>
      </c>
      <c r="AE28" s="22" t="n">
        <f aca="false">10000+3125</f>
        <v>13125</v>
      </c>
      <c r="AF28" s="70" t="n">
        <f aca="false">AE28-AD28</f>
        <v>-1875</v>
      </c>
      <c r="AG28" s="22" t="n">
        <v>10000</v>
      </c>
      <c r="AH28" s="22" t="n">
        <v>10000</v>
      </c>
      <c r="AI28" s="70" t="n">
        <f aca="false">AH28-AG28</f>
        <v>0</v>
      </c>
      <c r="AJ28" s="22" t="n">
        <v>10000</v>
      </c>
      <c r="AK28" s="22" t="n">
        <v>10000</v>
      </c>
      <c r="AL28" s="70" t="n">
        <f aca="false">AK28-AJ28</f>
        <v>0</v>
      </c>
      <c r="AM28" s="22" t="n">
        <v>10000</v>
      </c>
      <c r="AN28" s="22" t="n">
        <v>10000</v>
      </c>
      <c r="AO28" s="70" t="n">
        <f aca="false">AN28-AM28</f>
        <v>0</v>
      </c>
      <c r="AP28" s="22" t="n">
        <v>5000</v>
      </c>
      <c r="AQ28" s="22" t="n">
        <v>5000</v>
      </c>
      <c r="AR28" s="70" t="n">
        <f aca="false">AQ28-AP28</f>
        <v>0</v>
      </c>
      <c r="AS28" s="22" t="n">
        <v>20000</v>
      </c>
      <c r="AT28" s="22" t="n">
        <v>20000</v>
      </c>
      <c r="AU28" s="70" t="n">
        <f aca="false">AT28-AS28</f>
        <v>0</v>
      </c>
      <c r="AV28" s="22" t="n">
        <v>20000</v>
      </c>
      <c r="AW28" s="22" t="n">
        <v>20000</v>
      </c>
      <c r="AX28" s="70" t="n">
        <f aca="false">AW28-AV28</f>
        <v>0</v>
      </c>
      <c r="AY28" s="22" t="n">
        <v>6000</v>
      </c>
      <c r="AZ28" s="22" t="n">
        <v>6000</v>
      </c>
      <c r="BA28" s="70" t="n">
        <f aca="false">AZ28-AY28</f>
        <v>0</v>
      </c>
      <c r="BB28" s="22" t="n">
        <v>5000</v>
      </c>
      <c r="BC28" s="22" t="n">
        <v>3125</v>
      </c>
      <c r="BD28" s="70" t="n">
        <f aca="false">BC28-BB28</f>
        <v>-1875</v>
      </c>
      <c r="BE28" s="22" t="n">
        <v>5000</v>
      </c>
      <c r="BF28" s="22" t="n">
        <v>5000</v>
      </c>
      <c r="BG28" s="70" t="n">
        <f aca="false">BF28-BE28</f>
        <v>0</v>
      </c>
      <c r="BH28" s="22"/>
      <c r="BI28" s="22"/>
      <c r="BJ28" s="70" t="n">
        <f aca="false">BI28-BH28</f>
        <v>0</v>
      </c>
      <c r="BK28" s="22"/>
      <c r="BL28" s="22"/>
      <c r="BM28" s="70" t="n">
        <f aca="false">BL28-BK28</f>
        <v>0</v>
      </c>
      <c r="BN28" s="22"/>
      <c r="BO28" s="22"/>
      <c r="BP28" s="70" t="n">
        <f aca="false">BO28-BN28</f>
        <v>0</v>
      </c>
      <c r="BQ28" s="22"/>
      <c r="BR28" s="22"/>
      <c r="BS28" s="70" t="n">
        <f aca="false">BR28-BQ28</f>
        <v>0</v>
      </c>
      <c r="BT28" s="22"/>
      <c r="BU28" s="22"/>
      <c r="BV28" s="70" t="n">
        <f aca="false">BU28-BT28</f>
        <v>0</v>
      </c>
      <c r="BW28" s="22"/>
      <c r="BX28" s="22"/>
      <c r="BY28" s="70" t="n">
        <f aca="false">BX28-BW28</f>
        <v>0</v>
      </c>
      <c r="BZ28" s="22"/>
      <c r="CA28" s="22"/>
      <c r="CB28" s="70" t="n">
        <f aca="false">CA28-BZ28</f>
        <v>0</v>
      </c>
      <c r="CC28" s="22"/>
      <c r="CD28" s="22"/>
      <c r="CE28" s="70" t="n">
        <f aca="false">CD28-CC28</f>
        <v>0</v>
      </c>
      <c r="CF28" s="22"/>
      <c r="CG28" s="22"/>
      <c r="CH28" s="70" t="n">
        <f aca="false">CG28-CF28</f>
        <v>0</v>
      </c>
      <c r="CI28" s="22"/>
      <c r="CJ28" s="22"/>
      <c r="CK28" s="70" t="n">
        <f aca="false">CJ28-CI28</f>
        <v>0</v>
      </c>
      <c r="CL28" s="22"/>
      <c r="CM28" s="22"/>
      <c r="CN28" s="70" t="n">
        <f aca="false">CM28-CL28</f>
        <v>0</v>
      </c>
      <c r="CO28" s="22"/>
      <c r="CP28" s="22"/>
      <c r="CQ28" s="70" t="n">
        <f aca="false">CP28-CO28</f>
        <v>0</v>
      </c>
      <c r="CR28" s="22"/>
      <c r="CS28" s="22"/>
      <c r="CT28" s="70" t="n">
        <f aca="false">CS28-CR28</f>
        <v>0</v>
      </c>
      <c r="CU28" s="22"/>
      <c r="CV28" s="22"/>
      <c r="CW28" s="70" t="n">
        <f aca="false">CV28-CU28</f>
        <v>0</v>
      </c>
      <c r="CX28" s="22"/>
      <c r="CY28" s="22"/>
      <c r="CZ28" s="70" t="n">
        <f aca="false">CY28-CX28</f>
        <v>0</v>
      </c>
      <c r="DA28" s="22"/>
      <c r="DB28" s="22"/>
      <c r="DC28" s="70" t="n">
        <f aca="false">DB28-DA28</f>
        <v>0</v>
      </c>
      <c r="DD28" s="22"/>
      <c r="DE28" s="22"/>
      <c r="DF28" s="70" t="n">
        <f aca="false">DE28-DD28</f>
        <v>0</v>
      </c>
      <c r="DG28" s="22"/>
      <c r="DH28" s="22"/>
      <c r="DI28" s="70" t="n">
        <f aca="false">DH28-DG28</f>
        <v>0</v>
      </c>
      <c r="DJ28" s="22"/>
      <c r="DK28" s="22"/>
      <c r="DL28" s="70" t="n">
        <f aca="false">DK28-DJ28</f>
        <v>0</v>
      </c>
      <c r="DM28" s="22"/>
      <c r="DN28" s="22"/>
      <c r="DO28" s="70" t="n">
        <f aca="false">DN28-DM28</f>
        <v>0</v>
      </c>
      <c r="DP28" s="22"/>
      <c r="DQ28" s="22"/>
      <c r="DR28" s="70" t="n">
        <f aca="false">DQ28-DP28</f>
        <v>0</v>
      </c>
      <c r="DS28" s="70" t="n">
        <f aca="false">+C28+F28+I28+L28+O28+R28+U28+X28+AA28+AD28+AG28+AJ28+AM28+AP28+AS28+AV28+AY28+BB28+BE28+BH28+BK28+BN28+BQ28+BT28+BW28+BZ28+CC28+CF28+CI28+CL28+CO28+CR28+CU28+CX28+DA28+DD28+DG28+DJ28+DM28+DP28</f>
        <v>185844</v>
      </c>
      <c r="DT28" s="70" t="n">
        <f aca="false">+D28+G28+J28+M28+P28+S28+V28+Y28+AB28+AE28+AH28+AK28+AN28+AQ28+AT28+AW28+AZ28+BC28+BF28+BI28+BL28+BO28+BR28+BU28+BX28+CA28+CD28+CG28+CJ28+CM28+CP28+CS28+CV28+CY28+DB28+DE28+DH28+DK28+DN28+DQ28</f>
        <v>182094</v>
      </c>
      <c r="DU28" s="70" t="n">
        <f aca="false">DT28-DS28</f>
        <v>-3750</v>
      </c>
      <c r="DV28" s="75"/>
      <c r="DW28" s="74"/>
      <c r="DX28" s="74"/>
      <c r="DY28" s="75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</row>
    <row r="29" customFormat="false" ht="12.75" hidden="false" customHeight="false" outlineLevel="0" collapsed="false">
      <c r="A29" s="69" t="n">
        <f aca="false">A28+1</f>
        <v>36701</v>
      </c>
      <c r="B29" s="69" t="s">
        <v>115</v>
      </c>
      <c r="C29" s="22" t="n">
        <v>4178</v>
      </c>
      <c r="D29" s="22" t="n">
        <v>4178</v>
      </c>
      <c r="E29" s="70" t="n">
        <f aca="false">D29-C29</f>
        <v>0</v>
      </c>
      <c r="F29" s="22" t="n">
        <v>5000</v>
      </c>
      <c r="G29" s="22" t="n">
        <v>5000</v>
      </c>
      <c r="H29" s="70" t="n">
        <f aca="false">G29-F29</f>
        <v>0</v>
      </c>
      <c r="I29" s="22" t="n">
        <v>4666</v>
      </c>
      <c r="J29" s="22" t="n">
        <v>4666</v>
      </c>
      <c r="K29" s="70" t="n">
        <f aca="false">J29-I29</f>
        <v>0</v>
      </c>
      <c r="L29" s="22" t="n">
        <v>16000</v>
      </c>
      <c r="M29" s="22" t="n">
        <f aca="false">16000+2755</f>
        <v>18755</v>
      </c>
      <c r="N29" s="70" t="n">
        <f aca="false">M29-L29</f>
        <v>2755</v>
      </c>
      <c r="O29" s="22" t="n">
        <v>10000</v>
      </c>
      <c r="P29" s="22" t="n">
        <v>10000</v>
      </c>
      <c r="Q29" s="70" t="n">
        <f aca="false">P29-O29</f>
        <v>0</v>
      </c>
      <c r="R29" s="22" t="n">
        <v>20000</v>
      </c>
      <c r="S29" s="22" t="n">
        <v>20000</v>
      </c>
      <c r="T29" s="70" t="n">
        <f aca="false">S29-R29</f>
        <v>0</v>
      </c>
      <c r="U29" s="22" t="n">
        <v>10000</v>
      </c>
      <c r="V29" s="22" t="n">
        <v>10000</v>
      </c>
      <c r="W29" s="70" t="n">
        <f aca="false">V29-U29</f>
        <v>0</v>
      </c>
      <c r="X29" s="22" t="n">
        <v>5000</v>
      </c>
      <c r="Y29" s="22" t="n">
        <v>5000</v>
      </c>
      <c r="Z29" s="70" t="n">
        <f aca="false">Y29-X29</f>
        <v>0</v>
      </c>
      <c r="AA29" s="22" t="n">
        <v>5000</v>
      </c>
      <c r="AB29" s="22" t="n">
        <v>5000</v>
      </c>
      <c r="AC29" s="70" t="n">
        <f aca="false">AB29-AA29</f>
        <v>0</v>
      </c>
      <c r="AD29" s="22" t="n">
        <f aca="false">10000+5000</f>
        <v>15000</v>
      </c>
      <c r="AE29" s="22" t="n">
        <f aca="false">10000+3056</f>
        <v>13056</v>
      </c>
      <c r="AF29" s="70" t="n">
        <f aca="false">AE29-AD29</f>
        <v>-1944</v>
      </c>
      <c r="AG29" s="22" t="n">
        <v>10000</v>
      </c>
      <c r="AH29" s="22" t="n">
        <v>10000</v>
      </c>
      <c r="AI29" s="70" t="n">
        <f aca="false">AH29-AG29</f>
        <v>0</v>
      </c>
      <c r="AJ29" s="22" t="n">
        <v>10000</v>
      </c>
      <c r="AK29" s="22" t="n">
        <v>10000</v>
      </c>
      <c r="AL29" s="70" t="n">
        <f aca="false">AK29-AJ29</f>
        <v>0</v>
      </c>
      <c r="AM29" s="22" t="n">
        <v>10000</v>
      </c>
      <c r="AN29" s="22" t="n">
        <v>10000</v>
      </c>
      <c r="AO29" s="70" t="n">
        <f aca="false">AN29-AM29</f>
        <v>0</v>
      </c>
      <c r="AP29" s="22" t="n">
        <v>5000</v>
      </c>
      <c r="AQ29" s="22" t="n">
        <v>5000</v>
      </c>
      <c r="AR29" s="70" t="n">
        <f aca="false">AQ29-AP29</f>
        <v>0</v>
      </c>
      <c r="AS29" s="22" t="n">
        <v>20000</v>
      </c>
      <c r="AT29" s="22" t="n">
        <v>20000</v>
      </c>
      <c r="AU29" s="70" t="n">
        <f aca="false">AT29-AS29</f>
        <v>0</v>
      </c>
      <c r="AV29" s="22" t="n">
        <v>20000</v>
      </c>
      <c r="AW29" s="22" t="n">
        <v>20000</v>
      </c>
      <c r="AX29" s="70" t="n">
        <f aca="false">AW29-AV29</f>
        <v>0</v>
      </c>
      <c r="AY29" s="22" t="n">
        <v>6000</v>
      </c>
      <c r="AZ29" s="22" t="n">
        <v>6000</v>
      </c>
      <c r="BA29" s="70" t="n">
        <f aca="false">AZ29-AY29</f>
        <v>0</v>
      </c>
      <c r="BB29" s="22" t="n">
        <v>5000</v>
      </c>
      <c r="BC29" s="22" t="n">
        <v>3056</v>
      </c>
      <c r="BD29" s="70" t="n">
        <f aca="false">BC29-BB29</f>
        <v>-1944</v>
      </c>
      <c r="BE29" s="22" t="n">
        <v>5000</v>
      </c>
      <c r="BF29" s="22" t="n">
        <v>5000</v>
      </c>
      <c r="BG29" s="70" t="n">
        <f aca="false">BF29-BE29</f>
        <v>0</v>
      </c>
      <c r="BH29" s="22"/>
      <c r="BI29" s="22"/>
      <c r="BJ29" s="70" t="n">
        <f aca="false">BI29-BH29</f>
        <v>0</v>
      </c>
      <c r="BK29" s="22"/>
      <c r="BL29" s="22"/>
      <c r="BM29" s="70" t="n">
        <f aca="false">BL29-BK29</f>
        <v>0</v>
      </c>
      <c r="BN29" s="22"/>
      <c r="BO29" s="22"/>
      <c r="BP29" s="70" t="n">
        <f aca="false">BO29-BN29</f>
        <v>0</v>
      </c>
      <c r="BQ29" s="22"/>
      <c r="BR29" s="22"/>
      <c r="BS29" s="70" t="n">
        <f aca="false">BR29-BQ29</f>
        <v>0</v>
      </c>
      <c r="BT29" s="22"/>
      <c r="BU29" s="22"/>
      <c r="BV29" s="70" t="n">
        <f aca="false">BU29-BT29</f>
        <v>0</v>
      </c>
      <c r="BW29" s="22"/>
      <c r="BX29" s="22"/>
      <c r="BY29" s="70" t="n">
        <f aca="false">BX29-BW29</f>
        <v>0</v>
      </c>
      <c r="BZ29" s="22"/>
      <c r="CA29" s="22"/>
      <c r="CB29" s="70" t="n">
        <f aca="false">CA29-BZ29</f>
        <v>0</v>
      </c>
      <c r="CC29" s="22"/>
      <c r="CD29" s="22"/>
      <c r="CE29" s="70" t="n">
        <f aca="false">CD29-CC29</f>
        <v>0</v>
      </c>
      <c r="CF29" s="22"/>
      <c r="CG29" s="22"/>
      <c r="CH29" s="70" t="n">
        <f aca="false">CG29-CF29</f>
        <v>0</v>
      </c>
      <c r="CI29" s="22"/>
      <c r="CJ29" s="22"/>
      <c r="CK29" s="70" t="n">
        <f aca="false">CJ29-CI29</f>
        <v>0</v>
      </c>
      <c r="CL29" s="22"/>
      <c r="CM29" s="22"/>
      <c r="CN29" s="70" t="n">
        <f aca="false">CM29-CL29</f>
        <v>0</v>
      </c>
      <c r="CO29" s="22"/>
      <c r="CP29" s="22"/>
      <c r="CQ29" s="70" t="n">
        <f aca="false">CP29-CO29</f>
        <v>0</v>
      </c>
      <c r="CR29" s="22"/>
      <c r="CS29" s="22"/>
      <c r="CT29" s="70" t="n">
        <f aca="false">CS29-CR29</f>
        <v>0</v>
      </c>
      <c r="CU29" s="22"/>
      <c r="CV29" s="22"/>
      <c r="CW29" s="70" t="n">
        <f aca="false">CV29-CU29</f>
        <v>0</v>
      </c>
      <c r="CX29" s="22"/>
      <c r="CY29" s="22"/>
      <c r="CZ29" s="70" t="n">
        <f aca="false">CY29-CX29</f>
        <v>0</v>
      </c>
      <c r="DA29" s="22"/>
      <c r="DB29" s="22"/>
      <c r="DC29" s="70" t="n">
        <f aca="false">DB29-DA29</f>
        <v>0</v>
      </c>
      <c r="DD29" s="22"/>
      <c r="DE29" s="22"/>
      <c r="DF29" s="70" t="n">
        <f aca="false">DE29-DD29</f>
        <v>0</v>
      </c>
      <c r="DG29" s="22"/>
      <c r="DH29" s="22"/>
      <c r="DI29" s="70" t="n">
        <f aca="false">DH29-DG29</f>
        <v>0</v>
      </c>
      <c r="DJ29" s="22"/>
      <c r="DK29" s="22"/>
      <c r="DL29" s="70" t="n">
        <f aca="false">DK29-DJ29</f>
        <v>0</v>
      </c>
      <c r="DM29" s="22"/>
      <c r="DN29" s="22"/>
      <c r="DO29" s="70" t="n">
        <f aca="false">DN29-DM29</f>
        <v>0</v>
      </c>
      <c r="DP29" s="22"/>
      <c r="DQ29" s="22"/>
      <c r="DR29" s="70" t="n">
        <f aca="false">DQ29-DP29</f>
        <v>0</v>
      </c>
      <c r="DS29" s="70" t="n">
        <f aca="false">+C29+F29+I29+L29+O29+R29+U29+X29+AA29+AD29+AG29+AJ29+AM29+AP29+AS29+AV29+AY29+BB29+BE29+BH29+BK29+BN29+BQ29+BT29+BW29+BZ29+CC29+CF29+CI29+CL29+CO29+CR29+CU29+CX29+DA29+DD29+DG29+DJ29+DM29+DP29</f>
        <v>185844</v>
      </c>
      <c r="DT29" s="70" t="n">
        <f aca="false">+D29+G29+J29+M29+P29+S29+V29+Y29+AB29+AE29+AH29+AK29+AN29+AQ29+AT29+AW29+AZ29+BC29+BF29+BI29+BL29+BO29+BR29+BU29+BX29+CA29+CD29+CG29+CJ29+CM29+CP29+CS29+CV29+CY29+DB29+DE29+DH29+DK29+DN29+DQ29</f>
        <v>184711</v>
      </c>
      <c r="DU29" s="70" t="n">
        <f aca="false">DT29-DS29</f>
        <v>-1133</v>
      </c>
      <c r="DV29" s="75"/>
      <c r="DW29" s="74"/>
      <c r="DX29" s="74"/>
      <c r="DY29" s="75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</row>
    <row r="30" customFormat="false" ht="12.75" hidden="false" customHeight="false" outlineLevel="0" collapsed="false">
      <c r="A30" s="69" t="n">
        <f aca="false">A29+1</f>
        <v>36702</v>
      </c>
      <c r="B30" s="69" t="s">
        <v>116</v>
      </c>
      <c r="C30" s="22" t="n">
        <v>4178</v>
      </c>
      <c r="D30" s="22" t="n">
        <v>4178</v>
      </c>
      <c r="E30" s="70" t="n">
        <f aca="false">D30-C30</f>
        <v>0</v>
      </c>
      <c r="F30" s="22" t="n">
        <v>5000</v>
      </c>
      <c r="G30" s="22" t="n">
        <v>5000</v>
      </c>
      <c r="H30" s="70" t="n">
        <f aca="false">G30-F30</f>
        <v>0</v>
      </c>
      <c r="I30" s="22" t="n">
        <v>4666</v>
      </c>
      <c r="J30" s="22" t="n">
        <v>4666</v>
      </c>
      <c r="K30" s="70" t="n">
        <f aca="false">J30-I30</f>
        <v>0</v>
      </c>
      <c r="L30" s="22" t="n">
        <v>16000</v>
      </c>
      <c r="M30" s="22" t="n">
        <f aca="false">16000+2755</f>
        <v>18755</v>
      </c>
      <c r="N30" s="70" t="n">
        <f aca="false">M30-L30</f>
        <v>2755</v>
      </c>
      <c r="O30" s="22" t="n">
        <v>10000</v>
      </c>
      <c r="P30" s="22" t="n">
        <v>10000</v>
      </c>
      <c r="Q30" s="70" t="n">
        <f aca="false">P30-O30</f>
        <v>0</v>
      </c>
      <c r="R30" s="22" t="n">
        <v>20000</v>
      </c>
      <c r="S30" s="22" t="n">
        <v>20000</v>
      </c>
      <c r="T30" s="70" t="n">
        <f aca="false">S30-R30</f>
        <v>0</v>
      </c>
      <c r="U30" s="22" t="n">
        <v>10000</v>
      </c>
      <c r="V30" s="22" t="n">
        <v>10000</v>
      </c>
      <c r="W30" s="70" t="n">
        <f aca="false">V30-U30</f>
        <v>0</v>
      </c>
      <c r="X30" s="22" t="n">
        <v>5000</v>
      </c>
      <c r="Y30" s="22" t="n">
        <v>5000</v>
      </c>
      <c r="Z30" s="70" t="n">
        <f aca="false">Y30-X30</f>
        <v>0</v>
      </c>
      <c r="AA30" s="22" t="n">
        <v>5000</v>
      </c>
      <c r="AB30" s="22" t="n">
        <v>5000</v>
      </c>
      <c r="AC30" s="70" t="n">
        <f aca="false">AB30-AA30</f>
        <v>0</v>
      </c>
      <c r="AD30" s="22" t="n">
        <f aca="false">10000+5000</f>
        <v>15000</v>
      </c>
      <c r="AE30" s="22" t="n">
        <f aca="false">10000+2999</f>
        <v>12999</v>
      </c>
      <c r="AF30" s="70" t="n">
        <f aca="false">AE30-AD30</f>
        <v>-2001</v>
      </c>
      <c r="AG30" s="22" t="n">
        <v>10000</v>
      </c>
      <c r="AH30" s="22" t="n">
        <v>10000</v>
      </c>
      <c r="AI30" s="70" t="n">
        <f aca="false">AH30-AG30</f>
        <v>0</v>
      </c>
      <c r="AJ30" s="22" t="n">
        <v>10000</v>
      </c>
      <c r="AK30" s="22" t="n">
        <v>10000</v>
      </c>
      <c r="AL30" s="70" t="n">
        <f aca="false">AK30-AJ30</f>
        <v>0</v>
      </c>
      <c r="AM30" s="22" t="n">
        <v>10000</v>
      </c>
      <c r="AN30" s="22" t="n">
        <v>10000</v>
      </c>
      <c r="AO30" s="70" t="n">
        <f aca="false">AN30-AM30</f>
        <v>0</v>
      </c>
      <c r="AP30" s="22" t="n">
        <v>5000</v>
      </c>
      <c r="AQ30" s="22" t="n">
        <v>5000</v>
      </c>
      <c r="AR30" s="70" t="n">
        <f aca="false">AQ30-AP30</f>
        <v>0</v>
      </c>
      <c r="AS30" s="22" t="n">
        <v>20000</v>
      </c>
      <c r="AT30" s="22" t="n">
        <v>20000</v>
      </c>
      <c r="AU30" s="70" t="n">
        <f aca="false">AT30-AS30</f>
        <v>0</v>
      </c>
      <c r="AV30" s="22" t="n">
        <v>20000</v>
      </c>
      <c r="AW30" s="22" t="n">
        <v>20000</v>
      </c>
      <c r="AX30" s="70" t="n">
        <f aca="false">AW30-AV30</f>
        <v>0</v>
      </c>
      <c r="AY30" s="22" t="n">
        <v>6000</v>
      </c>
      <c r="AZ30" s="22" t="n">
        <v>6000</v>
      </c>
      <c r="BA30" s="70" t="n">
        <f aca="false">AZ30-AY30</f>
        <v>0</v>
      </c>
      <c r="BB30" s="22" t="n">
        <v>5000</v>
      </c>
      <c r="BC30" s="22" t="n">
        <v>2999</v>
      </c>
      <c r="BD30" s="70" t="n">
        <f aca="false">BC30-BB30</f>
        <v>-2001</v>
      </c>
      <c r="BE30" s="22" t="n">
        <v>5000</v>
      </c>
      <c r="BF30" s="22" t="n">
        <v>5000</v>
      </c>
      <c r="BG30" s="70" t="n">
        <f aca="false">BF30-BE30</f>
        <v>0</v>
      </c>
      <c r="BH30" s="22"/>
      <c r="BI30" s="22"/>
      <c r="BJ30" s="70" t="n">
        <f aca="false">BI30-BH30</f>
        <v>0</v>
      </c>
      <c r="BK30" s="22"/>
      <c r="BL30" s="22"/>
      <c r="BM30" s="70" t="n">
        <f aca="false">BL30-BK30</f>
        <v>0</v>
      </c>
      <c r="BN30" s="22"/>
      <c r="BO30" s="22"/>
      <c r="BP30" s="70" t="n">
        <f aca="false">BO30-BN30</f>
        <v>0</v>
      </c>
      <c r="BQ30" s="22"/>
      <c r="BR30" s="22"/>
      <c r="BS30" s="70" t="n">
        <f aca="false">BR30-BQ30</f>
        <v>0</v>
      </c>
      <c r="BT30" s="22"/>
      <c r="BU30" s="22"/>
      <c r="BV30" s="70" t="n">
        <f aca="false">BU30-BT30</f>
        <v>0</v>
      </c>
      <c r="BW30" s="22"/>
      <c r="BX30" s="22"/>
      <c r="BY30" s="70" t="n">
        <f aca="false">BX30-BW30</f>
        <v>0</v>
      </c>
      <c r="BZ30" s="22"/>
      <c r="CA30" s="22"/>
      <c r="CB30" s="70" t="n">
        <f aca="false">CA30-BZ30</f>
        <v>0</v>
      </c>
      <c r="CC30" s="22"/>
      <c r="CD30" s="22"/>
      <c r="CE30" s="70" t="n">
        <f aca="false">CD30-CC30</f>
        <v>0</v>
      </c>
      <c r="CF30" s="22"/>
      <c r="CG30" s="22"/>
      <c r="CH30" s="70" t="n">
        <f aca="false">CG30-CF30</f>
        <v>0</v>
      </c>
      <c r="CI30" s="22"/>
      <c r="CJ30" s="22"/>
      <c r="CK30" s="70" t="n">
        <f aca="false">CJ30-CI30</f>
        <v>0</v>
      </c>
      <c r="CL30" s="22"/>
      <c r="CM30" s="22"/>
      <c r="CN30" s="70" t="n">
        <f aca="false">CM30-CL30</f>
        <v>0</v>
      </c>
      <c r="CO30" s="22"/>
      <c r="CP30" s="22"/>
      <c r="CQ30" s="70" t="n">
        <f aca="false">CP30-CO30</f>
        <v>0</v>
      </c>
      <c r="CR30" s="22"/>
      <c r="CS30" s="22"/>
      <c r="CT30" s="70" t="n">
        <f aca="false">CS30-CR30</f>
        <v>0</v>
      </c>
      <c r="CU30" s="22"/>
      <c r="CV30" s="22"/>
      <c r="CW30" s="70" t="n">
        <f aca="false">CV30-CU30</f>
        <v>0</v>
      </c>
      <c r="CX30" s="22"/>
      <c r="CY30" s="22"/>
      <c r="CZ30" s="70" t="n">
        <f aca="false">CY30-CX30</f>
        <v>0</v>
      </c>
      <c r="DA30" s="22"/>
      <c r="DB30" s="22"/>
      <c r="DC30" s="70" t="n">
        <f aca="false">DB30-DA30</f>
        <v>0</v>
      </c>
      <c r="DD30" s="22"/>
      <c r="DE30" s="22"/>
      <c r="DF30" s="70" t="n">
        <f aca="false">DE30-DD30</f>
        <v>0</v>
      </c>
      <c r="DG30" s="22"/>
      <c r="DH30" s="22"/>
      <c r="DI30" s="70" t="n">
        <f aca="false">DH30-DG30</f>
        <v>0</v>
      </c>
      <c r="DJ30" s="22"/>
      <c r="DK30" s="22"/>
      <c r="DL30" s="70" t="n">
        <f aca="false">DK30-DJ30</f>
        <v>0</v>
      </c>
      <c r="DM30" s="22"/>
      <c r="DN30" s="22"/>
      <c r="DO30" s="70" t="n">
        <f aca="false">DN30-DM30</f>
        <v>0</v>
      </c>
      <c r="DP30" s="22"/>
      <c r="DQ30" s="22"/>
      <c r="DR30" s="70" t="n">
        <f aca="false">DQ30-DP30</f>
        <v>0</v>
      </c>
      <c r="DS30" s="70" t="n">
        <f aca="false">+C30+F30+I30+L30+O30+R30+U30+X30+AA30+AD30+AG30+AJ30+AM30+AP30+AS30+AV30+AY30+BB30+BE30+BH30+BK30+BN30+BQ30+BT30+BW30+BZ30+CC30+CF30+CI30+CL30+CO30+CR30+CU30+CX30+DA30+DD30+DG30+DJ30+DM30+DP30</f>
        <v>185844</v>
      </c>
      <c r="DT30" s="70" t="n">
        <f aca="false">+D30+G30+J30+M30+P30+S30+V30+Y30+AB30+AE30+AH30+AK30+AN30+AQ30+AT30+AW30+AZ30+BC30+BF30+BI30+BL30+BO30+BR30+BU30+BX30+CA30+CD30+CG30+CJ30+CM30+CP30+CS30+CV30+CY30+DB30+DE30+DH30+DK30+DN30+DQ30</f>
        <v>184597</v>
      </c>
      <c r="DU30" s="70" t="n">
        <f aca="false">DT30-DS30</f>
        <v>-1247</v>
      </c>
      <c r="DV30" s="75"/>
      <c r="DW30" s="74"/>
      <c r="DX30" s="74"/>
      <c r="DY30" s="75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</row>
    <row r="31" customFormat="false" ht="12.75" hidden="false" customHeight="false" outlineLevel="0" collapsed="false">
      <c r="A31" s="69" t="n">
        <f aca="false">A30+1</f>
        <v>36703</v>
      </c>
      <c r="B31" s="69" t="s">
        <v>117</v>
      </c>
      <c r="C31" s="22" t="n">
        <v>4178</v>
      </c>
      <c r="D31" s="22" t="n">
        <v>4178</v>
      </c>
      <c r="E31" s="70" t="n">
        <f aca="false">D31-C31</f>
        <v>0</v>
      </c>
      <c r="F31" s="22" t="n">
        <v>5000</v>
      </c>
      <c r="G31" s="22" t="n">
        <v>5000</v>
      </c>
      <c r="H31" s="70" t="n">
        <f aca="false">G31-F31</f>
        <v>0</v>
      </c>
      <c r="I31" s="22" t="n">
        <v>4666</v>
      </c>
      <c r="J31" s="22" t="n">
        <v>4666</v>
      </c>
      <c r="K31" s="70" t="n">
        <f aca="false">J31-I31</f>
        <v>0</v>
      </c>
      <c r="L31" s="22" t="n">
        <v>16000</v>
      </c>
      <c r="M31" s="22" t="n">
        <f aca="false">16000+2755</f>
        <v>18755</v>
      </c>
      <c r="N31" s="70" t="n">
        <f aca="false">M31-L31</f>
        <v>2755</v>
      </c>
      <c r="O31" s="22" t="n">
        <v>10000</v>
      </c>
      <c r="P31" s="22" t="n">
        <v>10000</v>
      </c>
      <c r="Q31" s="70" t="n">
        <f aca="false">P31-O31</f>
        <v>0</v>
      </c>
      <c r="R31" s="22" t="n">
        <v>20000</v>
      </c>
      <c r="S31" s="22" t="n">
        <v>20000</v>
      </c>
      <c r="T31" s="70" t="n">
        <f aca="false">S31-R31</f>
        <v>0</v>
      </c>
      <c r="U31" s="22" t="n">
        <v>10000</v>
      </c>
      <c r="V31" s="22" t="n">
        <v>10000</v>
      </c>
      <c r="W31" s="70" t="n">
        <f aca="false">V31-U31</f>
        <v>0</v>
      </c>
      <c r="X31" s="22" t="n">
        <v>5000</v>
      </c>
      <c r="Y31" s="22" t="n">
        <v>5000</v>
      </c>
      <c r="Z31" s="70" t="n">
        <f aca="false">Y31-X31</f>
        <v>0</v>
      </c>
      <c r="AA31" s="22" t="n">
        <v>5000</v>
      </c>
      <c r="AB31" s="22" t="n">
        <v>5000</v>
      </c>
      <c r="AC31" s="70" t="n">
        <f aca="false">AB31-AA31</f>
        <v>0</v>
      </c>
      <c r="AD31" s="22" t="n">
        <f aca="false">10000+5000</f>
        <v>15000</v>
      </c>
      <c r="AE31" s="22" t="n">
        <f aca="false">10000+2816</f>
        <v>12816</v>
      </c>
      <c r="AF31" s="70" t="n">
        <f aca="false">AE31-AD31</f>
        <v>-2184</v>
      </c>
      <c r="AG31" s="22" t="n">
        <v>10000</v>
      </c>
      <c r="AH31" s="22" t="n">
        <v>10000</v>
      </c>
      <c r="AI31" s="70" t="n">
        <f aca="false">AH31-AG31</f>
        <v>0</v>
      </c>
      <c r="AJ31" s="22" t="n">
        <v>10000</v>
      </c>
      <c r="AK31" s="22" t="n">
        <v>10000</v>
      </c>
      <c r="AL31" s="70" t="n">
        <f aca="false">AK31-AJ31</f>
        <v>0</v>
      </c>
      <c r="AM31" s="22" t="n">
        <v>10000</v>
      </c>
      <c r="AN31" s="22" t="n">
        <v>10000</v>
      </c>
      <c r="AO31" s="70" t="n">
        <f aca="false">AN31-AM31</f>
        <v>0</v>
      </c>
      <c r="AP31" s="22" t="n">
        <v>5000</v>
      </c>
      <c r="AQ31" s="22" t="n">
        <v>5000</v>
      </c>
      <c r="AR31" s="70" t="n">
        <f aca="false">AQ31-AP31</f>
        <v>0</v>
      </c>
      <c r="AS31" s="22" t="n">
        <v>20000</v>
      </c>
      <c r="AT31" s="22" t="n">
        <v>20000</v>
      </c>
      <c r="AU31" s="70" t="n">
        <f aca="false">AT31-AS31</f>
        <v>0</v>
      </c>
      <c r="AV31" s="22" t="n">
        <v>20000</v>
      </c>
      <c r="AW31" s="22" t="n">
        <v>20000</v>
      </c>
      <c r="AX31" s="70" t="n">
        <f aca="false">AW31-AV31</f>
        <v>0</v>
      </c>
      <c r="AY31" s="22" t="n">
        <v>6000</v>
      </c>
      <c r="AZ31" s="22" t="n">
        <v>6000</v>
      </c>
      <c r="BA31" s="70" t="n">
        <f aca="false">AZ31-AY31</f>
        <v>0</v>
      </c>
      <c r="BB31" s="22" t="n">
        <v>5000</v>
      </c>
      <c r="BC31" s="22" t="n">
        <v>2816</v>
      </c>
      <c r="BD31" s="70" t="n">
        <f aca="false">BC31-BB31</f>
        <v>-2184</v>
      </c>
      <c r="BE31" s="22" t="n">
        <v>5000</v>
      </c>
      <c r="BF31" s="22" t="n">
        <v>5000</v>
      </c>
      <c r="BG31" s="70" t="n">
        <f aca="false">BF31-BE31</f>
        <v>0</v>
      </c>
      <c r="BH31" s="22"/>
      <c r="BI31" s="22"/>
      <c r="BJ31" s="70" t="n">
        <f aca="false">BI31-BH31</f>
        <v>0</v>
      </c>
      <c r="BK31" s="22"/>
      <c r="BL31" s="22"/>
      <c r="BM31" s="70" t="n">
        <f aca="false">BL31-BK31</f>
        <v>0</v>
      </c>
      <c r="BN31" s="22"/>
      <c r="BO31" s="22"/>
      <c r="BP31" s="70" t="n">
        <f aca="false">BO31-BN31</f>
        <v>0</v>
      </c>
      <c r="BQ31" s="22"/>
      <c r="BR31" s="22"/>
      <c r="BS31" s="70" t="n">
        <f aca="false">BR31-BQ31</f>
        <v>0</v>
      </c>
      <c r="BT31" s="22"/>
      <c r="BU31" s="22"/>
      <c r="BV31" s="70" t="n">
        <f aca="false">BU31-BT31</f>
        <v>0</v>
      </c>
      <c r="BW31" s="22"/>
      <c r="BX31" s="22"/>
      <c r="BY31" s="70" t="n">
        <f aca="false">BX31-BW31</f>
        <v>0</v>
      </c>
      <c r="BZ31" s="22"/>
      <c r="CA31" s="22"/>
      <c r="CB31" s="70" t="n">
        <f aca="false">CA31-BZ31</f>
        <v>0</v>
      </c>
      <c r="CC31" s="22"/>
      <c r="CD31" s="22"/>
      <c r="CE31" s="70" t="n">
        <f aca="false">CD31-CC31</f>
        <v>0</v>
      </c>
      <c r="CF31" s="22"/>
      <c r="CG31" s="22"/>
      <c r="CH31" s="70" t="n">
        <f aca="false">CG31-CF31</f>
        <v>0</v>
      </c>
      <c r="CI31" s="22"/>
      <c r="CJ31" s="22"/>
      <c r="CK31" s="70" t="n">
        <f aca="false">CJ31-CI31</f>
        <v>0</v>
      </c>
      <c r="CL31" s="22"/>
      <c r="CM31" s="22"/>
      <c r="CN31" s="70" t="n">
        <f aca="false">CM31-CL31</f>
        <v>0</v>
      </c>
      <c r="CO31" s="22"/>
      <c r="CP31" s="22"/>
      <c r="CQ31" s="70" t="n">
        <f aca="false">CP31-CO31</f>
        <v>0</v>
      </c>
      <c r="CR31" s="22"/>
      <c r="CS31" s="22"/>
      <c r="CT31" s="70" t="n">
        <f aca="false">CS31-CR31</f>
        <v>0</v>
      </c>
      <c r="CU31" s="22"/>
      <c r="CV31" s="22"/>
      <c r="CW31" s="70" t="n">
        <f aca="false">CV31-CU31</f>
        <v>0</v>
      </c>
      <c r="CX31" s="22"/>
      <c r="CY31" s="22"/>
      <c r="CZ31" s="70" t="n">
        <f aca="false">CY31-CX31</f>
        <v>0</v>
      </c>
      <c r="DA31" s="22"/>
      <c r="DB31" s="22"/>
      <c r="DC31" s="70" t="n">
        <f aca="false">DB31-DA31</f>
        <v>0</v>
      </c>
      <c r="DD31" s="22"/>
      <c r="DE31" s="22"/>
      <c r="DF31" s="70" t="n">
        <f aca="false">DE31-DD31</f>
        <v>0</v>
      </c>
      <c r="DG31" s="22"/>
      <c r="DH31" s="22"/>
      <c r="DI31" s="70" t="n">
        <f aca="false">DH31-DG31</f>
        <v>0</v>
      </c>
      <c r="DJ31" s="22"/>
      <c r="DK31" s="22"/>
      <c r="DL31" s="70" t="n">
        <f aca="false">DK31-DJ31</f>
        <v>0</v>
      </c>
      <c r="DM31" s="22"/>
      <c r="DN31" s="22"/>
      <c r="DO31" s="70" t="n">
        <f aca="false">DN31-DM31</f>
        <v>0</v>
      </c>
      <c r="DP31" s="22"/>
      <c r="DQ31" s="22"/>
      <c r="DR31" s="70" t="n">
        <f aca="false">DQ31-DP31</f>
        <v>0</v>
      </c>
      <c r="DS31" s="70" t="n">
        <f aca="false">+C31+F31+I31+L31+O31+R31+U31+X31+AA31+AD31+AG31+AJ31+AM31+AP31+AS31+AV31+AY31+BB31+BE31+BH31+BK31+BN31+BQ31+BT31+BW31+BZ31+CC31+CF31+CI31+CL31+CO31+CR31+CU31+CX31+DA31+DD31+DG31+DJ31+DM31+DP31</f>
        <v>185844</v>
      </c>
      <c r="DT31" s="70" t="n">
        <f aca="false">+D31+G31+J31+M31+P31+S31+V31+Y31+AB31+AE31+AH31+AK31+AN31+AQ31+AT31+AW31+AZ31+BC31+BF31+BI31+BL31+BO31+BR31+BU31+BX31+CA31+CD31+CG31+CJ31+CM31+CP31+CS31+CV31+CY31+DB31+DE31+DH31+DK31+DN31+DQ31</f>
        <v>184231</v>
      </c>
      <c r="DU31" s="70" t="n">
        <f aca="false">DT31-DS31</f>
        <v>-1613</v>
      </c>
      <c r="DV31" s="75"/>
      <c r="DW31" s="74"/>
      <c r="DX31" s="74"/>
      <c r="DY31" s="75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</row>
    <row r="32" customFormat="false" ht="12.75" hidden="false" customHeight="false" outlineLevel="0" collapsed="false">
      <c r="A32" s="69" t="n">
        <f aca="false">A31+1</f>
        <v>36704</v>
      </c>
      <c r="B32" s="69" t="s">
        <v>118</v>
      </c>
      <c r="C32" s="22" t="n">
        <v>4178</v>
      </c>
      <c r="D32" s="22" t="n">
        <v>4178</v>
      </c>
      <c r="E32" s="70" t="n">
        <f aca="false">D32-C32</f>
        <v>0</v>
      </c>
      <c r="F32" s="22" t="n">
        <v>5000</v>
      </c>
      <c r="G32" s="22" t="n">
        <v>5000</v>
      </c>
      <c r="H32" s="70" t="n">
        <f aca="false">G32-F32</f>
        <v>0</v>
      </c>
      <c r="I32" s="22" t="n">
        <v>4666</v>
      </c>
      <c r="J32" s="22" t="n">
        <v>4666</v>
      </c>
      <c r="K32" s="70" t="n">
        <f aca="false">J32-I32</f>
        <v>0</v>
      </c>
      <c r="L32" s="22" t="n">
        <v>16000</v>
      </c>
      <c r="M32" s="22" t="n">
        <f aca="false">16000+2755</f>
        <v>18755</v>
      </c>
      <c r="N32" s="70" t="n">
        <f aca="false">M32-L32</f>
        <v>2755</v>
      </c>
      <c r="O32" s="22" t="n">
        <v>10000</v>
      </c>
      <c r="P32" s="22" t="n">
        <v>10000</v>
      </c>
      <c r="Q32" s="70" t="n">
        <f aca="false">P32-O32</f>
        <v>0</v>
      </c>
      <c r="R32" s="22" t="n">
        <v>20000</v>
      </c>
      <c r="S32" s="22" t="n">
        <v>20000</v>
      </c>
      <c r="T32" s="70" t="n">
        <f aca="false">S32-R32</f>
        <v>0</v>
      </c>
      <c r="U32" s="22" t="n">
        <v>10000</v>
      </c>
      <c r="V32" s="22" t="n">
        <v>10000</v>
      </c>
      <c r="W32" s="70" t="n">
        <f aca="false">V32-U32</f>
        <v>0</v>
      </c>
      <c r="X32" s="22" t="n">
        <v>5000</v>
      </c>
      <c r="Y32" s="22" t="n">
        <v>5000</v>
      </c>
      <c r="Z32" s="70" t="n">
        <f aca="false">Y32-X32</f>
        <v>0</v>
      </c>
      <c r="AA32" s="22" t="n">
        <v>5000</v>
      </c>
      <c r="AB32" s="22" t="n">
        <v>5000</v>
      </c>
      <c r="AC32" s="70" t="n">
        <f aca="false">AB32-AA32</f>
        <v>0</v>
      </c>
      <c r="AD32" s="22" t="n">
        <f aca="false">10000+5000</f>
        <v>15000</v>
      </c>
      <c r="AE32" s="22" t="n">
        <f aca="false">10000+2725</f>
        <v>12725</v>
      </c>
      <c r="AF32" s="70" t="n">
        <f aca="false">AE32-AD32</f>
        <v>-2275</v>
      </c>
      <c r="AG32" s="22" t="n">
        <v>10000</v>
      </c>
      <c r="AH32" s="22" t="n">
        <v>10000</v>
      </c>
      <c r="AI32" s="70" t="n">
        <f aca="false">AH32-AG32</f>
        <v>0</v>
      </c>
      <c r="AJ32" s="22" t="n">
        <v>10000</v>
      </c>
      <c r="AK32" s="22" t="n">
        <v>10000</v>
      </c>
      <c r="AL32" s="70" t="n">
        <f aca="false">AK32-AJ32</f>
        <v>0</v>
      </c>
      <c r="AM32" s="22" t="n">
        <v>10000</v>
      </c>
      <c r="AN32" s="22" t="n">
        <v>10000</v>
      </c>
      <c r="AO32" s="70" t="n">
        <f aca="false">AN32-AM32</f>
        <v>0</v>
      </c>
      <c r="AP32" s="22" t="n">
        <v>5000</v>
      </c>
      <c r="AQ32" s="22" t="n">
        <v>5000</v>
      </c>
      <c r="AR32" s="70" t="n">
        <f aca="false">AQ32-AP32</f>
        <v>0</v>
      </c>
      <c r="AS32" s="22" t="n">
        <v>20000</v>
      </c>
      <c r="AT32" s="22" t="n">
        <v>20000</v>
      </c>
      <c r="AU32" s="70" t="n">
        <f aca="false">AT32-AS32</f>
        <v>0</v>
      </c>
      <c r="AV32" s="22" t="n">
        <v>20000</v>
      </c>
      <c r="AW32" s="22" t="n">
        <v>20000</v>
      </c>
      <c r="AX32" s="70" t="n">
        <f aca="false">AW32-AV32</f>
        <v>0</v>
      </c>
      <c r="AY32" s="22" t="n">
        <v>6000</v>
      </c>
      <c r="AZ32" s="22" t="n">
        <v>6000</v>
      </c>
      <c r="BA32" s="70" t="n">
        <f aca="false">AZ32-AY32</f>
        <v>0</v>
      </c>
      <c r="BB32" s="22" t="n">
        <v>5000</v>
      </c>
      <c r="BC32" s="22" t="n">
        <v>2725</v>
      </c>
      <c r="BD32" s="70" t="n">
        <f aca="false">BC32-BB32</f>
        <v>-2275</v>
      </c>
      <c r="BE32" s="22" t="n">
        <v>5000</v>
      </c>
      <c r="BF32" s="22" t="n">
        <v>5000</v>
      </c>
      <c r="BG32" s="70" t="n">
        <f aca="false">BF32-BE32</f>
        <v>0</v>
      </c>
      <c r="BH32" s="22"/>
      <c r="BI32" s="22"/>
      <c r="BJ32" s="70" t="n">
        <f aca="false">BI32-BH32</f>
        <v>0</v>
      </c>
      <c r="BK32" s="22"/>
      <c r="BL32" s="22"/>
      <c r="BM32" s="70" t="n">
        <f aca="false">BL32-BK32</f>
        <v>0</v>
      </c>
      <c r="BN32" s="22"/>
      <c r="BO32" s="22"/>
      <c r="BP32" s="70" t="n">
        <f aca="false">BO32-BN32</f>
        <v>0</v>
      </c>
      <c r="BQ32" s="22"/>
      <c r="BR32" s="22"/>
      <c r="BS32" s="70" t="n">
        <f aca="false">BR32-BQ32</f>
        <v>0</v>
      </c>
      <c r="BT32" s="22"/>
      <c r="BU32" s="22"/>
      <c r="BV32" s="70" t="n">
        <f aca="false">BU32-BT32</f>
        <v>0</v>
      </c>
      <c r="BW32" s="22"/>
      <c r="BX32" s="22"/>
      <c r="BY32" s="70" t="n">
        <f aca="false">BX32-BW32</f>
        <v>0</v>
      </c>
      <c r="BZ32" s="22"/>
      <c r="CA32" s="22"/>
      <c r="CB32" s="70" t="n">
        <f aca="false">CA32-BZ32</f>
        <v>0</v>
      </c>
      <c r="CC32" s="22"/>
      <c r="CD32" s="22"/>
      <c r="CE32" s="70" t="n">
        <f aca="false">CD32-CC32</f>
        <v>0</v>
      </c>
      <c r="CF32" s="22"/>
      <c r="CG32" s="22"/>
      <c r="CH32" s="70" t="n">
        <f aca="false">CG32-CF32</f>
        <v>0</v>
      </c>
      <c r="CI32" s="22"/>
      <c r="CJ32" s="22"/>
      <c r="CK32" s="70" t="n">
        <f aca="false">CJ32-CI32</f>
        <v>0</v>
      </c>
      <c r="CL32" s="22"/>
      <c r="CM32" s="22"/>
      <c r="CN32" s="70" t="n">
        <f aca="false">CM32-CL32</f>
        <v>0</v>
      </c>
      <c r="CO32" s="22"/>
      <c r="CP32" s="22"/>
      <c r="CQ32" s="70" t="n">
        <f aca="false">CP32-CO32</f>
        <v>0</v>
      </c>
      <c r="CR32" s="22"/>
      <c r="CS32" s="22"/>
      <c r="CT32" s="70" t="n">
        <f aca="false">CS32-CR32</f>
        <v>0</v>
      </c>
      <c r="CU32" s="22"/>
      <c r="CV32" s="22"/>
      <c r="CW32" s="70" t="n">
        <f aca="false">CV32-CU32</f>
        <v>0</v>
      </c>
      <c r="CX32" s="22"/>
      <c r="CY32" s="22"/>
      <c r="CZ32" s="70" t="n">
        <f aca="false">CY32-CX32</f>
        <v>0</v>
      </c>
      <c r="DA32" s="22"/>
      <c r="DB32" s="22"/>
      <c r="DC32" s="70" t="n">
        <f aca="false">DB32-DA32</f>
        <v>0</v>
      </c>
      <c r="DD32" s="22"/>
      <c r="DE32" s="22"/>
      <c r="DF32" s="70" t="n">
        <f aca="false">DE32-DD32</f>
        <v>0</v>
      </c>
      <c r="DG32" s="22"/>
      <c r="DH32" s="22"/>
      <c r="DI32" s="70" t="n">
        <f aca="false">DH32-DG32</f>
        <v>0</v>
      </c>
      <c r="DJ32" s="22"/>
      <c r="DK32" s="22"/>
      <c r="DL32" s="70" t="n">
        <f aca="false">DK32-DJ32</f>
        <v>0</v>
      </c>
      <c r="DM32" s="22"/>
      <c r="DN32" s="22"/>
      <c r="DO32" s="70" t="n">
        <f aca="false">DN32-DM32</f>
        <v>0</v>
      </c>
      <c r="DP32" s="22"/>
      <c r="DQ32" s="22"/>
      <c r="DR32" s="70" t="n">
        <f aca="false">DQ32-DP32</f>
        <v>0</v>
      </c>
      <c r="DS32" s="70" t="n">
        <f aca="false">+C32+F32+I32+L32+O32+R32+U32+X32+AA32+AD32+AG32+AJ32+AM32+AP32+AS32+AV32+AY32+BB32+BE32+BH32+BK32+BN32+BQ32+BT32+BW32+BZ32+CC32+CF32+CI32+CL32+CO32+CR32+CU32+CX32+DA32+DD32+DG32+DJ32+DM32+DP32</f>
        <v>185844</v>
      </c>
      <c r="DT32" s="70" t="n">
        <f aca="false">+D32+G32+J32+M32+P32+S32+V32+Y32+AB32+AE32+AH32+AK32+AN32+AQ32+AT32+AW32+AZ32+BC32+BF32+BI32+BL32+BO32+BR32+BU32+BX32+CA32+CD32+CG32+CJ32+CM32+CP32+CS32+CV32+CY32+DB32+DE32+DH32+DK32+DN32+DQ32</f>
        <v>184049</v>
      </c>
      <c r="DU32" s="70" t="n">
        <f aca="false">DT32-DS32</f>
        <v>-1795</v>
      </c>
      <c r="DV32" s="75"/>
      <c r="DW32" s="74"/>
      <c r="DX32" s="74"/>
      <c r="DY32" s="75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</row>
    <row r="33" customFormat="false" ht="12.75" hidden="false" customHeight="false" outlineLevel="0" collapsed="false">
      <c r="A33" s="69" t="n">
        <f aca="false">A32+1</f>
        <v>36705</v>
      </c>
      <c r="B33" s="69" t="s">
        <v>119</v>
      </c>
      <c r="C33" s="22" t="n">
        <v>4178</v>
      </c>
      <c r="D33" s="22" t="n">
        <v>4178</v>
      </c>
      <c r="E33" s="70" t="n">
        <f aca="false">D33-C33</f>
        <v>0</v>
      </c>
      <c r="F33" s="22" t="n">
        <v>5000</v>
      </c>
      <c r="G33" s="22" t="n">
        <v>5000</v>
      </c>
      <c r="H33" s="70" t="n">
        <f aca="false">G33-F33</f>
        <v>0</v>
      </c>
      <c r="I33" s="22" t="n">
        <v>4666</v>
      </c>
      <c r="J33" s="22" t="n">
        <v>4666</v>
      </c>
      <c r="K33" s="70" t="n">
        <f aca="false">J33-I33</f>
        <v>0</v>
      </c>
      <c r="L33" s="22" t="n">
        <v>16000</v>
      </c>
      <c r="M33" s="22" t="n">
        <f aca="false">16000+2755</f>
        <v>18755</v>
      </c>
      <c r="N33" s="70" t="n">
        <f aca="false">M33-L33</f>
        <v>2755</v>
      </c>
      <c r="O33" s="22" t="n">
        <v>10000</v>
      </c>
      <c r="P33" s="22" t="n">
        <v>10000</v>
      </c>
      <c r="Q33" s="70" t="n">
        <f aca="false">P33-O33</f>
        <v>0</v>
      </c>
      <c r="R33" s="22" t="n">
        <v>20000</v>
      </c>
      <c r="S33" s="22" t="n">
        <v>20000</v>
      </c>
      <c r="T33" s="70" t="n">
        <f aca="false">S33-R33</f>
        <v>0</v>
      </c>
      <c r="U33" s="22" t="n">
        <v>10000</v>
      </c>
      <c r="V33" s="22" t="n">
        <v>10000</v>
      </c>
      <c r="W33" s="70" t="n">
        <f aca="false">V33-U33</f>
        <v>0</v>
      </c>
      <c r="X33" s="22" t="n">
        <v>5000</v>
      </c>
      <c r="Y33" s="22" t="n">
        <v>5000</v>
      </c>
      <c r="Z33" s="70" t="n">
        <f aca="false">Y33-X33</f>
        <v>0</v>
      </c>
      <c r="AA33" s="22" t="n">
        <v>5000</v>
      </c>
      <c r="AB33" s="22" t="n">
        <v>5000</v>
      </c>
      <c r="AC33" s="70" t="n">
        <f aca="false">AB33-AA33</f>
        <v>0</v>
      </c>
      <c r="AD33" s="22" t="n">
        <f aca="false">10000+5000</f>
        <v>15000</v>
      </c>
      <c r="AE33" s="22" t="n">
        <f aca="false">10000+2202+1534</f>
        <v>13736</v>
      </c>
      <c r="AF33" s="70" t="n">
        <f aca="false">AE33-AD33</f>
        <v>-1264</v>
      </c>
      <c r="AG33" s="22" t="n">
        <v>10000</v>
      </c>
      <c r="AH33" s="22" t="n">
        <v>10000</v>
      </c>
      <c r="AI33" s="70" t="n">
        <f aca="false">AH33-AG33</f>
        <v>0</v>
      </c>
      <c r="AJ33" s="22" t="n">
        <v>10000</v>
      </c>
      <c r="AK33" s="22" t="n">
        <v>10000</v>
      </c>
      <c r="AL33" s="70" t="n">
        <f aca="false">AK33-AJ33</f>
        <v>0</v>
      </c>
      <c r="AM33" s="22" t="n">
        <v>10000</v>
      </c>
      <c r="AN33" s="22" t="n">
        <v>10000</v>
      </c>
      <c r="AO33" s="70" t="n">
        <f aca="false">AN33-AM33</f>
        <v>0</v>
      </c>
      <c r="AP33" s="22" t="n">
        <v>5000</v>
      </c>
      <c r="AQ33" s="22" t="n">
        <v>5000</v>
      </c>
      <c r="AR33" s="70" t="n">
        <f aca="false">AQ33-AP33</f>
        <v>0</v>
      </c>
      <c r="AS33" s="22" t="n">
        <v>20000</v>
      </c>
      <c r="AT33" s="22" t="n">
        <v>20000</v>
      </c>
      <c r="AU33" s="70" t="n">
        <f aca="false">AT33-AS33</f>
        <v>0</v>
      </c>
      <c r="AV33" s="22" t="n">
        <v>20000</v>
      </c>
      <c r="AW33" s="22" t="n">
        <v>20000</v>
      </c>
      <c r="AX33" s="70" t="n">
        <f aca="false">AW33-AV33</f>
        <v>0</v>
      </c>
      <c r="AY33" s="22" t="n">
        <v>6000</v>
      </c>
      <c r="AZ33" s="22" t="n">
        <v>6000</v>
      </c>
      <c r="BA33" s="70" t="n">
        <f aca="false">AZ33-AY33</f>
        <v>0</v>
      </c>
      <c r="BB33" s="22" t="n">
        <v>5000</v>
      </c>
      <c r="BC33" s="22" t="n">
        <f aca="false">2597+1318</f>
        <v>3915</v>
      </c>
      <c r="BD33" s="70" t="n">
        <f aca="false">BC33-BB33</f>
        <v>-1085</v>
      </c>
      <c r="BE33" s="22" t="n">
        <v>5000</v>
      </c>
      <c r="BF33" s="22" t="n">
        <v>5000</v>
      </c>
      <c r="BG33" s="70" t="n">
        <f aca="false">BF33-BE33</f>
        <v>0</v>
      </c>
      <c r="BH33" s="22"/>
      <c r="BI33" s="22"/>
      <c r="BJ33" s="70" t="n">
        <f aca="false">BI33-BH33</f>
        <v>0</v>
      </c>
      <c r="BK33" s="22"/>
      <c r="BL33" s="22"/>
      <c r="BM33" s="70" t="n">
        <f aca="false">BL33-BK33</f>
        <v>0</v>
      </c>
      <c r="BN33" s="22"/>
      <c r="BO33" s="22"/>
      <c r="BP33" s="70" t="n">
        <f aca="false">BO33-BN33</f>
        <v>0</v>
      </c>
      <c r="BQ33" s="22"/>
      <c r="BR33" s="22"/>
      <c r="BS33" s="70" t="n">
        <f aca="false">BR33-BQ33</f>
        <v>0</v>
      </c>
      <c r="BT33" s="22"/>
      <c r="BU33" s="22"/>
      <c r="BV33" s="70" t="n">
        <f aca="false">BU33-BT33</f>
        <v>0</v>
      </c>
      <c r="BW33" s="22"/>
      <c r="BX33" s="22"/>
      <c r="BY33" s="70" t="n">
        <f aca="false">BX33-BW33</f>
        <v>0</v>
      </c>
      <c r="BZ33" s="22"/>
      <c r="CA33" s="22"/>
      <c r="CB33" s="70" t="n">
        <f aca="false">CA33-BZ33</f>
        <v>0</v>
      </c>
      <c r="CC33" s="22"/>
      <c r="CD33" s="22"/>
      <c r="CE33" s="70" t="n">
        <f aca="false">CD33-CC33</f>
        <v>0</v>
      </c>
      <c r="CF33" s="22"/>
      <c r="CG33" s="22"/>
      <c r="CH33" s="70" t="n">
        <f aca="false">CG33-CF33</f>
        <v>0</v>
      </c>
      <c r="CI33" s="22"/>
      <c r="CJ33" s="22"/>
      <c r="CK33" s="70" t="n">
        <f aca="false">CJ33-CI33</f>
        <v>0</v>
      </c>
      <c r="CL33" s="22"/>
      <c r="CM33" s="22"/>
      <c r="CN33" s="70" t="n">
        <f aca="false">CM33-CL33</f>
        <v>0</v>
      </c>
      <c r="CO33" s="22"/>
      <c r="CP33" s="22"/>
      <c r="CQ33" s="70" t="n">
        <f aca="false">CP33-CO33</f>
        <v>0</v>
      </c>
      <c r="CR33" s="22"/>
      <c r="CS33" s="22"/>
      <c r="CT33" s="70" t="n">
        <f aca="false">CS33-CR33</f>
        <v>0</v>
      </c>
      <c r="CU33" s="22"/>
      <c r="CV33" s="22"/>
      <c r="CW33" s="70" t="n">
        <f aca="false">CV33-CU33</f>
        <v>0</v>
      </c>
      <c r="CX33" s="22"/>
      <c r="CY33" s="22"/>
      <c r="CZ33" s="70" t="n">
        <f aca="false">CY33-CX33</f>
        <v>0</v>
      </c>
      <c r="DA33" s="22"/>
      <c r="DB33" s="22"/>
      <c r="DC33" s="70" t="n">
        <f aca="false">DB33-DA33</f>
        <v>0</v>
      </c>
      <c r="DD33" s="22"/>
      <c r="DE33" s="22"/>
      <c r="DF33" s="70" t="n">
        <f aca="false">DE33-DD33</f>
        <v>0</v>
      </c>
      <c r="DG33" s="22"/>
      <c r="DH33" s="22"/>
      <c r="DI33" s="70" t="n">
        <f aca="false">DH33-DG33</f>
        <v>0</v>
      </c>
      <c r="DJ33" s="22"/>
      <c r="DK33" s="22"/>
      <c r="DL33" s="70" t="n">
        <f aca="false">DK33-DJ33</f>
        <v>0</v>
      </c>
      <c r="DM33" s="22"/>
      <c r="DN33" s="22"/>
      <c r="DO33" s="70" t="n">
        <f aca="false">DN33-DM33</f>
        <v>0</v>
      </c>
      <c r="DP33" s="22"/>
      <c r="DQ33" s="22"/>
      <c r="DR33" s="70" t="n">
        <f aca="false">DQ33-DP33</f>
        <v>0</v>
      </c>
      <c r="DS33" s="70" t="n">
        <f aca="false">+C33+F33+I33+L33+O33+R33+U33+X33+AA33+AD33+AG33+AJ33+AM33+AP33+AS33+AV33+AY33+BB33+BE33+BH33+BK33+BN33+BQ33+BT33+BW33+BZ33+CC33+CF33+CI33+CL33+CO33+CR33+CU33+CX33+DA33+DD33+DG33+DJ33+DM33+DP33</f>
        <v>185844</v>
      </c>
      <c r="DT33" s="70" t="n">
        <f aca="false">+D33+G33+J33+M33+P33+S33+V33+Y33+AB33+AE33+AH33+AK33+AN33+AQ33+AT33+AW33+AZ33+BC33+BF33+BI33+BL33+BO33+BR33+BU33+BX33+CA33+CD33+CG33+CJ33+CM33+CP33+CS33+CV33+CY33+DB33+DE33+DH33+DK33+DN33+DQ33</f>
        <v>186250</v>
      </c>
      <c r="DU33" s="70" t="n">
        <f aca="false">DT33-DS33</f>
        <v>406</v>
      </c>
      <c r="DV33" s="75"/>
      <c r="DW33" s="74"/>
      <c r="DX33" s="74"/>
      <c r="DY33" s="75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</row>
    <row r="34" customFormat="false" ht="12.75" hidden="false" customHeight="false" outlineLevel="0" collapsed="false">
      <c r="A34" s="69" t="n">
        <f aca="false">A33+1</f>
        <v>36706</v>
      </c>
      <c r="B34" s="69" t="s">
        <v>113</v>
      </c>
      <c r="C34" s="22" t="n">
        <v>4178</v>
      </c>
      <c r="D34" s="22" t="n">
        <v>4178</v>
      </c>
      <c r="E34" s="70" t="n">
        <f aca="false">D34-C34</f>
        <v>0</v>
      </c>
      <c r="F34" s="22" t="n">
        <v>5000</v>
      </c>
      <c r="G34" s="22" t="n">
        <v>5000</v>
      </c>
      <c r="H34" s="70" t="n">
        <f aca="false">G34-F34</f>
        <v>0</v>
      </c>
      <c r="I34" s="22" t="n">
        <v>4666</v>
      </c>
      <c r="J34" s="22" t="n">
        <v>4666</v>
      </c>
      <c r="K34" s="70" t="n">
        <f aca="false">J34-I34</f>
        <v>0</v>
      </c>
      <c r="L34" s="22" t="n">
        <v>16000</v>
      </c>
      <c r="M34" s="22" t="n">
        <f aca="false">16000+2755</f>
        <v>18755</v>
      </c>
      <c r="N34" s="70" t="n">
        <f aca="false">M34-L34</f>
        <v>2755</v>
      </c>
      <c r="O34" s="22" t="n">
        <v>10000</v>
      </c>
      <c r="P34" s="22" t="n">
        <v>10000</v>
      </c>
      <c r="Q34" s="70" t="n">
        <f aca="false">P34-O34</f>
        <v>0</v>
      </c>
      <c r="R34" s="22" t="n">
        <v>20000</v>
      </c>
      <c r="S34" s="22" t="n">
        <v>20000</v>
      </c>
      <c r="T34" s="70" t="n">
        <f aca="false">S34-R34</f>
        <v>0</v>
      </c>
      <c r="U34" s="22" t="n">
        <v>10000</v>
      </c>
      <c r="V34" s="22" t="n">
        <v>10000</v>
      </c>
      <c r="W34" s="70" t="n">
        <f aca="false">V34-U34</f>
        <v>0</v>
      </c>
      <c r="X34" s="22" t="n">
        <v>5000</v>
      </c>
      <c r="Y34" s="22" t="n">
        <v>5000</v>
      </c>
      <c r="Z34" s="70" t="n">
        <f aca="false">Y34-X34</f>
        <v>0</v>
      </c>
      <c r="AA34" s="22" t="n">
        <v>5000</v>
      </c>
      <c r="AB34" s="22" t="n">
        <v>5000</v>
      </c>
      <c r="AC34" s="70" t="n">
        <f aca="false">AB34-AA34</f>
        <v>0</v>
      </c>
      <c r="AD34" s="22" t="n">
        <f aca="false">10000+5000</f>
        <v>15000</v>
      </c>
      <c r="AE34" s="22" t="n">
        <f aca="false">10000+5000</f>
        <v>15000</v>
      </c>
      <c r="AF34" s="70" t="n">
        <f aca="false">AE34-AD34</f>
        <v>0</v>
      </c>
      <c r="AG34" s="22" t="n">
        <v>10000</v>
      </c>
      <c r="AH34" s="22" t="n">
        <v>10000</v>
      </c>
      <c r="AI34" s="70" t="n">
        <f aca="false">AH34-AG34</f>
        <v>0</v>
      </c>
      <c r="AJ34" s="22" t="n">
        <v>10000</v>
      </c>
      <c r="AK34" s="22" t="n">
        <v>10000</v>
      </c>
      <c r="AL34" s="70" t="n">
        <f aca="false">AK34-AJ34</f>
        <v>0</v>
      </c>
      <c r="AM34" s="22" t="n">
        <v>10000</v>
      </c>
      <c r="AN34" s="22" t="n">
        <v>10000</v>
      </c>
      <c r="AO34" s="70" t="n">
        <f aca="false">AN34-AM34</f>
        <v>0</v>
      </c>
      <c r="AP34" s="22" t="n">
        <v>5000</v>
      </c>
      <c r="AQ34" s="22" t="n">
        <v>5000</v>
      </c>
      <c r="AR34" s="70" t="n">
        <f aca="false">AQ34-AP34</f>
        <v>0</v>
      </c>
      <c r="AS34" s="22" t="n">
        <v>20000</v>
      </c>
      <c r="AT34" s="22" t="n">
        <v>20000</v>
      </c>
      <c r="AU34" s="70" t="n">
        <f aca="false">AT34-AS34</f>
        <v>0</v>
      </c>
      <c r="AV34" s="22" t="n">
        <v>20000</v>
      </c>
      <c r="AW34" s="22" t="n">
        <v>20000</v>
      </c>
      <c r="AX34" s="70" t="n">
        <f aca="false">AW34-AV34</f>
        <v>0</v>
      </c>
      <c r="AY34" s="22" t="n">
        <v>6000</v>
      </c>
      <c r="AZ34" s="22" t="n">
        <v>6000</v>
      </c>
      <c r="BA34" s="70" t="n">
        <f aca="false">AZ34-AY34</f>
        <v>0</v>
      </c>
      <c r="BB34" s="22" t="n">
        <v>5000</v>
      </c>
      <c r="BC34" s="22" t="n">
        <v>5000</v>
      </c>
      <c r="BD34" s="70" t="n">
        <f aca="false">BC34-BB34</f>
        <v>0</v>
      </c>
      <c r="BE34" s="22" t="n">
        <v>5000</v>
      </c>
      <c r="BF34" s="22" t="n">
        <v>5000</v>
      </c>
      <c r="BG34" s="70" t="n">
        <f aca="false">BF34-BE34</f>
        <v>0</v>
      </c>
      <c r="BH34" s="22"/>
      <c r="BI34" s="22"/>
      <c r="BJ34" s="70" t="n">
        <f aca="false">BI34-BH34</f>
        <v>0</v>
      </c>
      <c r="BK34" s="22"/>
      <c r="BL34" s="22"/>
      <c r="BM34" s="70" t="n">
        <f aca="false">BL34-BK34</f>
        <v>0</v>
      </c>
      <c r="BN34" s="22"/>
      <c r="BO34" s="22"/>
      <c r="BP34" s="70" t="n">
        <f aca="false">BO34-BN34</f>
        <v>0</v>
      </c>
      <c r="BQ34" s="22"/>
      <c r="BR34" s="22"/>
      <c r="BS34" s="70" t="n">
        <f aca="false">BR34-BQ34</f>
        <v>0</v>
      </c>
      <c r="BT34" s="22"/>
      <c r="BU34" s="22"/>
      <c r="BV34" s="70" t="n">
        <f aca="false">BU34-BT34</f>
        <v>0</v>
      </c>
      <c r="BW34" s="22"/>
      <c r="BX34" s="22"/>
      <c r="BY34" s="70" t="n">
        <f aca="false">BX34-BW34</f>
        <v>0</v>
      </c>
      <c r="BZ34" s="22"/>
      <c r="CA34" s="22"/>
      <c r="CB34" s="70" t="n">
        <f aca="false">CA34-BZ34</f>
        <v>0</v>
      </c>
      <c r="CC34" s="22"/>
      <c r="CD34" s="22"/>
      <c r="CE34" s="70" t="n">
        <f aca="false">CD34-CC34</f>
        <v>0</v>
      </c>
      <c r="CF34" s="22"/>
      <c r="CG34" s="22"/>
      <c r="CH34" s="70" t="n">
        <f aca="false">CG34-CF34</f>
        <v>0</v>
      </c>
      <c r="CI34" s="22"/>
      <c r="CJ34" s="22"/>
      <c r="CK34" s="70" t="n">
        <f aca="false">CJ34-CI34</f>
        <v>0</v>
      </c>
      <c r="CL34" s="22"/>
      <c r="CM34" s="22"/>
      <c r="CN34" s="70" t="n">
        <f aca="false">CM34-CL34</f>
        <v>0</v>
      </c>
      <c r="CO34" s="22"/>
      <c r="CP34" s="22"/>
      <c r="CQ34" s="70" t="n">
        <f aca="false">CP34-CO34</f>
        <v>0</v>
      </c>
      <c r="CR34" s="22"/>
      <c r="CS34" s="22"/>
      <c r="CT34" s="70" t="n">
        <f aca="false">CS34-CR34</f>
        <v>0</v>
      </c>
      <c r="CU34" s="22"/>
      <c r="CV34" s="22"/>
      <c r="CW34" s="70" t="n">
        <f aca="false">CV34-CU34</f>
        <v>0</v>
      </c>
      <c r="CX34" s="22"/>
      <c r="CY34" s="22"/>
      <c r="CZ34" s="70" t="n">
        <f aca="false">CY34-CX34</f>
        <v>0</v>
      </c>
      <c r="DA34" s="22"/>
      <c r="DB34" s="22"/>
      <c r="DC34" s="70" t="n">
        <f aca="false">DB34-DA34</f>
        <v>0</v>
      </c>
      <c r="DD34" s="22"/>
      <c r="DE34" s="22"/>
      <c r="DF34" s="70" t="n">
        <f aca="false">DE34-DD34</f>
        <v>0</v>
      </c>
      <c r="DG34" s="22"/>
      <c r="DH34" s="22"/>
      <c r="DI34" s="70" t="n">
        <f aca="false">DH34-DG34</f>
        <v>0</v>
      </c>
      <c r="DJ34" s="22"/>
      <c r="DK34" s="22"/>
      <c r="DL34" s="70" t="n">
        <f aca="false">DK34-DJ34</f>
        <v>0</v>
      </c>
      <c r="DM34" s="22"/>
      <c r="DN34" s="22"/>
      <c r="DO34" s="70" t="n">
        <f aca="false">DN34-DM34</f>
        <v>0</v>
      </c>
      <c r="DP34" s="22"/>
      <c r="DQ34" s="22"/>
      <c r="DR34" s="70" t="n">
        <f aca="false">DQ34-DP34</f>
        <v>0</v>
      </c>
      <c r="DS34" s="70" t="n">
        <f aca="false">+C34+F34+I34+L34+O34+R34+U34+X34+AA34+AD34+AG34+AJ34+AM34+AP34+AS34+AV34+AY34+BB34+BE34+BH34+BK34+BN34+BQ34+BT34+BW34+BZ34+CC34+CF34+CI34+CL34+CO34+CR34+CU34+CX34+DA34+DD34+DG34+DJ34+DM34+DP34</f>
        <v>185844</v>
      </c>
      <c r="DT34" s="70" t="n">
        <f aca="false">+D34+G34+J34+M34+P34+S34+V34+Y34+AB34+AE34+AH34+AK34+AN34+AQ34+AT34+AW34+AZ34+BC34+BF34+BI34+BL34+BO34+BR34+BU34+BX34+CA34+CD34+CG34+CJ34+CM34+CP34+CS34+CV34+CY34+DB34+DE34+DH34+DK34+DN34+DQ34</f>
        <v>188599</v>
      </c>
      <c r="DU34" s="70" t="n">
        <f aca="false">DT34-DS34</f>
        <v>2755</v>
      </c>
      <c r="DV34" s="75"/>
      <c r="DW34" s="74"/>
      <c r="DX34" s="74"/>
      <c r="DY34" s="75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</row>
    <row r="35" customFormat="false" ht="12.75" hidden="false" customHeight="false" outlineLevel="0" collapsed="false">
      <c r="A35" s="69" t="n">
        <f aca="false">A34+1</f>
        <v>36707</v>
      </c>
      <c r="B35" s="69" t="s">
        <v>114</v>
      </c>
      <c r="C35" s="22" t="n">
        <v>4178</v>
      </c>
      <c r="D35" s="22" t="n">
        <v>4178</v>
      </c>
      <c r="E35" s="70" t="n">
        <f aca="false">D35-C35</f>
        <v>0</v>
      </c>
      <c r="F35" s="22" t="n">
        <v>5000</v>
      </c>
      <c r="G35" s="22" t="n">
        <v>5000</v>
      </c>
      <c r="H35" s="70" t="n">
        <f aca="false">G35-F35</f>
        <v>0</v>
      </c>
      <c r="I35" s="22" t="n">
        <v>4666</v>
      </c>
      <c r="J35" s="22" t="n">
        <v>4666</v>
      </c>
      <c r="K35" s="70" t="n">
        <f aca="false">J35-I35</f>
        <v>0</v>
      </c>
      <c r="L35" s="22" t="n">
        <v>16000</v>
      </c>
      <c r="M35" s="22" t="n">
        <f aca="false">16000+2755</f>
        <v>18755</v>
      </c>
      <c r="N35" s="70" t="n">
        <f aca="false">M35-L35</f>
        <v>2755</v>
      </c>
      <c r="O35" s="22" t="n">
        <v>10000</v>
      </c>
      <c r="P35" s="22" t="n">
        <v>10000</v>
      </c>
      <c r="Q35" s="70" t="n">
        <f aca="false">P35-O35</f>
        <v>0</v>
      </c>
      <c r="R35" s="22" t="n">
        <v>20000</v>
      </c>
      <c r="S35" s="22" t="n">
        <v>20000</v>
      </c>
      <c r="T35" s="70" t="n">
        <f aca="false">S35-R35</f>
        <v>0</v>
      </c>
      <c r="U35" s="22" t="n">
        <v>10000</v>
      </c>
      <c r="V35" s="22" t="n">
        <v>10000</v>
      </c>
      <c r="W35" s="70" t="n">
        <f aca="false">V35-U35</f>
        <v>0</v>
      </c>
      <c r="X35" s="22" t="n">
        <v>5000</v>
      </c>
      <c r="Y35" s="22" t="n">
        <v>5000</v>
      </c>
      <c r="Z35" s="70" t="n">
        <f aca="false">Y35-X35</f>
        <v>0</v>
      </c>
      <c r="AA35" s="22" t="n">
        <v>5000</v>
      </c>
      <c r="AB35" s="22" t="n">
        <v>5000</v>
      </c>
      <c r="AC35" s="70" t="n">
        <f aca="false">AB35-AA35</f>
        <v>0</v>
      </c>
      <c r="AD35" s="22" t="n">
        <f aca="false">10000+5000</f>
        <v>15000</v>
      </c>
      <c r="AE35" s="22" t="n">
        <f aca="false">10000+2740</f>
        <v>12740</v>
      </c>
      <c r="AF35" s="70" t="n">
        <f aca="false">AE35-AD35</f>
        <v>-2260</v>
      </c>
      <c r="AG35" s="22" t="n">
        <v>10000</v>
      </c>
      <c r="AH35" s="22" t="n">
        <v>10000</v>
      </c>
      <c r="AI35" s="70" t="n">
        <f aca="false">AH35-AG35</f>
        <v>0</v>
      </c>
      <c r="AJ35" s="22" t="n">
        <v>10000</v>
      </c>
      <c r="AK35" s="22" t="n">
        <v>10000</v>
      </c>
      <c r="AL35" s="70" t="n">
        <f aca="false">AK35-AJ35</f>
        <v>0</v>
      </c>
      <c r="AM35" s="22" t="n">
        <v>10000</v>
      </c>
      <c r="AN35" s="22" t="n">
        <v>10000</v>
      </c>
      <c r="AO35" s="70" t="n">
        <f aca="false">AN35-AM35</f>
        <v>0</v>
      </c>
      <c r="AP35" s="22" t="n">
        <v>5000</v>
      </c>
      <c r="AQ35" s="22" t="n">
        <v>5000</v>
      </c>
      <c r="AR35" s="70" t="n">
        <f aca="false">AQ35-AP35</f>
        <v>0</v>
      </c>
      <c r="AS35" s="22" t="n">
        <v>20000</v>
      </c>
      <c r="AT35" s="22" t="n">
        <v>20000</v>
      </c>
      <c r="AU35" s="70" t="n">
        <f aca="false">AT35-AS35</f>
        <v>0</v>
      </c>
      <c r="AV35" s="22" t="n">
        <v>20000</v>
      </c>
      <c r="AW35" s="22" t="n">
        <v>20000</v>
      </c>
      <c r="AX35" s="70" t="n">
        <f aca="false">AW35-AV35</f>
        <v>0</v>
      </c>
      <c r="AY35" s="22" t="n">
        <v>6000</v>
      </c>
      <c r="AZ35" s="22" t="n">
        <v>3307</v>
      </c>
      <c r="BA35" s="70" t="n">
        <f aca="false">AZ35-AY35</f>
        <v>-2693</v>
      </c>
      <c r="BB35" s="22" t="n">
        <v>5000</v>
      </c>
      <c r="BC35" s="22" t="n">
        <v>2740</v>
      </c>
      <c r="BD35" s="70" t="n">
        <f aca="false">BC35-BB35</f>
        <v>-2260</v>
      </c>
      <c r="BE35" s="22" t="n">
        <v>5000</v>
      </c>
      <c r="BF35" s="22" t="n">
        <v>5000</v>
      </c>
      <c r="BG35" s="70" t="n">
        <f aca="false">BF35-BE35</f>
        <v>0</v>
      </c>
      <c r="BH35" s="22"/>
      <c r="BI35" s="22"/>
      <c r="BJ35" s="70" t="n">
        <f aca="false">BI35-BH35</f>
        <v>0</v>
      </c>
      <c r="BK35" s="22"/>
      <c r="BL35" s="22"/>
      <c r="BM35" s="70" t="n">
        <f aca="false">BL35-BK35</f>
        <v>0</v>
      </c>
      <c r="BN35" s="22"/>
      <c r="BO35" s="22"/>
      <c r="BP35" s="70" t="n">
        <f aca="false">BO35-BN35</f>
        <v>0</v>
      </c>
      <c r="BQ35" s="22"/>
      <c r="BR35" s="22"/>
      <c r="BS35" s="70" t="n">
        <f aca="false">BR35-BQ35</f>
        <v>0</v>
      </c>
      <c r="BT35" s="22"/>
      <c r="BU35" s="22"/>
      <c r="BV35" s="70" t="n">
        <f aca="false">BU35-BT35</f>
        <v>0</v>
      </c>
      <c r="BW35" s="22"/>
      <c r="BX35" s="22"/>
      <c r="BY35" s="70" t="n">
        <f aca="false">BX35-BW35</f>
        <v>0</v>
      </c>
      <c r="BZ35" s="22"/>
      <c r="CA35" s="22"/>
      <c r="CB35" s="70" t="n">
        <f aca="false">CA35-BZ35</f>
        <v>0</v>
      </c>
      <c r="CC35" s="22"/>
      <c r="CD35" s="22"/>
      <c r="CE35" s="70" t="n">
        <f aca="false">CD35-CC35</f>
        <v>0</v>
      </c>
      <c r="CF35" s="22"/>
      <c r="CG35" s="22"/>
      <c r="CH35" s="70" t="n">
        <f aca="false">CG35-CF35</f>
        <v>0</v>
      </c>
      <c r="CI35" s="22"/>
      <c r="CJ35" s="22"/>
      <c r="CK35" s="70" t="n">
        <f aca="false">CJ35-CI35</f>
        <v>0</v>
      </c>
      <c r="CL35" s="22"/>
      <c r="CM35" s="22"/>
      <c r="CN35" s="70" t="n">
        <f aca="false">CM35-CL35</f>
        <v>0</v>
      </c>
      <c r="CO35" s="22"/>
      <c r="CP35" s="22"/>
      <c r="CQ35" s="70" t="n">
        <f aca="false">CP35-CO35</f>
        <v>0</v>
      </c>
      <c r="CR35" s="22"/>
      <c r="CS35" s="22"/>
      <c r="CT35" s="70" t="n">
        <f aca="false">CS35-CR35</f>
        <v>0</v>
      </c>
      <c r="CU35" s="22"/>
      <c r="CV35" s="22"/>
      <c r="CW35" s="70" t="n">
        <f aca="false">CV35-CU35</f>
        <v>0</v>
      </c>
      <c r="CX35" s="22"/>
      <c r="CY35" s="22"/>
      <c r="CZ35" s="70" t="n">
        <f aca="false">CY35-CX35</f>
        <v>0</v>
      </c>
      <c r="DA35" s="22"/>
      <c r="DB35" s="22"/>
      <c r="DC35" s="70" t="n">
        <f aca="false">DB35-DA35</f>
        <v>0</v>
      </c>
      <c r="DD35" s="22"/>
      <c r="DE35" s="22"/>
      <c r="DF35" s="70" t="n">
        <f aca="false">DE35-DD35</f>
        <v>0</v>
      </c>
      <c r="DG35" s="22"/>
      <c r="DH35" s="22"/>
      <c r="DI35" s="70" t="n">
        <f aca="false">DH35-DG35</f>
        <v>0</v>
      </c>
      <c r="DJ35" s="22"/>
      <c r="DK35" s="22"/>
      <c r="DL35" s="70" t="n">
        <f aca="false">DK35-DJ35</f>
        <v>0</v>
      </c>
      <c r="DM35" s="22"/>
      <c r="DN35" s="22"/>
      <c r="DO35" s="70" t="n">
        <f aca="false">DN35-DM35</f>
        <v>0</v>
      </c>
      <c r="DP35" s="22"/>
      <c r="DQ35" s="22"/>
      <c r="DR35" s="70" t="n">
        <f aca="false">DQ35-DP35</f>
        <v>0</v>
      </c>
      <c r="DS35" s="70" t="n">
        <f aca="false">+C35+F35+I35+L35+O35+R35+U35+X35+AA35+AD35+AG35+AJ35+AM35+AP35+AS35+AV35+AY35+BB35+BE35+BH35+BK35+BN35+BQ35+BT35+BW35+BZ35+CC35+CF35+CI35+CL35+CO35+CR35+CU35+CX35+DA35+DD35+DG35+DJ35+DM35+DP35</f>
        <v>185844</v>
      </c>
      <c r="DT35" s="70" t="n">
        <f aca="false">+D35+G35+J35+M35+P35+S35+V35+Y35+AB35+AE35+AH35+AK35+AN35+AQ35+AT35+AW35+AZ35+BC35+BF35+BI35+BL35+BO35+BR35+BU35+BX35+CA35+CD35+CG35+CJ35+CM35+CP35+CS35+CV35+CY35+DB35+DE35+DH35+DK35+DN35+DQ35</f>
        <v>181386</v>
      </c>
      <c r="DU35" s="70" t="n">
        <f aca="false">DT35-DS35</f>
        <v>-4458</v>
      </c>
      <c r="DV35" s="75"/>
      <c r="DW35" s="74"/>
      <c r="DX35" s="74"/>
      <c r="DY35" s="75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</row>
    <row r="36" customFormat="false" ht="12.75" hidden="false" customHeight="false" outlineLevel="0" collapsed="false">
      <c r="A36" s="69"/>
      <c r="B36" s="69"/>
      <c r="C36" s="22"/>
      <c r="D36" s="22"/>
      <c r="E36" s="70"/>
      <c r="F36" s="22"/>
      <c r="G36" s="22"/>
      <c r="H36" s="70"/>
      <c r="I36" s="22"/>
      <c r="J36" s="22"/>
      <c r="K36" s="70"/>
      <c r="L36" s="22"/>
      <c r="M36" s="22"/>
      <c r="N36" s="70"/>
      <c r="O36" s="22"/>
      <c r="P36" s="22"/>
      <c r="Q36" s="70"/>
      <c r="R36" s="22"/>
      <c r="S36" s="22"/>
      <c r="T36" s="70"/>
      <c r="U36" s="22"/>
      <c r="V36" s="22"/>
      <c r="W36" s="70"/>
      <c r="X36" s="22"/>
      <c r="Y36" s="22"/>
      <c r="Z36" s="70"/>
      <c r="AA36" s="22"/>
      <c r="AB36" s="22"/>
      <c r="AC36" s="70"/>
      <c r="AD36" s="22"/>
      <c r="AE36" s="22"/>
      <c r="AF36" s="70"/>
      <c r="AG36" s="22"/>
      <c r="AH36" s="22"/>
      <c r="AI36" s="70"/>
      <c r="AJ36" s="22"/>
      <c r="AK36" s="22"/>
      <c r="AL36" s="70"/>
      <c r="AM36" s="22"/>
      <c r="AN36" s="22"/>
      <c r="AO36" s="70"/>
      <c r="AP36" s="22"/>
      <c r="AQ36" s="22"/>
      <c r="AR36" s="70"/>
      <c r="AS36" s="22"/>
      <c r="AT36" s="22"/>
      <c r="AU36" s="70"/>
      <c r="AV36" s="22"/>
      <c r="AW36" s="22"/>
      <c r="AX36" s="70"/>
      <c r="AY36" s="22"/>
      <c r="AZ36" s="22"/>
      <c r="BA36" s="70"/>
      <c r="BB36" s="22"/>
      <c r="BC36" s="22"/>
      <c r="BD36" s="70"/>
      <c r="BE36" s="22"/>
      <c r="BF36" s="22"/>
      <c r="BG36" s="70"/>
      <c r="BH36" s="22"/>
      <c r="BI36" s="22"/>
      <c r="BJ36" s="70"/>
      <c r="BK36" s="22"/>
      <c r="BL36" s="22"/>
      <c r="BM36" s="70"/>
      <c r="BN36" s="22"/>
      <c r="BO36" s="22"/>
      <c r="BP36" s="70"/>
      <c r="BQ36" s="22"/>
      <c r="BR36" s="22"/>
      <c r="BS36" s="70"/>
      <c r="BT36" s="22"/>
      <c r="BU36" s="22"/>
      <c r="BV36" s="70"/>
      <c r="BW36" s="22"/>
      <c r="BX36" s="22"/>
      <c r="BY36" s="70"/>
      <c r="BZ36" s="22"/>
      <c r="CA36" s="22"/>
      <c r="CB36" s="70"/>
      <c r="CC36" s="22"/>
      <c r="CD36" s="22"/>
      <c r="CE36" s="70"/>
      <c r="CF36" s="22"/>
      <c r="CG36" s="22"/>
      <c r="CH36" s="70"/>
      <c r="CI36" s="22"/>
      <c r="CJ36" s="22"/>
      <c r="CK36" s="70"/>
      <c r="CL36" s="22"/>
      <c r="CM36" s="22"/>
      <c r="CN36" s="70"/>
      <c r="CO36" s="22"/>
      <c r="CP36" s="22"/>
      <c r="CQ36" s="70"/>
      <c r="CR36" s="22"/>
      <c r="CS36" s="22"/>
      <c r="CT36" s="70"/>
      <c r="CU36" s="22"/>
      <c r="CV36" s="22"/>
      <c r="CW36" s="70"/>
      <c r="CX36" s="22"/>
      <c r="CY36" s="22"/>
      <c r="CZ36" s="70"/>
      <c r="DA36" s="22"/>
      <c r="DB36" s="22"/>
      <c r="DC36" s="70"/>
      <c r="DD36" s="22"/>
      <c r="DE36" s="22"/>
      <c r="DF36" s="70"/>
      <c r="DG36" s="22"/>
      <c r="DH36" s="22"/>
      <c r="DI36" s="70"/>
      <c r="DJ36" s="22"/>
      <c r="DK36" s="22"/>
      <c r="DL36" s="70"/>
      <c r="DM36" s="22"/>
      <c r="DN36" s="22"/>
      <c r="DO36" s="70"/>
      <c r="DP36" s="22"/>
      <c r="DQ36" s="22"/>
      <c r="DR36" s="70"/>
      <c r="DS36" s="70"/>
      <c r="DT36" s="70"/>
      <c r="DU36" s="70"/>
      <c r="DV36" s="75"/>
      <c r="DW36" s="74"/>
      <c r="DX36" s="74"/>
      <c r="DY36" s="75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</row>
    <row r="37" customFormat="false" ht="12.75" hidden="false" customHeight="false" outlineLevel="0" collapsed="false">
      <c r="A37" s="76" t="s">
        <v>72</v>
      </c>
      <c r="B37" s="69"/>
      <c r="C37" s="28" t="n">
        <f aca="false">SUM(C6:C36)</f>
        <v>125340</v>
      </c>
      <c r="D37" s="28" t="n">
        <f aca="false">SUM(D6:D36)</f>
        <v>125340</v>
      </c>
      <c r="E37" s="28" t="n">
        <f aca="false">SUM(E6:E36)</f>
        <v>0</v>
      </c>
      <c r="F37" s="28" t="n">
        <f aca="false">SUM(F6:F36)</f>
        <v>150000</v>
      </c>
      <c r="G37" s="28" t="n">
        <f aca="false">SUM(G6:G36)</f>
        <v>150000</v>
      </c>
      <c r="H37" s="28" t="n">
        <f aca="false">SUM(H6:H36)</f>
        <v>0</v>
      </c>
      <c r="I37" s="28" t="n">
        <f aca="false">SUM(I6:I36)</f>
        <v>139980</v>
      </c>
      <c r="J37" s="28" t="n">
        <f aca="false">SUM(J6:J36)</f>
        <v>139980</v>
      </c>
      <c r="K37" s="28" t="n">
        <f aca="false">SUM(K6:K36)</f>
        <v>0</v>
      </c>
      <c r="L37" s="28" t="n">
        <f aca="false">SUM(L6:L36)</f>
        <v>480000</v>
      </c>
      <c r="M37" s="28" t="n">
        <f aca="false">SUM(M6:M36)</f>
        <v>481100</v>
      </c>
      <c r="N37" s="28" t="n">
        <f aca="false">SUM(N6:N36)</f>
        <v>1100</v>
      </c>
      <c r="O37" s="28" t="n">
        <f aca="false">SUM(O6:O36)</f>
        <v>300000</v>
      </c>
      <c r="P37" s="28" t="n">
        <f aca="false">SUM(P6:P36)</f>
        <v>300000</v>
      </c>
      <c r="Q37" s="28" t="n">
        <f aca="false">SUM(Q6:Q36)</f>
        <v>0</v>
      </c>
      <c r="R37" s="28" t="n">
        <f aca="false">SUM(R6:R36)</f>
        <v>600000</v>
      </c>
      <c r="S37" s="28" t="n">
        <f aca="false">SUM(S6:S36)</f>
        <v>600000</v>
      </c>
      <c r="T37" s="28" t="n">
        <f aca="false">SUM(T6:T36)</f>
        <v>0</v>
      </c>
      <c r="U37" s="28" t="n">
        <f aca="false">SUM(U6:U36)</f>
        <v>300000</v>
      </c>
      <c r="V37" s="28" t="n">
        <f aca="false">SUM(V6:V36)</f>
        <v>300000</v>
      </c>
      <c r="W37" s="28" t="n">
        <f aca="false">SUM(W6:W36)</f>
        <v>0</v>
      </c>
      <c r="X37" s="28" t="n">
        <f aca="false">SUM(X6:X36)</f>
        <v>150000</v>
      </c>
      <c r="Y37" s="28" t="n">
        <f aca="false">SUM(Y6:Y36)</f>
        <v>150000</v>
      </c>
      <c r="Z37" s="28" t="n">
        <f aca="false">SUM(Z6:Z36)</f>
        <v>0</v>
      </c>
      <c r="AA37" s="28" t="n">
        <f aca="false">SUM(AA6:AA36)</f>
        <v>150000</v>
      </c>
      <c r="AB37" s="28" t="n">
        <f aca="false">SUM(AB6:AB36)</f>
        <v>150000</v>
      </c>
      <c r="AC37" s="28" t="n">
        <f aca="false">SUM(AC6:AC36)</f>
        <v>0</v>
      </c>
      <c r="AD37" s="28" t="n">
        <f aca="false">SUM(AD6:AD36)</f>
        <v>431533</v>
      </c>
      <c r="AE37" s="28" t="n">
        <f aca="false">SUM(AE6:AE36)</f>
        <v>411128</v>
      </c>
      <c r="AF37" s="28" t="n">
        <f aca="false">SUM(AF6:AF36)</f>
        <v>-20405</v>
      </c>
      <c r="AG37" s="28" t="n">
        <f aca="false">SUM(AG6:AG36)</f>
        <v>300000</v>
      </c>
      <c r="AH37" s="28" t="n">
        <f aca="false">SUM(AH6:AH36)</f>
        <v>300000</v>
      </c>
      <c r="AI37" s="28" t="n">
        <f aca="false">SUM(AI6:AI36)</f>
        <v>0</v>
      </c>
      <c r="AJ37" s="28" t="n">
        <f aca="false">SUM(AJ6:AJ36)</f>
        <v>300000</v>
      </c>
      <c r="AK37" s="28" t="n">
        <f aca="false">SUM(AK6:AK36)</f>
        <v>300000</v>
      </c>
      <c r="AL37" s="28" t="n">
        <f aca="false">SUM(AL6:AL36)</f>
        <v>0</v>
      </c>
      <c r="AM37" s="28" t="n">
        <f aca="false">SUM(AM6:AM36)</f>
        <v>300000</v>
      </c>
      <c r="AN37" s="28" t="n">
        <f aca="false">SUM(AN6:AN36)</f>
        <v>300000</v>
      </c>
      <c r="AO37" s="28" t="n">
        <f aca="false">SUM(AO6:AO36)</f>
        <v>0</v>
      </c>
      <c r="AP37" s="28" t="n">
        <f aca="false">SUM(AP6:AP36)</f>
        <v>150000</v>
      </c>
      <c r="AQ37" s="28" t="n">
        <f aca="false">SUM(AQ6:AQ36)</f>
        <v>150000</v>
      </c>
      <c r="AR37" s="28" t="n">
        <f aca="false">SUM(AR6:AR36)</f>
        <v>0</v>
      </c>
      <c r="AS37" s="28" t="n">
        <f aca="false">SUM(AS6:AS36)</f>
        <v>600000</v>
      </c>
      <c r="AT37" s="28" t="n">
        <f aca="false">SUM(AT6:AT36)</f>
        <v>600000</v>
      </c>
      <c r="AU37" s="28" t="n">
        <f aca="false">SUM(AU6:AU36)</f>
        <v>0</v>
      </c>
      <c r="AV37" s="28" t="n">
        <f aca="false">SUM(AV6:AV36)</f>
        <v>600000</v>
      </c>
      <c r="AW37" s="28" t="n">
        <f aca="false">SUM(AW6:AW36)</f>
        <v>600000</v>
      </c>
      <c r="AX37" s="28" t="n">
        <f aca="false">SUM(AX6:AX36)</f>
        <v>0</v>
      </c>
      <c r="AY37" s="28" t="n">
        <f aca="false">SUM(AY6:AY36)</f>
        <v>159402</v>
      </c>
      <c r="AZ37" s="28" t="n">
        <f aca="false">SUM(AZ6:AZ36)</f>
        <v>156709</v>
      </c>
      <c r="BA37" s="28" t="n">
        <f aca="false">SUM(BA6:BA36)</f>
        <v>-2693</v>
      </c>
      <c r="BB37" s="28" t="n">
        <f aca="false">SUM(BB6:BB36)</f>
        <v>128872</v>
      </c>
      <c r="BC37" s="28" t="n">
        <f aca="false">SUM(BC6:BC36)</f>
        <v>108646</v>
      </c>
      <c r="BD37" s="28" t="n">
        <f aca="false">SUM(BD6:BD36)</f>
        <v>-20226</v>
      </c>
      <c r="BE37" s="28" t="n">
        <f aca="false">SUM(BE6:BE36)</f>
        <v>145000</v>
      </c>
      <c r="BF37" s="28" t="n">
        <f aca="false">SUM(BF6:BF36)</f>
        <v>145000</v>
      </c>
      <c r="BG37" s="28" t="n">
        <f aca="false">SUM(BG6:BG36)</f>
        <v>0</v>
      </c>
      <c r="BH37" s="28" t="n">
        <f aca="false">SUM(BH6:BH36)</f>
        <v>0</v>
      </c>
      <c r="BI37" s="28" t="n">
        <f aca="false">SUM(BI6:BI36)</f>
        <v>0</v>
      </c>
      <c r="BJ37" s="28" t="n">
        <f aca="false">SUM(BJ6:BJ36)</f>
        <v>0</v>
      </c>
      <c r="BK37" s="28" t="n">
        <f aca="false">SUM(BK6:BK36)</f>
        <v>0</v>
      </c>
      <c r="BL37" s="28" t="n">
        <f aca="false">SUM(BL6:BL36)</f>
        <v>0</v>
      </c>
      <c r="BM37" s="28" t="n">
        <f aca="false">SUM(BM6:BM36)</f>
        <v>0</v>
      </c>
      <c r="BN37" s="28" t="n">
        <f aca="false">SUM(BN6:BN36)</f>
        <v>0</v>
      </c>
      <c r="BO37" s="28" t="n">
        <f aca="false">SUM(BO6:BO36)</f>
        <v>0</v>
      </c>
      <c r="BP37" s="77" t="n">
        <f aca="false">SUM(BP6:BP36)</f>
        <v>0</v>
      </c>
      <c r="BQ37" s="28" t="n">
        <f aca="false">SUM(BQ6:BQ36)</f>
        <v>0</v>
      </c>
      <c r="BR37" s="28" t="n">
        <f aca="false">SUM(BR6:BR36)</f>
        <v>0</v>
      </c>
      <c r="BS37" s="77" t="n">
        <f aca="false">SUM(BS6:BS36)</f>
        <v>0</v>
      </c>
      <c r="BT37" s="28" t="n">
        <f aca="false">SUM(BT6:BT36)</f>
        <v>0</v>
      </c>
      <c r="BU37" s="28" t="n">
        <f aca="false">SUM(BU6:BU36)</f>
        <v>0</v>
      </c>
      <c r="BV37" s="77" t="n">
        <f aca="false">SUM(BV6:BV36)</f>
        <v>0</v>
      </c>
      <c r="BW37" s="28" t="n">
        <f aca="false">SUM(BW6:BW36)</f>
        <v>0</v>
      </c>
      <c r="BX37" s="28" t="n">
        <f aca="false">SUM(BX6:BX36)</f>
        <v>0</v>
      </c>
      <c r="BY37" s="77" t="n">
        <f aca="false">SUM(BY6:BY36)</f>
        <v>0</v>
      </c>
      <c r="BZ37" s="28" t="n">
        <f aca="false">SUM(BZ6:BZ36)</f>
        <v>0</v>
      </c>
      <c r="CA37" s="28" t="n">
        <f aca="false">SUM(CA6:CA36)</f>
        <v>0</v>
      </c>
      <c r="CB37" s="77" t="n">
        <f aca="false">SUM(CB6:CB36)</f>
        <v>0</v>
      </c>
      <c r="CC37" s="28" t="n">
        <f aca="false">SUM(CC6:CC36)</f>
        <v>0</v>
      </c>
      <c r="CD37" s="28" t="n">
        <f aca="false">SUM(CD6:CD36)</f>
        <v>0</v>
      </c>
      <c r="CE37" s="77" t="n">
        <f aca="false">SUM(CE6:CE36)</f>
        <v>0</v>
      </c>
      <c r="CF37" s="28" t="n">
        <f aca="false">SUM(CF6:CF36)</f>
        <v>0</v>
      </c>
      <c r="CG37" s="28" t="n">
        <f aca="false">SUM(CG6:CG36)</f>
        <v>0</v>
      </c>
      <c r="CH37" s="77" t="n">
        <f aca="false">SUM(CH6:CH36)</f>
        <v>0</v>
      </c>
      <c r="CI37" s="28" t="n">
        <f aca="false">SUM(CI6:CI36)</f>
        <v>0</v>
      </c>
      <c r="CJ37" s="28" t="n">
        <f aca="false">SUM(CJ6:CJ36)</f>
        <v>0</v>
      </c>
      <c r="CK37" s="77" t="n">
        <f aca="false">SUM(CK6:CK36)</f>
        <v>0</v>
      </c>
      <c r="CL37" s="28" t="n">
        <f aca="false">SUM(CL6:CL36)</f>
        <v>0</v>
      </c>
      <c r="CM37" s="28" t="n">
        <f aca="false">SUM(CM6:CM36)</f>
        <v>0</v>
      </c>
      <c r="CN37" s="77" t="n">
        <f aca="false">SUM(CN6:CN36)</f>
        <v>0</v>
      </c>
      <c r="CO37" s="28" t="n">
        <f aca="false">SUM(CO6:CO36)</f>
        <v>0</v>
      </c>
      <c r="CP37" s="28" t="n">
        <f aca="false">SUM(CP6:CP36)</f>
        <v>0</v>
      </c>
      <c r="CQ37" s="77" t="n">
        <f aca="false">SUM(CQ6:CQ36)</f>
        <v>0</v>
      </c>
      <c r="CR37" s="28" t="n">
        <f aca="false">SUM(CR6:CR36)</f>
        <v>0</v>
      </c>
      <c r="CS37" s="28" t="n">
        <f aca="false">SUM(CS6:CS36)</f>
        <v>0</v>
      </c>
      <c r="CT37" s="77" t="n">
        <f aca="false">SUM(CT6:CT36)</f>
        <v>0</v>
      </c>
      <c r="CU37" s="28" t="n">
        <f aca="false">SUM(CU6:CU36)</f>
        <v>0</v>
      </c>
      <c r="CV37" s="28" t="n">
        <f aca="false">SUM(CV6:CV36)</f>
        <v>0</v>
      </c>
      <c r="CW37" s="77" t="n">
        <f aca="false">SUM(CW6:CW36)</f>
        <v>0</v>
      </c>
      <c r="CX37" s="28" t="n">
        <f aca="false">SUM(CX6:CX36)</f>
        <v>0</v>
      </c>
      <c r="CY37" s="28" t="n">
        <f aca="false">SUM(CY6:CY36)</f>
        <v>0</v>
      </c>
      <c r="CZ37" s="77" t="n">
        <f aca="false">SUM(CZ6:CZ36)</f>
        <v>0</v>
      </c>
      <c r="DA37" s="28" t="n">
        <f aca="false">SUM(DA6:DA36)</f>
        <v>0</v>
      </c>
      <c r="DB37" s="28" t="n">
        <f aca="false">SUM(DB6:DB36)</f>
        <v>0</v>
      </c>
      <c r="DC37" s="77" t="n">
        <f aca="false">SUM(DC6:DC36)</f>
        <v>0</v>
      </c>
      <c r="DD37" s="28" t="n">
        <f aca="false">SUM(DD6:DD36)</f>
        <v>0</v>
      </c>
      <c r="DE37" s="28" t="n">
        <f aca="false">SUM(DE6:DE36)</f>
        <v>0</v>
      </c>
      <c r="DF37" s="77" t="n">
        <f aca="false">SUM(DF6:DF36)</f>
        <v>0</v>
      </c>
      <c r="DG37" s="28" t="n">
        <f aca="false">SUM(DG6:DG36)</f>
        <v>0</v>
      </c>
      <c r="DH37" s="28" t="n">
        <f aca="false">SUM(DH6:DH36)</f>
        <v>0</v>
      </c>
      <c r="DI37" s="77" t="n">
        <f aca="false">SUM(DI6:DI36)</f>
        <v>0</v>
      </c>
      <c r="DJ37" s="28" t="n">
        <f aca="false">SUM(DJ6:DJ36)</f>
        <v>0</v>
      </c>
      <c r="DK37" s="28" t="n">
        <f aca="false">SUM(DK6:DK36)</f>
        <v>0</v>
      </c>
      <c r="DL37" s="77" t="n">
        <f aca="false">SUM(DL6:DL36)</f>
        <v>0</v>
      </c>
      <c r="DM37" s="28" t="n">
        <f aca="false">SUM(DM6:DM36)</f>
        <v>0</v>
      </c>
      <c r="DN37" s="28" t="n">
        <f aca="false">SUM(DN6:DN36)</f>
        <v>0</v>
      </c>
      <c r="DO37" s="77" t="n">
        <f aca="false">SUM(DO6:DO36)</f>
        <v>0</v>
      </c>
      <c r="DP37" s="28" t="n">
        <f aca="false">SUM(DP6:DP36)</f>
        <v>0</v>
      </c>
      <c r="DQ37" s="28" t="n">
        <f aca="false">SUM(DQ6:DQ36)</f>
        <v>0</v>
      </c>
      <c r="DR37" s="77" t="n">
        <f aca="false">SUM(DR6:DR36)</f>
        <v>0</v>
      </c>
      <c r="DS37" s="78" t="n">
        <f aca="false">SUM(DS6:DS36)</f>
        <v>5510127</v>
      </c>
      <c r="DT37" s="77" t="n">
        <f aca="false">SUM(DT6:DT36)</f>
        <v>5467903</v>
      </c>
      <c r="DU37" s="77" t="n">
        <f aca="false">SUM(DU6:DU36)</f>
        <v>-42224</v>
      </c>
      <c r="DV37" s="28"/>
      <c r="DW37" s="28"/>
      <c r="DX37" s="28"/>
      <c r="DY37" s="79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80"/>
      <c r="EM37" s="80"/>
      <c r="EN37" s="80"/>
      <c r="EO37" s="80"/>
      <c r="EP37" s="80"/>
      <c r="EQ37" s="80"/>
      <c r="ER37" s="80"/>
      <c r="ES37" s="80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2"/>
      <c r="FQ37" s="82"/>
      <c r="FR37" s="82"/>
      <c r="FS37" s="82"/>
      <c r="FT37" s="82"/>
      <c r="FU37" s="82"/>
      <c r="FV37" s="82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4"/>
      <c r="B38" s="69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40"/>
      <c r="CF38" s="31"/>
      <c r="CG38" s="31"/>
      <c r="CH38" s="40"/>
      <c r="CI38" s="31"/>
      <c r="CJ38" s="31"/>
      <c r="CK38" s="40"/>
      <c r="CL38" s="31"/>
      <c r="CM38" s="31"/>
      <c r="CN38" s="40"/>
      <c r="CO38" s="31"/>
      <c r="CP38" s="31"/>
      <c r="CQ38" s="40"/>
      <c r="CR38" s="31"/>
      <c r="CS38" s="31"/>
      <c r="CT38" s="40"/>
      <c r="CU38" s="31"/>
      <c r="CV38" s="31"/>
      <c r="CW38" s="40"/>
      <c r="CX38" s="31"/>
      <c r="CY38" s="31"/>
      <c r="CZ38" s="40"/>
      <c r="DA38" s="31"/>
      <c r="DB38" s="31"/>
      <c r="DC38" s="40"/>
      <c r="DD38" s="31"/>
      <c r="DE38" s="31"/>
      <c r="DF38" s="40"/>
      <c r="DG38" s="31"/>
      <c r="DH38" s="31"/>
      <c r="DI38" s="31"/>
      <c r="DJ38" s="31"/>
      <c r="DK38" s="31"/>
      <c r="DL38" s="40"/>
      <c r="DM38" s="31"/>
      <c r="DN38" s="31"/>
      <c r="DO38" s="40"/>
      <c r="DP38" s="31"/>
      <c r="DQ38" s="31"/>
      <c r="DR38" s="40"/>
      <c r="DS38" s="40"/>
      <c r="DT38" s="31"/>
      <c r="DU38" s="31"/>
      <c r="DV38" s="31"/>
      <c r="DW38" s="31"/>
      <c r="DX38" s="31"/>
      <c r="DY38" s="85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86"/>
      <c r="EM38" s="86"/>
      <c r="EN38" s="86"/>
      <c r="EO38" s="86"/>
      <c r="EP38" s="86"/>
      <c r="EQ38" s="86"/>
      <c r="ER38" s="86"/>
      <c r="ES38" s="86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8"/>
      <c r="FQ38" s="88"/>
      <c r="FR38" s="88"/>
      <c r="FS38" s="88"/>
      <c r="FT38" s="88"/>
      <c r="FU38" s="88"/>
      <c r="FV38" s="88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90" t="n">
        <v>1</v>
      </c>
      <c r="B39" s="38" t="n">
        <f aca="false">+A39+1</f>
        <v>2</v>
      </c>
      <c r="C39" s="38" t="n">
        <f aca="false">+B39+1</f>
        <v>3</v>
      </c>
      <c r="D39" s="38" t="n">
        <f aca="false">+C39+1</f>
        <v>4</v>
      </c>
      <c r="E39" s="38" t="n">
        <f aca="false">+D39+1</f>
        <v>5</v>
      </c>
      <c r="F39" s="38" t="n">
        <f aca="false">+E39+1</f>
        <v>6</v>
      </c>
      <c r="G39" s="38" t="n">
        <f aca="false">+F39+1</f>
        <v>7</v>
      </c>
      <c r="H39" s="38" t="n">
        <f aca="false">+G39+1</f>
        <v>8</v>
      </c>
      <c r="I39" s="38" t="n">
        <f aca="false">+H39+1</f>
        <v>9</v>
      </c>
      <c r="J39" s="38" t="n">
        <f aca="false">+I39+1</f>
        <v>10</v>
      </c>
      <c r="K39" s="38" t="n">
        <f aca="false">+J39+1</f>
        <v>11</v>
      </c>
      <c r="L39" s="38" t="n">
        <f aca="false">+K39+1</f>
        <v>12</v>
      </c>
      <c r="M39" s="38" t="n">
        <f aca="false">+L39+1</f>
        <v>13</v>
      </c>
      <c r="N39" s="38" t="n">
        <f aca="false">+M39+1</f>
        <v>14</v>
      </c>
      <c r="O39" s="38" t="n">
        <f aca="false">+N39+1</f>
        <v>15</v>
      </c>
      <c r="P39" s="38" t="n">
        <f aca="false">+O39+1</f>
        <v>16</v>
      </c>
      <c r="Q39" s="38" t="n">
        <f aca="false">+P39+1</f>
        <v>17</v>
      </c>
      <c r="R39" s="38" t="n">
        <f aca="false">+Q39+1</f>
        <v>18</v>
      </c>
      <c r="S39" s="38" t="n">
        <f aca="false">+R39+1</f>
        <v>19</v>
      </c>
      <c r="T39" s="38" t="n">
        <f aca="false">+S39+1</f>
        <v>20</v>
      </c>
      <c r="U39" s="38" t="n">
        <f aca="false">+T39+1</f>
        <v>21</v>
      </c>
      <c r="V39" s="38" t="n">
        <f aca="false">+U39+1</f>
        <v>22</v>
      </c>
      <c r="W39" s="38" t="n">
        <f aca="false">+V39+1</f>
        <v>23</v>
      </c>
      <c r="X39" s="38" t="n">
        <f aca="false">+W39+1</f>
        <v>24</v>
      </c>
      <c r="Y39" s="38" t="n">
        <f aca="false">+X39+1</f>
        <v>25</v>
      </c>
      <c r="Z39" s="38" t="n">
        <f aca="false">+Y39+1</f>
        <v>26</v>
      </c>
      <c r="AA39" s="38" t="n">
        <f aca="false">+Z39+1</f>
        <v>27</v>
      </c>
      <c r="AB39" s="38" t="n">
        <f aca="false">+AA39+1</f>
        <v>28</v>
      </c>
      <c r="AC39" s="38" t="n">
        <f aca="false">+AB39+1</f>
        <v>29</v>
      </c>
      <c r="AD39" s="38" t="n">
        <f aca="false">+AC39+1</f>
        <v>30</v>
      </c>
      <c r="AE39" s="38" t="n">
        <f aca="false">+AD39+1</f>
        <v>31</v>
      </c>
      <c r="AF39" s="38" t="n">
        <f aca="false">+AE39+1</f>
        <v>32</v>
      </c>
      <c r="AG39" s="38" t="n">
        <f aca="false">+AF39+1</f>
        <v>33</v>
      </c>
      <c r="AH39" s="38" t="n">
        <f aca="false">+AG39+1</f>
        <v>34</v>
      </c>
      <c r="AI39" s="38" t="n">
        <f aca="false">+AH39+1</f>
        <v>35</v>
      </c>
      <c r="AJ39" s="38" t="n">
        <f aca="false">+AI39+1</f>
        <v>36</v>
      </c>
      <c r="AK39" s="38" t="n">
        <f aca="false">+AJ39+1</f>
        <v>37</v>
      </c>
      <c r="AL39" s="38" t="n">
        <f aca="false">+AK39+1</f>
        <v>38</v>
      </c>
      <c r="AM39" s="38" t="n">
        <f aca="false">+AL39+1</f>
        <v>39</v>
      </c>
      <c r="AN39" s="38" t="n">
        <f aca="false">+AM39+1</f>
        <v>40</v>
      </c>
      <c r="AO39" s="38" t="n">
        <f aca="false">+AN39+1</f>
        <v>41</v>
      </c>
      <c r="AP39" s="38" t="n">
        <f aca="false">+AO39+1</f>
        <v>42</v>
      </c>
      <c r="AQ39" s="38" t="n">
        <f aca="false">+AP39+1</f>
        <v>43</v>
      </c>
      <c r="AR39" s="38" t="n">
        <f aca="false">+AQ39+1</f>
        <v>44</v>
      </c>
      <c r="AS39" s="38" t="n">
        <f aca="false">+AR39+1</f>
        <v>45</v>
      </c>
      <c r="AT39" s="38" t="n">
        <f aca="false">+AS39+1</f>
        <v>46</v>
      </c>
      <c r="AU39" s="38" t="n">
        <f aca="false">+AT39+1</f>
        <v>47</v>
      </c>
      <c r="AV39" s="38" t="n">
        <f aca="false">+AU39+1</f>
        <v>48</v>
      </c>
      <c r="AW39" s="38" t="n">
        <f aca="false">+AV39+1</f>
        <v>49</v>
      </c>
      <c r="AX39" s="38" t="n">
        <f aca="false">+AW39+1</f>
        <v>50</v>
      </c>
      <c r="AY39" s="38" t="n">
        <f aca="false">+AX39+1</f>
        <v>51</v>
      </c>
      <c r="AZ39" s="38" t="n">
        <f aca="false">+AY39+1</f>
        <v>52</v>
      </c>
      <c r="BA39" s="38" t="n">
        <f aca="false">+AZ39+1</f>
        <v>53</v>
      </c>
      <c r="BB39" s="38" t="n">
        <f aca="false">+BA39+1</f>
        <v>54</v>
      </c>
      <c r="BC39" s="38" t="n">
        <f aca="false">+BB39+1</f>
        <v>55</v>
      </c>
      <c r="BD39" s="38" t="n">
        <f aca="false">+BC39+1</f>
        <v>56</v>
      </c>
      <c r="BE39" s="38" t="n">
        <f aca="false">+BD39+1</f>
        <v>57</v>
      </c>
      <c r="BF39" s="38" t="n">
        <f aca="false">+BE39+1</f>
        <v>58</v>
      </c>
      <c r="BG39" s="38" t="n">
        <f aca="false">+BF39+1</f>
        <v>59</v>
      </c>
      <c r="BH39" s="38" t="n">
        <f aca="false">+BG39+1</f>
        <v>60</v>
      </c>
      <c r="BI39" s="38" t="n">
        <f aca="false">+BH39+1</f>
        <v>61</v>
      </c>
      <c r="BJ39" s="38" t="n">
        <f aca="false">+BI39+1</f>
        <v>62</v>
      </c>
      <c r="BK39" s="38" t="n">
        <f aca="false">+BJ39+1</f>
        <v>63</v>
      </c>
      <c r="BL39" s="38" t="n">
        <f aca="false">+BK39+1</f>
        <v>64</v>
      </c>
      <c r="BM39" s="38" t="n">
        <f aca="false">+BL39+1</f>
        <v>65</v>
      </c>
      <c r="BN39" s="38" t="n">
        <f aca="false">+BM39+1</f>
        <v>66</v>
      </c>
      <c r="BO39" s="38" t="n">
        <f aca="false">+BN39+1</f>
        <v>67</v>
      </c>
      <c r="BP39" s="38" t="n">
        <f aca="false">+BO39+1</f>
        <v>68</v>
      </c>
      <c r="BQ39" s="38" t="n">
        <f aca="false">+BP39+1</f>
        <v>69</v>
      </c>
      <c r="BR39" s="38" t="n">
        <f aca="false">+BQ39+1</f>
        <v>70</v>
      </c>
      <c r="BS39" s="38" t="n">
        <f aca="false">+BR39+1</f>
        <v>71</v>
      </c>
      <c r="BT39" s="38" t="n">
        <f aca="false">+BS39+1</f>
        <v>72</v>
      </c>
      <c r="BU39" s="38" t="n">
        <f aca="false">+BT39+1</f>
        <v>73</v>
      </c>
      <c r="BV39" s="38" t="n">
        <f aca="false">+BU39+1</f>
        <v>74</v>
      </c>
      <c r="BW39" s="38" t="n">
        <f aca="false">+BV39+1</f>
        <v>75</v>
      </c>
      <c r="BX39" s="38" t="n">
        <f aca="false">+BW39+1</f>
        <v>76</v>
      </c>
      <c r="BY39" s="38" t="n">
        <f aca="false">+BX39+1</f>
        <v>77</v>
      </c>
      <c r="BZ39" s="38" t="n">
        <f aca="false">+BY39+1</f>
        <v>78</v>
      </c>
      <c r="CA39" s="38" t="n">
        <f aca="false">+BZ39+1</f>
        <v>79</v>
      </c>
      <c r="CB39" s="38" t="n">
        <f aca="false">+CA39+1</f>
        <v>80</v>
      </c>
      <c r="CC39" s="38" t="n">
        <f aca="false">+CB39+1</f>
        <v>81</v>
      </c>
      <c r="CD39" s="38" t="n">
        <f aca="false">+CC39+1</f>
        <v>82</v>
      </c>
      <c r="CE39" s="38" t="n">
        <f aca="false">+CD39+1</f>
        <v>83</v>
      </c>
      <c r="CF39" s="38" t="n">
        <f aca="false">+CE39+1</f>
        <v>84</v>
      </c>
      <c r="CG39" s="38" t="n">
        <f aca="false">+CF39+1</f>
        <v>85</v>
      </c>
      <c r="CH39" s="38" t="n">
        <f aca="false">+CG39+1</f>
        <v>86</v>
      </c>
      <c r="CI39" s="38" t="n">
        <f aca="false">+CH39+1</f>
        <v>87</v>
      </c>
      <c r="CJ39" s="38" t="n">
        <f aca="false">+CI39+1</f>
        <v>88</v>
      </c>
      <c r="CK39" s="38" t="n">
        <f aca="false">+CJ39+1</f>
        <v>89</v>
      </c>
      <c r="CL39" s="38" t="n">
        <f aca="false">+CK39+1</f>
        <v>90</v>
      </c>
      <c r="CM39" s="38" t="n">
        <f aca="false">+CL39+1</f>
        <v>91</v>
      </c>
      <c r="CN39" s="38" t="n">
        <f aca="false">+CM39+1</f>
        <v>92</v>
      </c>
      <c r="CO39" s="38" t="n">
        <f aca="false">+CN39+1</f>
        <v>93</v>
      </c>
      <c r="CP39" s="38" t="n">
        <f aca="false">+CO39+1</f>
        <v>94</v>
      </c>
      <c r="CQ39" s="38" t="n">
        <f aca="false">+CP39+1</f>
        <v>95</v>
      </c>
      <c r="CR39" s="38" t="n">
        <f aca="false">+CQ39+1</f>
        <v>96</v>
      </c>
      <c r="CS39" s="38" t="n">
        <f aca="false">+CR39+1</f>
        <v>97</v>
      </c>
      <c r="CT39" s="38" t="n">
        <f aca="false">+CS39+1</f>
        <v>98</v>
      </c>
      <c r="CU39" s="38" t="n">
        <f aca="false">+CT39+1</f>
        <v>99</v>
      </c>
      <c r="CV39" s="38" t="n">
        <f aca="false">+CU39+1</f>
        <v>100</v>
      </c>
      <c r="CW39" s="38" t="n">
        <f aca="false">+CV39+1</f>
        <v>101</v>
      </c>
      <c r="CX39" s="38" t="n">
        <f aca="false">+CW39+1</f>
        <v>102</v>
      </c>
      <c r="CY39" s="38" t="n">
        <f aca="false">+CX39+1</f>
        <v>103</v>
      </c>
      <c r="CZ39" s="38" t="n">
        <f aca="false">+CY39+1</f>
        <v>104</v>
      </c>
      <c r="DA39" s="38" t="n">
        <f aca="false">+CZ39+1</f>
        <v>105</v>
      </c>
      <c r="DB39" s="38" t="n">
        <f aca="false">+DA39+1</f>
        <v>106</v>
      </c>
      <c r="DC39" s="38" t="n">
        <f aca="false">+DB39+1</f>
        <v>107</v>
      </c>
      <c r="DD39" s="38" t="n">
        <f aca="false">+DC39+1</f>
        <v>108</v>
      </c>
      <c r="DE39" s="38" t="n">
        <f aca="false">+DD39+1</f>
        <v>109</v>
      </c>
      <c r="DF39" s="38" t="n">
        <f aca="false">+DE39+1</f>
        <v>110</v>
      </c>
      <c r="DS39" s="40"/>
    </row>
    <row r="40" customFormat="false" ht="12.75" hidden="false" customHeight="false" outlineLevel="0" collapsed="false">
      <c r="A40" s="42"/>
      <c r="B40" s="69"/>
      <c r="C40" s="37"/>
      <c r="F40" s="37"/>
      <c r="I40" s="37"/>
      <c r="L40" s="37"/>
      <c r="O40" s="37"/>
      <c r="R40" s="37"/>
      <c r="U40" s="37"/>
      <c r="X40" s="37"/>
      <c r="AA40" s="37"/>
      <c r="AD40" s="37"/>
      <c r="AG40" s="37"/>
      <c r="AJ40" s="37"/>
      <c r="AM40" s="37"/>
      <c r="AP40" s="37"/>
      <c r="AS40" s="37"/>
      <c r="AV40" s="37"/>
      <c r="AY40" s="37"/>
      <c r="BB40" s="37"/>
      <c r="BE40" s="37"/>
      <c r="BH40" s="37"/>
      <c r="BK40" s="37"/>
      <c r="BN40" s="37"/>
      <c r="DS40" s="40"/>
    </row>
    <row r="41" customFormat="false" ht="12.75" hidden="false" customHeight="false" outlineLevel="0" collapsed="false">
      <c r="A41" s="42"/>
      <c r="B41" s="69"/>
      <c r="C41" s="37"/>
      <c r="F41" s="37"/>
      <c r="I41" s="37"/>
      <c r="L41" s="37"/>
      <c r="O41" s="37"/>
      <c r="R41" s="37"/>
      <c r="U41" s="37"/>
      <c r="X41" s="37"/>
      <c r="AA41" s="37"/>
      <c r="AD41" s="37"/>
      <c r="AG41" s="37"/>
      <c r="AJ41" s="37"/>
      <c r="AM41" s="37"/>
      <c r="AP41" s="37"/>
      <c r="AS41" s="37"/>
      <c r="AV41" s="37"/>
      <c r="AY41" s="37"/>
      <c r="BB41" s="37"/>
      <c r="BE41" s="37"/>
      <c r="BH41" s="37"/>
      <c r="BK41" s="37"/>
      <c r="BN41" s="37"/>
    </row>
    <row r="42" customFormat="false" ht="12.75" hidden="false" customHeight="false" outlineLevel="0" collapsed="false">
      <c r="A42" s="42"/>
      <c r="B42" s="69"/>
      <c r="C42" s="37"/>
      <c r="F42" s="37"/>
      <c r="I42" s="37"/>
      <c r="L42" s="37"/>
      <c r="O42" s="37"/>
      <c r="R42" s="37"/>
      <c r="U42" s="37"/>
      <c r="X42" s="37"/>
      <c r="AA42" s="37"/>
      <c r="AD42" s="37"/>
      <c r="AG42" s="37"/>
      <c r="AJ42" s="37"/>
      <c r="AM42" s="37"/>
      <c r="AP42" s="37"/>
      <c r="AS42" s="37"/>
      <c r="AV42" s="37"/>
      <c r="AY42" s="37"/>
      <c r="BB42" s="37"/>
      <c r="BE42" s="37"/>
      <c r="BH42" s="37"/>
      <c r="BK42" s="37"/>
      <c r="BN42" s="37"/>
    </row>
    <row r="43" customFormat="false" ht="12.75" hidden="false" customHeight="false" outlineLevel="0" collapsed="false">
      <c r="A43" s="42"/>
      <c r="C43" s="37"/>
      <c r="F43" s="37"/>
      <c r="I43" s="37"/>
      <c r="L43" s="37"/>
      <c r="O43" s="37"/>
      <c r="R43" s="37"/>
      <c r="U43" s="37"/>
      <c r="X43" s="37"/>
      <c r="AA43" s="37"/>
      <c r="AD43" s="37"/>
      <c r="AG43" s="37"/>
      <c r="AJ43" s="37"/>
      <c r="AM43" s="37"/>
      <c r="AP43" s="37"/>
      <c r="AS43" s="37"/>
      <c r="AV43" s="37"/>
      <c r="AY43" s="37"/>
      <c r="BB43" s="37"/>
      <c r="BE43" s="37"/>
      <c r="BH43" s="37"/>
      <c r="BK43" s="37"/>
      <c r="BN43" s="37"/>
    </row>
    <row r="44" customFormat="false" ht="12.75" hidden="false" customHeight="false" outlineLevel="0" collapsed="false">
      <c r="A44" s="42"/>
    </row>
    <row r="45" customFormat="false" ht="12.75" hidden="false" customHeight="false" outlineLevel="0" collapsed="false">
      <c r="A45" s="42"/>
    </row>
    <row r="46" customFormat="false" ht="12.75" hidden="false" customHeight="false" outlineLevel="0" collapsed="false">
      <c r="A46" s="42"/>
    </row>
    <row r="47" customFormat="false" ht="12.75" hidden="false" customHeight="false" outlineLevel="0" collapsed="false">
      <c r="A47" s="42"/>
    </row>
    <row r="48" customFormat="false" ht="12.75" hidden="false" customHeight="false" outlineLevel="0" collapsed="false">
      <c r="A48" s="42"/>
    </row>
    <row r="49" customFormat="false" ht="12.75" hidden="false" customHeight="false" outlineLevel="0" collapsed="false">
      <c r="A49" s="42"/>
    </row>
    <row r="50" customFormat="false" ht="12.75" hidden="false" customHeight="false" outlineLevel="0" collapsed="false">
      <c r="A50" s="42"/>
    </row>
    <row r="51" customFormat="false" ht="12.75" hidden="false" customHeight="false" outlineLevel="0" collapsed="false">
      <c r="A51" s="42"/>
    </row>
    <row r="52" customFormat="false" ht="12.75" hidden="false" customHeight="false" outlineLevel="0" collapsed="false">
      <c r="A52" s="42"/>
    </row>
    <row r="53" customFormat="false" ht="12.75" hidden="false" customHeight="false" outlineLevel="0" collapsed="false">
      <c r="A53" s="42"/>
    </row>
    <row r="54" customFormat="false" ht="12.75" hidden="false" customHeight="false" outlineLevel="0" collapsed="false">
      <c r="A54" s="42"/>
    </row>
    <row r="55" customFormat="false" ht="12.75" hidden="false" customHeight="false" outlineLevel="0" collapsed="false">
      <c r="A55" s="42"/>
    </row>
    <row r="56" customFormat="false" ht="12.75" hidden="false" customHeight="false" outlineLevel="0" collapsed="false">
      <c r="A56" s="42"/>
    </row>
    <row r="57" customFormat="false" ht="12.75" hidden="false" customHeight="false" outlineLevel="0" collapsed="false">
      <c r="A57" s="42"/>
    </row>
    <row r="58" customFormat="false" ht="12.75" hidden="false" customHeight="false" outlineLevel="0" collapsed="false">
      <c r="A58" s="42"/>
    </row>
    <row r="59" customFormat="false" ht="12.75" hidden="false" customHeight="false" outlineLevel="0" collapsed="false">
      <c r="A59" s="42"/>
    </row>
    <row r="60" customFormat="false" ht="12.75" hidden="false" customHeight="false" outlineLevel="0" collapsed="false">
      <c r="A60" s="42"/>
    </row>
    <row r="61" customFormat="false" ht="12.75" hidden="false" customHeight="false" outlineLevel="0" collapsed="false">
      <c r="A61" s="42"/>
    </row>
    <row r="62" customFormat="false" ht="12.75" hidden="false" customHeight="false" outlineLevel="0" collapsed="false">
      <c r="A62" s="42"/>
    </row>
    <row r="63" customFormat="false" ht="12.75" hidden="false" customHeight="false" outlineLevel="0" collapsed="false">
      <c r="A63" s="42"/>
    </row>
    <row r="64" customFormat="false" ht="12.75" hidden="false" customHeight="false" outlineLevel="0" collapsed="false">
      <c r="A64" s="42"/>
    </row>
    <row r="65" customFormat="false" ht="12.75" hidden="false" customHeight="false" outlineLevel="0" collapsed="false">
      <c r="A65" s="42"/>
    </row>
    <row r="66" customFormat="false" ht="12.75" hidden="false" customHeight="false" outlineLevel="0" collapsed="false">
      <c r="A66" s="42"/>
    </row>
    <row r="67" customFormat="false" ht="12.75" hidden="false" customHeight="false" outlineLevel="0" collapsed="false">
      <c r="A67" s="42"/>
    </row>
    <row r="68" customFormat="false" ht="12.75" hidden="false" customHeight="false" outlineLevel="0" collapsed="false">
      <c r="A68" s="42"/>
    </row>
    <row r="69" customFormat="false" ht="12.75" hidden="false" customHeight="false" outlineLevel="0" collapsed="false">
      <c r="A69" s="42"/>
    </row>
    <row r="70" customFormat="false" ht="12.75" hidden="false" customHeight="false" outlineLevel="0" collapsed="false">
      <c r="A70" s="42"/>
    </row>
    <row r="71" customFormat="false" ht="12.75" hidden="false" customHeight="false" outlineLevel="0" collapsed="false">
      <c r="A71" s="42"/>
    </row>
    <row r="72" customFormat="false" ht="12.75" hidden="false" customHeight="false" outlineLevel="0" collapsed="false">
      <c r="A72" s="42"/>
    </row>
    <row r="73" customFormat="false" ht="12.75" hidden="false" customHeight="false" outlineLevel="0" collapsed="false">
      <c r="A73" s="42"/>
    </row>
    <row r="74" customFormat="false" ht="12.75" hidden="false" customHeight="false" outlineLevel="0" collapsed="false">
      <c r="A74" s="42"/>
    </row>
    <row r="75" customFormat="false" ht="12.75" hidden="false" customHeight="false" outlineLevel="0" collapsed="false">
      <c r="A75" s="42"/>
    </row>
    <row r="76" customFormat="false" ht="12.75" hidden="false" customHeight="false" outlineLevel="0" collapsed="false">
      <c r="A76" s="42"/>
    </row>
    <row r="77" customFormat="false" ht="12.75" hidden="false" customHeight="false" outlineLevel="0" collapsed="false">
      <c r="A77" s="42"/>
    </row>
    <row r="78" customFormat="false" ht="12.75" hidden="false" customHeight="false" outlineLevel="0" collapsed="false">
      <c r="A78" s="42"/>
    </row>
    <row r="79" customFormat="false" ht="12.75" hidden="false" customHeight="false" outlineLevel="0" collapsed="false">
      <c r="A79" s="42"/>
    </row>
    <row r="80" customFormat="false" ht="12.75" hidden="false" customHeight="false" outlineLevel="0" collapsed="false">
      <c r="A80" s="42"/>
    </row>
    <row r="81" customFormat="false" ht="12.75" hidden="false" customHeight="false" outlineLevel="0" collapsed="false">
      <c r="A81" s="42"/>
    </row>
    <row r="82" customFormat="false" ht="12.75" hidden="false" customHeight="false" outlineLevel="0" collapsed="false">
      <c r="A82" s="42"/>
    </row>
    <row r="83" customFormat="false" ht="12.75" hidden="false" customHeight="false" outlineLevel="0" collapsed="false">
      <c r="A83" s="42"/>
    </row>
    <row r="84" customFormat="false" ht="12.75" hidden="false" customHeight="false" outlineLevel="0" collapsed="false">
      <c r="A84" s="42"/>
    </row>
    <row r="85" customFormat="false" ht="12.75" hidden="false" customHeight="false" outlineLevel="0" collapsed="false">
      <c r="A85" s="42"/>
    </row>
    <row r="86" customFormat="false" ht="12.75" hidden="false" customHeight="false" outlineLevel="0" collapsed="false">
      <c r="A86" s="42"/>
    </row>
    <row r="87" customFormat="false" ht="12.75" hidden="false" customHeight="false" outlineLevel="0" collapsed="false">
      <c r="A87" s="42"/>
    </row>
    <row r="88" customFormat="false" ht="12.75" hidden="false" customHeight="false" outlineLevel="0" collapsed="false">
      <c r="A88" s="42"/>
    </row>
    <row r="89" customFormat="false" ht="12.75" hidden="false" customHeight="false" outlineLevel="0" collapsed="false">
      <c r="A89" s="42"/>
    </row>
    <row r="90" customFormat="false" ht="12.75" hidden="false" customHeight="false" outlineLevel="0" collapsed="false">
      <c r="A90" s="42"/>
    </row>
    <row r="91" customFormat="false" ht="12.75" hidden="false" customHeight="false" outlineLevel="0" collapsed="false">
      <c r="A91" s="42"/>
    </row>
    <row r="92" customFormat="false" ht="12.75" hidden="false" customHeight="false" outlineLevel="0" collapsed="false">
      <c r="A92" s="42"/>
    </row>
    <row r="93" customFormat="false" ht="12.75" hidden="false" customHeight="false" outlineLevel="0" collapsed="false">
      <c r="A93" s="42"/>
    </row>
    <row r="94" customFormat="false" ht="12.75" hidden="false" customHeight="false" outlineLevel="0" collapsed="false">
      <c r="A94" s="42"/>
    </row>
    <row r="95" customFormat="false" ht="12.75" hidden="false" customHeight="false" outlineLevel="0" collapsed="false">
      <c r="A95" s="42"/>
    </row>
    <row r="96" customFormat="false" ht="12.75" hidden="false" customHeight="false" outlineLevel="0" collapsed="false">
      <c r="A96" s="42"/>
    </row>
    <row r="97" customFormat="false" ht="12.75" hidden="false" customHeight="false" outlineLevel="0" collapsed="false">
      <c r="A97" s="42"/>
    </row>
    <row r="98" customFormat="false" ht="12.75" hidden="false" customHeight="false" outlineLevel="0" collapsed="false">
      <c r="A98" s="42"/>
    </row>
    <row r="99" customFormat="false" ht="12.75" hidden="false" customHeight="false" outlineLevel="0" collapsed="false">
      <c r="A99" s="42"/>
    </row>
    <row r="100" customFormat="false" ht="12.75" hidden="false" customHeight="false" outlineLevel="0" collapsed="false">
      <c r="A100" s="42"/>
    </row>
    <row r="101" customFormat="false" ht="12.75" hidden="false" customHeight="false" outlineLevel="0" collapsed="false">
      <c r="A101" s="42"/>
    </row>
    <row r="102" customFormat="false" ht="12.75" hidden="false" customHeight="false" outlineLevel="0" collapsed="false">
      <c r="A102" s="42"/>
    </row>
    <row r="103" customFormat="false" ht="12.75" hidden="false" customHeight="false" outlineLevel="0" collapsed="false">
      <c r="A103" s="42"/>
    </row>
    <row r="104" customFormat="false" ht="12.75" hidden="false" customHeight="false" outlineLevel="0" collapsed="false">
      <c r="A104" s="42"/>
    </row>
    <row r="105" customFormat="false" ht="12.75" hidden="false" customHeight="false" outlineLevel="0" collapsed="false">
      <c r="A105" s="42"/>
    </row>
    <row r="106" customFormat="false" ht="12.75" hidden="false" customHeight="false" outlineLevel="0" collapsed="false">
      <c r="A106" s="42"/>
    </row>
    <row r="107" customFormat="false" ht="12.75" hidden="false" customHeight="false" outlineLevel="0" collapsed="false">
      <c r="A107" s="42"/>
    </row>
    <row r="108" customFormat="false" ht="12.75" hidden="false" customHeight="false" outlineLevel="0" collapsed="false">
      <c r="A108" s="42"/>
    </row>
    <row r="109" customFormat="false" ht="12.75" hidden="false" customHeight="false" outlineLevel="0" collapsed="false">
      <c r="A109" s="42"/>
    </row>
    <row r="110" customFormat="false" ht="12.75" hidden="false" customHeight="false" outlineLevel="0" collapsed="false">
      <c r="A110" s="42"/>
    </row>
    <row r="111" customFormat="false" ht="12.75" hidden="false" customHeight="false" outlineLevel="0" collapsed="false">
      <c r="A111" s="42"/>
    </row>
    <row r="112" customFormat="false" ht="12.75" hidden="false" customHeight="false" outlineLevel="0" collapsed="false">
      <c r="A112" s="42"/>
    </row>
    <row r="113" customFormat="false" ht="12.75" hidden="false" customHeight="false" outlineLevel="0" collapsed="false">
      <c r="A113" s="42"/>
    </row>
    <row r="114" customFormat="false" ht="12.75" hidden="false" customHeight="false" outlineLevel="0" collapsed="false">
      <c r="A114" s="42"/>
    </row>
    <row r="115" customFormat="false" ht="12.75" hidden="false" customHeight="false" outlineLevel="0" collapsed="false">
      <c r="A115" s="42"/>
    </row>
    <row r="116" customFormat="false" ht="12.75" hidden="false" customHeight="false" outlineLevel="0" collapsed="false">
      <c r="A116" s="42"/>
    </row>
    <row r="117" customFormat="false" ht="12.75" hidden="false" customHeight="false" outlineLevel="0" collapsed="false">
      <c r="A117" s="42"/>
    </row>
    <row r="118" customFormat="false" ht="12.75" hidden="false" customHeight="false" outlineLevel="0" collapsed="false">
      <c r="A118" s="42"/>
    </row>
    <row r="119" customFormat="false" ht="12.75" hidden="false" customHeight="false" outlineLevel="0" collapsed="false">
      <c r="A119" s="42"/>
    </row>
    <row r="120" customFormat="false" ht="12.75" hidden="false" customHeight="false" outlineLevel="0" collapsed="false">
      <c r="A120" s="42"/>
    </row>
    <row r="121" customFormat="false" ht="12.75" hidden="false" customHeight="false" outlineLevel="0" collapsed="false">
      <c r="A121" s="42"/>
    </row>
    <row r="122" customFormat="false" ht="12.75" hidden="false" customHeight="false" outlineLevel="0" collapsed="false">
      <c r="A122" s="42"/>
    </row>
    <row r="123" customFormat="false" ht="12.75" hidden="false" customHeight="false" outlineLevel="0" collapsed="false">
      <c r="A123" s="42"/>
    </row>
    <row r="124" customFormat="false" ht="12.75" hidden="false" customHeight="false" outlineLevel="0" collapsed="false">
      <c r="A124" s="42"/>
    </row>
    <row r="125" customFormat="false" ht="12.75" hidden="false" customHeight="false" outlineLevel="0" collapsed="false">
      <c r="A125" s="42"/>
    </row>
    <row r="126" customFormat="false" ht="12.75" hidden="false" customHeight="false" outlineLevel="0" collapsed="false">
      <c r="A126" s="42"/>
    </row>
    <row r="127" customFormat="false" ht="12.75" hidden="false" customHeight="false" outlineLevel="0" collapsed="false">
      <c r="A127" s="42"/>
    </row>
    <row r="128" customFormat="false" ht="12.75" hidden="false" customHeight="false" outlineLevel="0" collapsed="false">
      <c r="A128" s="42"/>
    </row>
    <row r="129" customFormat="false" ht="12.75" hidden="false" customHeight="false" outlineLevel="0" collapsed="false">
      <c r="A129" s="42"/>
    </row>
    <row r="130" customFormat="false" ht="12.75" hidden="false" customHeight="false" outlineLevel="0" collapsed="false">
      <c r="A130" s="42"/>
    </row>
    <row r="131" customFormat="false" ht="12.75" hidden="false" customHeight="false" outlineLevel="0" collapsed="false">
      <c r="A131" s="42"/>
    </row>
    <row r="132" customFormat="false" ht="12.75" hidden="false" customHeight="false" outlineLevel="0" collapsed="false">
      <c r="A132" s="42"/>
    </row>
    <row r="133" customFormat="false" ht="12.75" hidden="false" customHeight="false" outlineLevel="0" collapsed="false">
      <c r="A133" s="42"/>
    </row>
    <row r="134" customFormat="false" ht="12.75" hidden="false" customHeight="false" outlineLevel="0" collapsed="false">
      <c r="A134" s="42"/>
    </row>
    <row r="135" customFormat="false" ht="12.75" hidden="false" customHeight="false" outlineLevel="0" collapsed="false">
      <c r="A135" s="42"/>
    </row>
    <row r="136" customFormat="false" ht="12.75" hidden="false" customHeight="false" outlineLevel="0" collapsed="false">
      <c r="A136" s="42"/>
    </row>
    <row r="137" customFormat="false" ht="12.75" hidden="false" customHeight="false" outlineLevel="0" collapsed="false">
      <c r="A137" s="42"/>
    </row>
    <row r="138" customFormat="false" ht="12.75" hidden="false" customHeight="false" outlineLevel="0" collapsed="false">
      <c r="A138" s="42"/>
    </row>
    <row r="139" customFormat="false" ht="12.75" hidden="false" customHeight="false" outlineLevel="0" collapsed="false">
      <c r="A139" s="42"/>
    </row>
    <row r="140" customFormat="false" ht="12.75" hidden="false" customHeight="false" outlineLevel="0" collapsed="false">
      <c r="A140" s="42"/>
    </row>
    <row r="141" customFormat="false" ht="12.75" hidden="false" customHeight="false" outlineLevel="0" collapsed="false">
      <c r="A141" s="42"/>
    </row>
    <row r="142" customFormat="false" ht="12.75" hidden="false" customHeight="false" outlineLevel="0" collapsed="false">
      <c r="A142" s="42"/>
    </row>
    <row r="143" customFormat="false" ht="12.75" hidden="false" customHeight="false" outlineLevel="0" collapsed="false">
      <c r="A143" s="42"/>
    </row>
    <row r="144" customFormat="false" ht="12.75" hidden="false" customHeight="false" outlineLevel="0" collapsed="false">
      <c r="A144" s="42"/>
    </row>
    <row r="145" customFormat="false" ht="12.75" hidden="false" customHeight="false" outlineLevel="0" collapsed="false">
      <c r="A145" s="42"/>
    </row>
    <row r="146" customFormat="false" ht="12.75" hidden="false" customHeight="false" outlineLevel="0" collapsed="false">
      <c r="A146" s="42"/>
    </row>
    <row r="147" customFormat="false" ht="12.75" hidden="false" customHeight="false" outlineLevel="0" collapsed="false">
      <c r="A147" s="42"/>
    </row>
    <row r="148" customFormat="false" ht="12.75" hidden="false" customHeight="false" outlineLevel="0" collapsed="false">
      <c r="A148" s="42"/>
    </row>
    <row r="149" customFormat="false" ht="12.75" hidden="false" customHeight="false" outlineLevel="0" collapsed="false">
      <c r="A149" s="42"/>
    </row>
    <row r="150" customFormat="false" ht="12.75" hidden="false" customHeight="false" outlineLevel="0" collapsed="false">
      <c r="A150" s="42"/>
    </row>
    <row r="151" customFormat="false" ht="12.75" hidden="false" customHeight="false" outlineLevel="0" collapsed="false">
      <c r="A151" s="42"/>
    </row>
    <row r="152" customFormat="false" ht="12.75" hidden="false" customHeight="false" outlineLevel="0" collapsed="false">
      <c r="A152" s="42"/>
    </row>
    <row r="153" customFormat="false" ht="12.75" hidden="false" customHeight="false" outlineLevel="0" collapsed="false">
      <c r="A153" s="42"/>
    </row>
    <row r="154" customFormat="false" ht="12.75" hidden="false" customHeight="false" outlineLevel="0" collapsed="false">
      <c r="A154" s="42"/>
    </row>
    <row r="155" customFormat="false" ht="12.75" hidden="false" customHeight="false" outlineLevel="0" collapsed="false">
      <c r="A155" s="42"/>
    </row>
    <row r="156" customFormat="false" ht="12.75" hidden="false" customHeight="false" outlineLevel="0" collapsed="false">
      <c r="A156" s="42"/>
    </row>
    <row r="157" customFormat="false" ht="12.75" hidden="false" customHeight="false" outlineLevel="0" collapsed="false">
      <c r="A157" s="42"/>
    </row>
    <row r="158" customFormat="false" ht="12.75" hidden="false" customHeight="false" outlineLevel="0" collapsed="false">
      <c r="A158" s="42"/>
    </row>
    <row r="159" customFormat="false" ht="12.75" hidden="false" customHeight="false" outlineLevel="0" collapsed="false">
      <c r="A159" s="42"/>
    </row>
    <row r="160" customFormat="false" ht="12.75" hidden="false" customHeight="false" outlineLevel="0" collapsed="false">
      <c r="A160" s="42"/>
    </row>
    <row r="161" customFormat="false" ht="12.75" hidden="false" customHeight="false" outlineLevel="0" collapsed="false">
      <c r="A161" s="42"/>
    </row>
    <row r="162" customFormat="false" ht="12.75" hidden="false" customHeight="false" outlineLevel="0" collapsed="false">
      <c r="A162" s="42"/>
    </row>
    <row r="163" customFormat="false" ht="12.75" hidden="false" customHeight="false" outlineLevel="0" collapsed="false">
      <c r="A163" s="42"/>
    </row>
    <row r="164" customFormat="false" ht="12.75" hidden="false" customHeight="false" outlineLevel="0" collapsed="false">
      <c r="A164" s="42"/>
    </row>
    <row r="165" customFormat="false" ht="12.75" hidden="false" customHeight="false" outlineLevel="0" collapsed="false">
      <c r="A165" s="42"/>
    </row>
    <row r="166" customFormat="false" ht="12.75" hidden="false" customHeight="false" outlineLevel="0" collapsed="false">
      <c r="A166" s="42"/>
    </row>
    <row r="167" customFormat="false" ht="12.75" hidden="false" customHeight="false" outlineLevel="0" collapsed="false">
      <c r="A167" s="42"/>
    </row>
    <row r="168" customFormat="false" ht="12.75" hidden="false" customHeight="false" outlineLevel="0" collapsed="false">
      <c r="A168" s="42"/>
    </row>
    <row r="169" customFormat="false" ht="12.75" hidden="false" customHeight="false" outlineLevel="0" collapsed="false">
      <c r="A169" s="42"/>
    </row>
    <row r="170" customFormat="false" ht="12.75" hidden="false" customHeight="false" outlineLevel="0" collapsed="false">
      <c r="A170" s="42"/>
    </row>
    <row r="171" customFormat="false" ht="12.75" hidden="false" customHeight="false" outlineLevel="0" collapsed="false">
      <c r="A171" s="42"/>
    </row>
    <row r="172" customFormat="false" ht="12.75" hidden="false" customHeight="false" outlineLevel="0" collapsed="false">
      <c r="A172" s="42"/>
    </row>
    <row r="173" customFormat="false" ht="12.75" hidden="false" customHeight="false" outlineLevel="0" collapsed="false">
      <c r="A173" s="42"/>
    </row>
    <row r="174" customFormat="false" ht="12.75" hidden="false" customHeight="false" outlineLevel="0" collapsed="false">
      <c r="A174" s="42"/>
    </row>
    <row r="175" customFormat="false" ht="12.75" hidden="false" customHeight="false" outlineLevel="0" collapsed="false">
      <c r="A175" s="42"/>
    </row>
    <row r="176" customFormat="false" ht="12.75" hidden="false" customHeight="false" outlineLevel="0" collapsed="false">
      <c r="A176" s="42"/>
    </row>
    <row r="177" customFormat="false" ht="12.75" hidden="false" customHeight="false" outlineLevel="0" collapsed="false">
      <c r="A177" s="42"/>
    </row>
    <row r="178" customFormat="false" ht="12.75" hidden="false" customHeight="false" outlineLevel="0" collapsed="false">
      <c r="A178" s="42"/>
    </row>
    <row r="179" customFormat="false" ht="12.75" hidden="false" customHeight="false" outlineLevel="0" collapsed="false">
      <c r="A179" s="42"/>
    </row>
    <row r="180" customFormat="false" ht="12.75" hidden="false" customHeight="false" outlineLevel="0" collapsed="false">
      <c r="A180" s="42"/>
    </row>
    <row r="181" customFormat="false" ht="12.75" hidden="false" customHeight="false" outlineLevel="0" collapsed="false">
      <c r="A181" s="42"/>
    </row>
    <row r="182" customFormat="false" ht="12.75" hidden="false" customHeight="false" outlineLevel="0" collapsed="false">
      <c r="A182" s="42"/>
    </row>
    <row r="183" customFormat="false" ht="12.75" hidden="false" customHeight="false" outlineLevel="0" collapsed="false">
      <c r="A183" s="42"/>
    </row>
    <row r="184" customFormat="false" ht="12.75" hidden="false" customHeight="false" outlineLevel="0" collapsed="false">
      <c r="A184" s="42"/>
    </row>
    <row r="185" customFormat="false" ht="12.75" hidden="false" customHeight="false" outlineLevel="0" collapsed="false">
      <c r="A185" s="42"/>
    </row>
    <row r="186" customFormat="false" ht="12.75" hidden="false" customHeight="false" outlineLevel="0" collapsed="false">
      <c r="A186" s="42"/>
    </row>
    <row r="187" customFormat="false" ht="12.75" hidden="false" customHeight="false" outlineLevel="0" collapsed="false">
      <c r="A187" s="42"/>
    </row>
    <row r="188" customFormat="false" ht="12.75" hidden="false" customHeight="false" outlineLevel="0" collapsed="false">
      <c r="A188" s="42"/>
    </row>
    <row r="189" customFormat="false" ht="12.75" hidden="false" customHeight="false" outlineLevel="0" collapsed="false">
      <c r="A189" s="42"/>
    </row>
    <row r="190" customFormat="false" ht="12.75" hidden="false" customHeight="false" outlineLevel="0" collapsed="false">
      <c r="A190" s="42"/>
    </row>
    <row r="191" customFormat="false" ht="12.75" hidden="false" customHeight="false" outlineLevel="0" collapsed="false">
      <c r="A191" s="42"/>
    </row>
    <row r="192" customFormat="false" ht="12.75" hidden="false" customHeight="false" outlineLevel="0" collapsed="false">
      <c r="A192" s="42"/>
    </row>
    <row r="193" customFormat="false" ht="12.75" hidden="false" customHeight="false" outlineLevel="0" collapsed="false">
      <c r="A193" s="42"/>
    </row>
    <row r="194" customFormat="false" ht="12.75" hidden="false" customHeight="false" outlineLevel="0" collapsed="false">
      <c r="A194" s="42"/>
    </row>
    <row r="195" customFormat="false" ht="12.75" hidden="false" customHeight="false" outlineLevel="0" collapsed="false">
      <c r="A195" s="42"/>
    </row>
    <row r="196" customFormat="false" ht="12.75" hidden="false" customHeight="false" outlineLevel="0" collapsed="false">
      <c r="A196" s="42"/>
    </row>
    <row r="197" customFormat="false" ht="12.75" hidden="false" customHeight="false" outlineLevel="0" collapsed="false">
      <c r="A197" s="42"/>
    </row>
    <row r="198" customFormat="false" ht="12.75" hidden="false" customHeight="false" outlineLevel="0" collapsed="false">
      <c r="A198" s="42"/>
    </row>
    <row r="199" customFormat="false" ht="12.75" hidden="false" customHeight="false" outlineLevel="0" collapsed="false">
      <c r="A199" s="42"/>
    </row>
    <row r="200" customFormat="false" ht="12.75" hidden="false" customHeight="false" outlineLevel="0" collapsed="false">
      <c r="A200" s="42"/>
    </row>
    <row r="201" customFormat="false" ht="12.75" hidden="false" customHeight="false" outlineLevel="0" collapsed="false">
      <c r="A201" s="42"/>
    </row>
    <row r="202" customFormat="false" ht="12.75" hidden="false" customHeight="false" outlineLevel="0" collapsed="false">
      <c r="A202" s="42"/>
    </row>
    <row r="203" customFormat="false" ht="12.75" hidden="false" customHeight="false" outlineLevel="0" collapsed="false">
      <c r="A203" s="42"/>
    </row>
    <row r="204" customFormat="false" ht="12.75" hidden="false" customHeight="false" outlineLevel="0" collapsed="false">
      <c r="A204" s="42"/>
    </row>
    <row r="205" customFormat="false" ht="12.75" hidden="false" customHeight="false" outlineLevel="0" collapsed="false">
      <c r="A205" s="42"/>
    </row>
    <row r="206" customFormat="false" ht="12.75" hidden="false" customHeight="false" outlineLevel="0" collapsed="false">
      <c r="A206" s="42"/>
    </row>
    <row r="207" customFormat="false" ht="12.75" hidden="false" customHeight="false" outlineLevel="0" collapsed="false">
      <c r="A207" s="42"/>
    </row>
    <row r="208" customFormat="false" ht="12.75" hidden="false" customHeight="false" outlineLevel="0" collapsed="false">
      <c r="A208" s="42"/>
    </row>
    <row r="209" customFormat="false" ht="12.75" hidden="false" customHeight="false" outlineLevel="0" collapsed="false">
      <c r="A209" s="42"/>
    </row>
    <row r="210" customFormat="false" ht="12.75" hidden="false" customHeight="false" outlineLevel="0" collapsed="false">
      <c r="A210" s="42"/>
    </row>
    <row r="211" customFormat="false" ht="12.75" hidden="false" customHeight="false" outlineLevel="0" collapsed="false">
      <c r="A211" s="42"/>
    </row>
    <row r="212" customFormat="false" ht="12.75" hidden="false" customHeight="false" outlineLevel="0" collapsed="false">
      <c r="A212" s="42"/>
    </row>
    <row r="213" customFormat="false" ht="12.75" hidden="false" customHeight="false" outlineLevel="0" collapsed="false">
      <c r="A213" s="42"/>
    </row>
    <row r="214" customFormat="false" ht="12.75" hidden="false" customHeight="false" outlineLevel="0" collapsed="false">
      <c r="A214" s="42"/>
    </row>
    <row r="215" customFormat="false" ht="12.75" hidden="false" customHeight="false" outlineLevel="0" collapsed="false">
      <c r="A215" s="42"/>
    </row>
    <row r="216" customFormat="false" ht="12.75" hidden="false" customHeight="false" outlineLevel="0" collapsed="false">
      <c r="A216" s="42"/>
    </row>
    <row r="217" customFormat="false" ht="12.75" hidden="false" customHeight="false" outlineLevel="0" collapsed="false">
      <c r="A217" s="42"/>
    </row>
    <row r="218" customFormat="false" ht="12.75" hidden="false" customHeight="false" outlineLevel="0" collapsed="false">
      <c r="A218" s="42"/>
    </row>
    <row r="219" customFormat="false" ht="12.75" hidden="false" customHeight="false" outlineLevel="0" collapsed="false">
      <c r="A219" s="42"/>
    </row>
    <row r="220" customFormat="false" ht="12.75" hidden="false" customHeight="false" outlineLevel="0" collapsed="false">
      <c r="A220" s="42"/>
    </row>
    <row r="221" customFormat="false" ht="12.75" hidden="false" customHeight="false" outlineLevel="0" collapsed="false">
      <c r="A221" s="42"/>
    </row>
    <row r="222" customFormat="false" ht="12.75" hidden="false" customHeight="false" outlineLevel="0" collapsed="false">
      <c r="A222" s="42"/>
    </row>
    <row r="223" customFormat="false" ht="12.75" hidden="false" customHeight="false" outlineLevel="0" collapsed="false">
      <c r="A223" s="42"/>
    </row>
    <row r="224" customFormat="false" ht="12.75" hidden="false" customHeight="false" outlineLevel="0" collapsed="false">
      <c r="A224" s="42"/>
    </row>
    <row r="225" customFormat="false" ht="12.75" hidden="false" customHeight="false" outlineLevel="0" collapsed="false">
      <c r="A225" s="42"/>
    </row>
    <row r="226" customFormat="false" ht="12.75" hidden="false" customHeight="false" outlineLevel="0" collapsed="false">
      <c r="A226" s="42"/>
    </row>
    <row r="227" customFormat="false" ht="12.75" hidden="false" customHeight="false" outlineLevel="0" collapsed="false">
      <c r="A227" s="42"/>
    </row>
    <row r="228" customFormat="false" ht="12.75" hidden="false" customHeight="false" outlineLevel="0" collapsed="false">
      <c r="A228" s="42"/>
    </row>
    <row r="229" customFormat="false" ht="12.75" hidden="false" customHeight="false" outlineLevel="0" collapsed="false">
      <c r="A229" s="42"/>
    </row>
    <row r="230" customFormat="false" ht="12.75" hidden="false" customHeight="false" outlineLevel="0" collapsed="false">
      <c r="A230" s="42"/>
    </row>
    <row r="231" customFormat="false" ht="12.75" hidden="false" customHeight="false" outlineLevel="0" collapsed="false">
      <c r="A231" s="42"/>
    </row>
    <row r="232" customFormat="false" ht="12.75" hidden="false" customHeight="false" outlineLevel="0" collapsed="false">
      <c r="A232" s="42"/>
    </row>
    <row r="233" customFormat="false" ht="12.75" hidden="false" customHeight="false" outlineLevel="0" collapsed="false">
      <c r="A233" s="42"/>
    </row>
    <row r="234" customFormat="false" ht="12.75" hidden="false" customHeight="false" outlineLevel="0" collapsed="false">
      <c r="A234" s="42"/>
    </row>
    <row r="235" customFormat="false" ht="12.75" hidden="false" customHeight="false" outlineLevel="0" collapsed="false">
      <c r="A235" s="42"/>
    </row>
    <row r="236" customFormat="false" ht="12.75" hidden="false" customHeight="false" outlineLevel="0" collapsed="false">
      <c r="A236" s="42"/>
    </row>
    <row r="237" customFormat="false" ht="12.75" hidden="false" customHeight="false" outlineLevel="0" collapsed="false">
      <c r="A237" s="42"/>
    </row>
    <row r="238" customFormat="false" ht="12.75" hidden="false" customHeight="false" outlineLevel="0" collapsed="false">
      <c r="A238" s="42"/>
    </row>
    <row r="239" customFormat="false" ht="12.75" hidden="false" customHeight="false" outlineLevel="0" collapsed="false">
      <c r="A239" s="42"/>
    </row>
    <row r="240" customFormat="false" ht="12.75" hidden="false" customHeight="false" outlineLevel="0" collapsed="false">
      <c r="A240" s="42"/>
    </row>
    <row r="241" customFormat="false" ht="12.75" hidden="false" customHeight="false" outlineLevel="0" collapsed="false">
      <c r="A241" s="42"/>
    </row>
    <row r="242" customFormat="false" ht="12.75" hidden="false" customHeight="false" outlineLevel="0" collapsed="false">
      <c r="A242" s="42"/>
    </row>
    <row r="243" customFormat="false" ht="12.75" hidden="false" customHeight="false" outlineLevel="0" collapsed="false">
      <c r="A243" s="42"/>
    </row>
    <row r="244" customFormat="false" ht="12.75" hidden="false" customHeight="false" outlineLevel="0" collapsed="false">
      <c r="A244" s="42"/>
    </row>
    <row r="245" customFormat="false" ht="12.75" hidden="false" customHeight="false" outlineLevel="0" collapsed="false">
      <c r="A245" s="42"/>
    </row>
    <row r="246" customFormat="false" ht="12.75" hidden="false" customHeight="false" outlineLevel="0" collapsed="false">
      <c r="A246" s="42"/>
    </row>
    <row r="247" customFormat="false" ht="12.75" hidden="false" customHeight="false" outlineLevel="0" collapsed="false">
      <c r="A247" s="42"/>
    </row>
    <row r="248" customFormat="false" ht="12.75" hidden="false" customHeight="false" outlineLevel="0" collapsed="false">
      <c r="A248" s="42"/>
    </row>
    <row r="249" customFormat="false" ht="12.75" hidden="false" customHeight="false" outlineLevel="0" collapsed="false">
      <c r="A249" s="42"/>
    </row>
    <row r="250" customFormat="false" ht="12.75" hidden="false" customHeight="false" outlineLevel="0" collapsed="false">
      <c r="A250" s="42"/>
    </row>
    <row r="251" customFormat="false" ht="12.75" hidden="false" customHeight="false" outlineLevel="0" collapsed="false">
      <c r="A251" s="42"/>
    </row>
    <row r="252" customFormat="false" ht="12.75" hidden="false" customHeight="false" outlineLevel="0" collapsed="false">
      <c r="A252" s="42"/>
    </row>
    <row r="253" customFormat="false" ht="12.75" hidden="false" customHeight="false" outlineLevel="0" collapsed="false">
      <c r="A253" s="42"/>
    </row>
    <row r="254" customFormat="false" ht="12.75" hidden="false" customHeight="false" outlineLevel="0" collapsed="false">
      <c r="A254" s="42"/>
    </row>
    <row r="255" customFormat="false" ht="12.75" hidden="false" customHeight="false" outlineLevel="0" collapsed="false">
      <c r="A255" s="42"/>
    </row>
    <row r="256" customFormat="false" ht="12.75" hidden="false" customHeight="false" outlineLevel="0" collapsed="false">
      <c r="A256" s="42"/>
    </row>
    <row r="257" customFormat="false" ht="12.75" hidden="false" customHeight="false" outlineLevel="0" collapsed="false">
      <c r="A257" s="42"/>
    </row>
    <row r="258" customFormat="false" ht="12.75" hidden="false" customHeight="false" outlineLevel="0" collapsed="false">
      <c r="A258" s="42"/>
    </row>
    <row r="259" customFormat="false" ht="12.75" hidden="false" customHeight="false" outlineLevel="0" collapsed="false">
      <c r="A259" s="42"/>
    </row>
    <row r="260" customFormat="false" ht="12.75" hidden="false" customHeight="false" outlineLevel="0" collapsed="false">
      <c r="A260" s="42"/>
    </row>
    <row r="261" customFormat="false" ht="12.75" hidden="false" customHeight="false" outlineLevel="0" collapsed="false">
      <c r="A261" s="42"/>
    </row>
    <row r="262" customFormat="false" ht="12.75" hidden="false" customHeight="false" outlineLevel="0" collapsed="false">
      <c r="A262" s="42"/>
    </row>
    <row r="263" customFormat="false" ht="12.75" hidden="false" customHeight="false" outlineLevel="0" collapsed="false">
      <c r="A263" s="42"/>
    </row>
    <row r="264" customFormat="false" ht="12.75" hidden="false" customHeight="false" outlineLevel="0" collapsed="false">
      <c r="A264" s="42"/>
    </row>
    <row r="265" customFormat="false" ht="12.75" hidden="false" customHeight="false" outlineLevel="0" collapsed="false">
      <c r="A265" s="42"/>
    </row>
    <row r="266" customFormat="false" ht="12.75" hidden="false" customHeight="false" outlineLevel="0" collapsed="false">
      <c r="A266" s="42"/>
    </row>
    <row r="267" customFormat="false" ht="12.75" hidden="false" customHeight="false" outlineLevel="0" collapsed="false">
      <c r="A267" s="42"/>
    </row>
    <row r="268" customFormat="false" ht="12.75" hidden="false" customHeight="false" outlineLevel="0" collapsed="false">
      <c r="A268" s="42"/>
    </row>
    <row r="269" customFormat="false" ht="12.75" hidden="false" customHeight="false" outlineLevel="0" collapsed="false">
      <c r="A269" s="42"/>
    </row>
    <row r="270" customFormat="false" ht="12.75" hidden="false" customHeight="false" outlineLevel="0" collapsed="false">
      <c r="A270" s="42"/>
    </row>
    <row r="271" customFormat="false" ht="12.75" hidden="false" customHeight="false" outlineLevel="0" collapsed="false">
      <c r="A271" s="42"/>
    </row>
    <row r="272" customFormat="false" ht="12.75" hidden="false" customHeight="false" outlineLevel="0" collapsed="false">
      <c r="A272" s="42"/>
    </row>
    <row r="273" customFormat="false" ht="12.75" hidden="false" customHeight="false" outlineLevel="0" collapsed="false">
      <c r="A273" s="42"/>
    </row>
    <row r="274" customFormat="false" ht="12.75" hidden="false" customHeight="false" outlineLevel="0" collapsed="false">
      <c r="A274" s="42"/>
    </row>
    <row r="275" customFormat="false" ht="12.75" hidden="false" customHeight="false" outlineLevel="0" collapsed="false">
      <c r="A275" s="42"/>
    </row>
    <row r="276" customFormat="false" ht="12.75" hidden="false" customHeight="false" outlineLevel="0" collapsed="false">
      <c r="A276" s="42"/>
    </row>
    <row r="277" customFormat="false" ht="12.75" hidden="false" customHeight="false" outlineLevel="0" collapsed="false">
      <c r="A277" s="42"/>
    </row>
    <row r="278" customFormat="false" ht="12.75" hidden="false" customHeight="false" outlineLevel="0" collapsed="false">
      <c r="A278" s="42"/>
    </row>
    <row r="279" customFormat="false" ht="12.75" hidden="false" customHeight="false" outlineLevel="0" collapsed="false">
      <c r="A279" s="42"/>
    </row>
    <row r="280" customFormat="false" ht="12.75" hidden="false" customHeight="false" outlineLevel="0" collapsed="false">
      <c r="A280" s="42"/>
    </row>
    <row r="281" customFormat="false" ht="12.75" hidden="false" customHeight="false" outlineLevel="0" collapsed="false">
      <c r="A281" s="42"/>
    </row>
    <row r="282" customFormat="false" ht="12.75" hidden="false" customHeight="false" outlineLevel="0" collapsed="false">
      <c r="A282" s="42"/>
    </row>
    <row r="283" customFormat="false" ht="12.75" hidden="false" customHeight="false" outlineLevel="0" collapsed="false">
      <c r="A283" s="42"/>
    </row>
    <row r="284" customFormat="false" ht="12.75" hidden="false" customHeight="false" outlineLevel="0" collapsed="false">
      <c r="A284" s="42"/>
    </row>
    <row r="285" customFormat="false" ht="12.75" hidden="false" customHeight="false" outlineLevel="0" collapsed="false">
      <c r="A285" s="42"/>
    </row>
    <row r="286" customFormat="false" ht="12.75" hidden="false" customHeight="false" outlineLevel="0" collapsed="false">
      <c r="A286" s="42"/>
    </row>
    <row r="287" customFormat="false" ht="12.75" hidden="false" customHeight="false" outlineLevel="0" collapsed="false">
      <c r="A287" s="42"/>
    </row>
    <row r="288" customFormat="false" ht="12.75" hidden="false" customHeight="false" outlineLevel="0" collapsed="false">
      <c r="A288" s="42"/>
    </row>
    <row r="289" customFormat="false" ht="12.75" hidden="false" customHeight="false" outlineLevel="0" collapsed="false">
      <c r="A289" s="42"/>
    </row>
    <row r="290" customFormat="false" ht="12.75" hidden="false" customHeight="false" outlineLevel="0" collapsed="false">
      <c r="A290" s="42"/>
    </row>
    <row r="291" customFormat="false" ht="12.75" hidden="false" customHeight="false" outlineLevel="0" collapsed="false">
      <c r="A291" s="42"/>
    </row>
    <row r="292" customFormat="false" ht="12.75" hidden="false" customHeight="false" outlineLevel="0" collapsed="false">
      <c r="A292" s="42"/>
    </row>
    <row r="293" customFormat="false" ht="12.75" hidden="false" customHeight="false" outlineLevel="0" collapsed="false">
      <c r="A293" s="42"/>
    </row>
    <row r="294" customFormat="false" ht="12.75" hidden="false" customHeight="false" outlineLevel="0" collapsed="false">
      <c r="A294" s="42"/>
    </row>
    <row r="295" customFormat="false" ht="12.75" hidden="false" customHeight="false" outlineLevel="0" collapsed="false">
      <c r="A295" s="42"/>
    </row>
    <row r="296" customFormat="false" ht="12.75" hidden="false" customHeight="false" outlineLevel="0" collapsed="false">
      <c r="A296" s="42"/>
    </row>
    <row r="297" customFormat="false" ht="12.75" hidden="false" customHeight="false" outlineLevel="0" collapsed="false">
      <c r="A297" s="42"/>
    </row>
    <row r="298" customFormat="false" ht="12.75" hidden="false" customHeight="false" outlineLevel="0" collapsed="false">
      <c r="A298" s="42"/>
    </row>
    <row r="299" customFormat="false" ht="12.75" hidden="false" customHeight="false" outlineLevel="0" collapsed="false">
      <c r="A299" s="42"/>
    </row>
    <row r="300" customFormat="false" ht="12.75" hidden="false" customHeight="false" outlineLevel="0" collapsed="false">
      <c r="A300" s="42"/>
    </row>
    <row r="301" customFormat="false" ht="12.75" hidden="false" customHeight="false" outlineLevel="0" collapsed="false">
      <c r="A301" s="42"/>
    </row>
    <row r="302" customFormat="false" ht="12.75" hidden="false" customHeight="false" outlineLevel="0" collapsed="false">
      <c r="A302" s="42"/>
    </row>
    <row r="303" customFormat="false" ht="12.75" hidden="false" customHeight="false" outlineLevel="0" collapsed="false">
      <c r="A303" s="42"/>
    </row>
    <row r="304" customFormat="false" ht="12.75" hidden="false" customHeight="false" outlineLevel="0" collapsed="false">
      <c r="A304" s="42"/>
    </row>
    <row r="305" customFormat="false" ht="12.75" hidden="false" customHeight="false" outlineLevel="0" collapsed="false">
      <c r="A305" s="42"/>
    </row>
    <row r="306" customFormat="false" ht="12.75" hidden="false" customHeight="false" outlineLevel="0" collapsed="false">
      <c r="A306" s="42"/>
    </row>
    <row r="307" customFormat="false" ht="12.75" hidden="false" customHeight="false" outlineLevel="0" collapsed="false">
      <c r="A307" s="42"/>
    </row>
    <row r="308" customFormat="false" ht="12.75" hidden="false" customHeight="false" outlineLevel="0" collapsed="false">
      <c r="A308" s="42"/>
    </row>
    <row r="309" customFormat="false" ht="12.75" hidden="false" customHeight="false" outlineLevel="0" collapsed="false">
      <c r="A309" s="42"/>
    </row>
    <row r="310" customFormat="false" ht="12.75" hidden="false" customHeight="false" outlineLevel="0" collapsed="false">
      <c r="A310" s="42"/>
    </row>
    <row r="311" customFormat="false" ht="12.75" hidden="false" customHeight="false" outlineLevel="0" collapsed="false">
      <c r="A311" s="42"/>
    </row>
    <row r="312" customFormat="false" ht="12.75" hidden="false" customHeight="false" outlineLevel="0" collapsed="false">
      <c r="A312" s="42"/>
    </row>
    <row r="313" customFormat="false" ht="12.75" hidden="false" customHeight="false" outlineLevel="0" collapsed="false">
      <c r="A313" s="42"/>
    </row>
    <row r="314" customFormat="false" ht="12.75" hidden="false" customHeight="false" outlineLevel="0" collapsed="false">
      <c r="A314" s="42"/>
    </row>
    <row r="315" customFormat="false" ht="12.75" hidden="false" customHeight="false" outlineLevel="0" collapsed="false">
      <c r="A315" s="42"/>
    </row>
    <row r="316" customFormat="false" ht="12.75" hidden="false" customHeight="false" outlineLevel="0" collapsed="false">
      <c r="A316" s="42"/>
    </row>
    <row r="317" customFormat="false" ht="12.75" hidden="false" customHeight="false" outlineLevel="0" collapsed="false">
      <c r="A317" s="42"/>
    </row>
    <row r="318" customFormat="false" ht="12.75" hidden="false" customHeight="false" outlineLevel="0" collapsed="false">
      <c r="A318" s="42"/>
    </row>
    <row r="319" customFormat="false" ht="12.75" hidden="false" customHeight="false" outlineLevel="0" collapsed="false">
      <c r="A319" s="42"/>
    </row>
    <row r="320" customFormat="false" ht="12.75" hidden="false" customHeight="false" outlineLevel="0" collapsed="false">
      <c r="A320" s="42"/>
    </row>
    <row r="321" customFormat="false" ht="12.75" hidden="false" customHeight="false" outlineLevel="0" collapsed="false">
      <c r="A321" s="42"/>
    </row>
    <row r="322" customFormat="false" ht="12.75" hidden="false" customHeight="false" outlineLevel="0" collapsed="false">
      <c r="A322" s="42"/>
    </row>
    <row r="323" customFormat="false" ht="12.75" hidden="false" customHeight="false" outlineLevel="0" collapsed="false">
      <c r="A323" s="42"/>
    </row>
    <row r="324" customFormat="false" ht="12.75" hidden="false" customHeight="false" outlineLevel="0" collapsed="false">
      <c r="A324" s="42"/>
    </row>
    <row r="325" customFormat="false" ht="12.75" hidden="false" customHeight="false" outlineLevel="0" collapsed="false">
      <c r="A325" s="42"/>
    </row>
    <row r="326" customFormat="false" ht="12.75" hidden="false" customHeight="false" outlineLevel="0" collapsed="false">
      <c r="A326" s="42"/>
    </row>
    <row r="327" customFormat="false" ht="12.75" hidden="false" customHeight="false" outlineLevel="0" collapsed="false">
      <c r="A327" s="42"/>
    </row>
    <row r="328" customFormat="false" ht="12.75" hidden="false" customHeight="false" outlineLevel="0" collapsed="false">
      <c r="A328" s="42"/>
    </row>
    <row r="329" customFormat="false" ht="12.75" hidden="false" customHeight="false" outlineLevel="0" collapsed="false">
      <c r="A329" s="42"/>
    </row>
    <row r="330" customFormat="false" ht="12.75" hidden="false" customHeight="false" outlineLevel="0" collapsed="false">
      <c r="A330" s="42"/>
    </row>
    <row r="331" customFormat="false" ht="12.75" hidden="false" customHeight="false" outlineLevel="0" collapsed="false">
      <c r="A331" s="42"/>
    </row>
    <row r="332" customFormat="false" ht="12.75" hidden="false" customHeight="false" outlineLevel="0" collapsed="false">
      <c r="A332" s="42"/>
    </row>
    <row r="333" customFormat="false" ht="12.75" hidden="false" customHeight="false" outlineLevel="0" collapsed="false">
      <c r="A333" s="42"/>
    </row>
    <row r="334" customFormat="false" ht="12.75" hidden="false" customHeight="false" outlineLevel="0" collapsed="false">
      <c r="A334" s="42"/>
    </row>
    <row r="335" customFormat="false" ht="12.75" hidden="false" customHeight="false" outlineLevel="0" collapsed="false">
      <c r="A335" s="42"/>
    </row>
    <row r="336" customFormat="false" ht="12.75" hidden="false" customHeight="false" outlineLevel="0" collapsed="false">
      <c r="A336" s="42"/>
    </row>
    <row r="337" customFormat="false" ht="12.75" hidden="false" customHeight="false" outlineLevel="0" collapsed="false">
      <c r="A337" s="42"/>
    </row>
    <row r="338" customFormat="false" ht="12.75" hidden="false" customHeight="false" outlineLevel="0" collapsed="false">
      <c r="A338" s="42"/>
    </row>
    <row r="339" customFormat="false" ht="12.75" hidden="false" customHeight="false" outlineLevel="0" collapsed="false">
      <c r="A339" s="42"/>
    </row>
    <row r="340" customFormat="false" ht="12.75" hidden="false" customHeight="false" outlineLevel="0" collapsed="false">
      <c r="A340" s="42"/>
    </row>
    <row r="341" customFormat="false" ht="12.75" hidden="false" customHeight="false" outlineLevel="0" collapsed="false">
      <c r="A341" s="42"/>
    </row>
    <row r="342" customFormat="false" ht="12.75" hidden="false" customHeight="false" outlineLevel="0" collapsed="false">
      <c r="A342" s="42"/>
    </row>
    <row r="343" customFormat="false" ht="12.75" hidden="false" customHeight="false" outlineLevel="0" collapsed="false">
      <c r="A343" s="42"/>
    </row>
    <row r="344" customFormat="false" ht="12.75" hidden="false" customHeight="false" outlineLevel="0" collapsed="false">
      <c r="A344" s="42"/>
    </row>
    <row r="345" customFormat="false" ht="12.75" hidden="false" customHeight="false" outlineLevel="0" collapsed="false">
      <c r="A345" s="42"/>
    </row>
    <row r="346" customFormat="false" ht="12.75" hidden="false" customHeight="false" outlineLevel="0" collapsed="false">
      <c r="A346" s="42"/>
    </row>
    <row r="347" customFormat="false" ht="12.75" hidden="false" customHeight="false" outlineLevel="0" collapsed="false">
      <c r="A347" s="42"/>
    </row>
    <row r="348" customFormat="false" ht="12.75" hidden="false" customHeight="false" outlineLevel="0" collapsed="false">
      <c r="A348" s="42"/>
    </row>
    <row r="349" customFormat="false" ht="12.75" hidden="false" customHeight="false" outlineLevel="0" collapsed="false">
      <c r="A349" s="42"/>
    </row>
    <row r="350" customFormat="false" ht="12.75" hidden="false" customHeight="false" outlineLevel="0" collapsed="false">
      <c r="A350" s="42"/>
    </row>
    <row r="351" customFormat="false" ht="12.75" hidden="false" customHeight="false" outlineLevel="0" collapsed="false">
      <c r="A351" s="42"/>
    </row>
    <row r="352" customFormat="false" ht="12.75" hidden="false" customHeight="false" outlineLevel="0" collapsed="false">
      <c r="A352" s="42"/>
    </row>
    <row r="353" customFormat="false" ht="12.75" hidden="false" customHeight="false" outlineLevel="0" collapsed="false">
      <c r="A353" s="42"/>
    </row>
    <row r="354" customFormat="false" ht="12.75" hidden="false" customHeight="false" outlineLevel="0" collapsed="false">
      <c r="A354" s="42"/>
    </row>
    <row r="355" customFormat="false" ht="12.75" hidden="false" customHeight="false" outlineLevel="0" collapsed="false">
      <c r="A355" s="42"/>
    </row>
    <row r="356" customFormat="false" ht="12.75" hidden="false" customHeight="false" outlineLevel="0" collapsed="false">
      <c r="A356" s="42"/>
    </row>
    <row r="357" customFormat="false" ht="12.75" hidden="false" customHeight="false" outlineLevel="0" collapsed="false">
      <c r="A357" s="42"/>
    </row>
    <row r="358" customFormat="false" ht="12.75" hidden="false" customHeight="false" outlineLevel="0" collapsed="false">
      <c r="A358" s="42"/>
    </row>
    <row r="359" customFormat="false" ht="12.75" hidden="false" customHeight="false" outlineLevel="0" collapsed="false">
      <c r="A359" s="42"/>
    </row>
    <row r="360" customFormat="false" ht="12.75" hidden="false" customHeight="false" outlineLevel="0" collapsed="false">
      <c r="A360" s="42"/>
    </row>
    <row r="361" customFormat="false" ht="12.75" hidden="false" customHeight="false" outlineLevel="0" collapsed="false">
      <c r="A361" s="42"/>
    </row>
    <row r="362" customFormat="false" ht="12.75" hidden="false" customHeight="false" outlineLevel="0" collapsed="false">
      <c r="A362" s="42"/>
    </row>
    <row r="363" customFormat="false" ht="12.75" hidden="false" customHeight="false" outlineLevel="0" collapsed="false">
      <c r="A363" s="42"/>
    </row>
    <row r="364" customFormat="false" ht="12.75" hidden="false" customHeight="false" outlineLevel="0" collapsed="false">
      <c r="A364" s="42"/>
    </row>
    <row r="365" customFormat="false" ht="12.75" hidden="false" customHeight="false" outlineLevel="0" collapsed="false">
      <c r="A365" s="42"/>
    </row>
    <row r="366" customFormat="false" ht="12.75" hidden="false" customHeight="false" outlineLevel="0" collapsed="false">
      <c r="A366" s="42"/>
    </row>
    <row r="367" customFormat="false" ht="12.75" hidden="false" customHeight="false" outlineLevel="0" collapsed="false">
      <c r="A367" s="42"/>
    </row>
    <row r="368" customFormat="false" ht="12.75" hidden="false" customHeight="false" outlineLevel="0" collapsed="false">
      <c r="A368" s="42"/>
    </row>
    <row r="369" customFormat="false" ht="12.75" hidden="false" customHeight="false" outlineLevel="0" collapsed="false">
      <c r="A369" s="42"/>
    </row>
    <row r="370" customFormat="false" ht="12.75" hidden="false" customHeight="false" outlineLevel="0" collapsed="false">
      <c r="A370" s="42"/>
    </row>
    <row r="371" customFormat="false" ht="12.75" hidden="false" customHeight="false" outlineLevel="0" collapsed="false">
      <c r="A371" s="42"/>
    </row>
    <row r="372" customFormat="false" ht="12.75" hidden="false" customHeight="false" outlineLevel="0" collapsed="false">
      <c r="A372" s="42"/>
    </row>
    <row r="373" customFormat="false" ht="12.75" hidden="false" customHeight="false" outlineLevel="0" collapsed="false">
      <c r="A373" s="42"/>
    </row>
    <row r="374" customFormat="false" ht="12.75" hidden="false" customHeight="false" outlineLevel="0" collapsed="false">
      <c r="A374" s="42"/>
    </row>
    <row r="375" customFormat="false" ht="12.75" hidden="false" customHeight="false" outlineLevel="0" collapsed="false">
      <c r="A375" s="42"/>
    </row>
    <row r="376" customFormat="false" ht="12.75" hidden="false" customHeight="false" outlineLevel="0" collapsed="false">
      <c r="A376" s="42"/>
    </row>
    <row r="377" customFormat="false" ht="12.75" hidden="false" customHeight="false" outlineLevel="0" collapsed="false">
      <c r="A377" s="42"/>
    </row>
    <row r="378" customFormat="false" ht="12.75" hidden="false" customHeight="false" outlineLevel="0" collapsed="false">
      <c r="A378" s="42"/>
    </row>
    <row r="379" customFormat="false" ht="12.75" hidden="false" customHeight="false" outlineLevel="0" collapsed="false">
      <c r="A379" s="42"/>
    </row>
    <row r="380" customFormat="false" ht="12.75" hidden="false" customHeight="false" outlineLevel="0" collapsed="false">
      <c r="A380" s="42"/>
    </row>
    <row r="381" customFormat="false" ht="12.75" hidden="false" customHeight="false" outlineLevel="0" collapsed="false">
      <c r="A381" s="42"/>
    </row>
    <row r="382" customFormat="false" ht="12.75" hidden="false" customHeight="false" outlineLevel="0" collapsed="false">
      <c r="A382" s="42"/>
    </row>
    <row r="383" customFormat="false" ht="12.75" hidden="false" customHeight="false" outlineLevel="0" collapsed="false">
      <c r="A383" s="42"/>
    </row>
    <row r="384" customFormat="false" ht="12.75" hidden="false" customHeight="false" outlineLevel="0" collapsed="false">
      <c r="A384" s="42"/>
    </row>
    <row r="385" customFormat="false" ht="12.75" hidden="false" customHeight="false" outlineLevel="0" collapsed="false">
      <c r="A385" s="42"/>
    </row>
    <row r="386" customFormat="false" ht="12.75" hidden="false" customHeight="false" outlineLevel="0" collapsed="false">
      <c r="A386" s="42"/>
    </row>
    <row r="387" customFormat="false" ht="12.75" hidden="false" customHeight="false" outlineLevel="0" collapsed="false">
      <c r="A387" s="42"/>
    </row>
    <row r="388" customFormat="false" ht="12.75" hidden="false" customHeight="false" outlineLevel="0" collapsed="false">
      <c r="A388" s="42"/>
    </row>
    <row r="389" customFormat="false" ht="12.75" hidden="false" customHeight="false" outlineLevel="0" collapsed="false">
      <c r="A389" s="42"/>
    </row>
    <row r="390" customFormat="false" ht="12.75" hidden="false" customHeight="false" outlineLevel="0" collapsed="false">
      <c r="A390" s="42"/>
    </row>
    <row r="391" customFormat="false" ht="12.75" hidden="false" customHeight="false" outlineLevel="0" collapsed="false">
      <c r="A391" s="42"/>
    </row>
    <row r="392" customFormat="false" ht="12.75" hidden="false" customHeight="false" outlineLevel="0" collapsed="false">
      <c r="A392" s="42"/>
    </row>
    <row r="393" customFormat="false" ht="12.75" hidden="false" customHeight="false" outlineLevel="0" collapsed="false">
      <c r="A393" s="42"/>
    </row>
    <row r="394" customFormat="false" ht="12.75" hidden="false" customHeight="false" outlineLevel="0" collapsed="false">
      <c r="A394" s="42"/>
    </row>
    <row r="395" customFormat="false" ht="12.75" hidden="false" customHeight="false" outlineLevel="0" collapsed="false">
      <c r="A395" s="42"/>
    </row>
    <row r="396" customFormat="false" ht="12.75" hidden="false" customHeight="false" outlineLevel="0" collapsed="false">
      <c r="A396" s="42"/>
    </row>
    <row r="397" customFormat="false" ht="12.75" hidden="false" customHeight="false" outlineLevel="0" collapsed="false">
      <c r="A397" s="42"/>
    </row>
    <row r="398" customFormat="false" ht="12.75" hidden="false" customHeight="false" outlineLevel="0" collapsed="false">
      <c r="A398" s="42"/>
    </row>
    <row r="399" customFormat="false" ht="12.75" hidden="false" customHeight="false" outlineLevel="0" collapsed="false">
      <c r="A399" s="42"/>
    </row>
    <row r="400" customFormat="false" ht="12.75" hidden="false" customHeight="false" outlineLevel="0" collapsed="false">
      <c r="A400" s="42"/>
    </row>
    <row r="401" customFormat="false" ht="12.75" hidden="false" customHeight="false" outlineLevel="0" collapsed="false">
      <c r="A401" s="42"/>
    </row>
    <row r="402" customFormat="false" ht="12.75" hidden="false" customHeight="false" outlineLevel="0" collapsed="false">
      <c r="A402" s="42"/>
    </row>
    <row r="403" customFormat="false" ht="12.75" hidden="false" customHeight="false" outlineLevel="0" collapsed="false">
      <c r="A403" s="42"/>
    </row>
    <row r="404" customFormat="false" ht="12.75" hidden="false" customHeight="false" outlineLevel="0" collapsed="false">
      <c r="A404" s="42"/>
    </row>
    <row r="405" customFormat="false" ht="12.75" hidden="false" customHeight="false" outlineLevel="0" collapsed="false">
      <c r="A405" s="42"/>
    </row>
    <row r="406" customFormat="false" ht="12.75" hidden="false" customHeight="false" outlineLevel="0" collapsed="false">
      <c r="A406" s="42"/>
    </row>
    <row r="407" customFormat="false" ht="12.75" hidden="false" customHeight="false" outlineLevel="0" collapsed="false">
      <c r="A407" s="42"/>
    </row>
    <row r="408" customFormat="false" ht="12.75" hidden="false" customHeight="false" outlineLevel="0" collapsed="false">
      <c r="A408" s="42"/>
    </row>
    <row r="409" customFormat="false" ht="12.75" hidden="false" customHeight="false" outlineLevel="0" collapsed="false">
      <c r="A409" s="42"/>
    </row>
    <row r="410" customFormat="false" ht="12.75" hidden="false" customHeight="false" outlineLevel="0" collapsed="false">
      <c r="A410" s="42"/>
    </row>
    <row r="411" customFormat="false" ht="12.75" hidden="false" customHeight="false" outlineLevel="0" collapsed="false">
      <c r="A411" s="42"/>
    </row>
    <row r="412" customFormat="false" ht="12.75" hidden="false" customHeight="false" outlineLevel="0" collapsed="false">
      <c r="A412" s="42"/>
    </row>
    <row r="413" customFormat="false" ht="12.75" hidden="false" customHeight="false" outlineLevel="0" collapsed="false">
      <c r="A413" s="42"/>
    </row>
    <row r="414" customFormat="false" ht="12.75" hidden="false" customHeight="false" outlineLevel="0" collapsed="false">
      <c r="A414" s="42"/>
    </row>
    <row r="415" customFormat="false" ht="12.75" hidden="false" customHeight="false" outlineLevel="0" collapsed="false">
      <c r="A415" s="42"/>
    </row>
    <row r="416" customFormat="false" ht="12.75" hidden="false" customHeight="false" outlineLevel="0" collapsed="false">
      <c r="A416" s="42"/>
    </row>
    <row r="417" customFormat="false" ht="12.75" hidden="false" customHeight="false" outlineLevel="0" collapsed="false">
      <c r="A417" s="42"/>
    </row>
    <row r="418" customFormat="false" ht="12.75" hidden="false" customHeight="false" outlineLevel="0" collapsed="false">
      <c r="A418" s="42"/>
    </row>
    <row r="419" customFormat="false" ht="12.75" hidden="false" customHeight="false" outlineLevel="0" collapsed="false">
      <c r="A419" s="42"/>
    </row>
    <row r="420" customFormat="false" ht="12.75" hidden="false" customHeight="false" outlineLevel="0" collapsed="false">
      <c r="A420" s="42"/>
    </row>
    <row r="421" customFormat="false" ht="12.75" hidden="false" customHeight="false" outlineLevel="0" collapsed="false">
      <c r="A421" s="42"/>
    </row>
    <row r="422" customFormat="false" ht="12.75" hidden="false" customHeight="false" outlineLevel="0" collapsed="false">
      <c r="A422" s="42"/>
    </row>
    <row r="423" customFormat="false" ht="12.75" hidden="false" customHeight="false" outlineLevel="0" collapsed="false">
      <c r="A423" s="42"/>
    </row>
    <row r="424" customFormat="false" ht="12.75" hidden="false" customHeight="false" outlineLevel="0" collapsed="false">
      <c r="A424" s="42"/>
    </row>
    <row r="425" customFormat="false" ht="12.75" hidden="false" customHeight="false" outlineLevel="0" collapsed="false">
      <c r="A425" s="42"/>
    </row>
    <row r="426" customFormat="false" ht="12.75" hidden="false" customHeight="false" outlineLevel="0" collapsed="false">
      <c r="A426" s="42"/>
    </row>
    <row r="427" customFormat="false" ht="12.75" hidden="false" customHeight="false" outlineLevel="0" collapsed="false">
      <c r="A427" s="42"/>
    </row>
    <row r="428" customFormat="false" ht="12.75" hidden="false" customHeight="false" outlineLevel="0" collapsed="false">
      <c r="A428" s="42"/>
    </row>
    <row r="429" customFormat="false" ht="12.75" hidden="false" customHeight="false" outlineLevel="0" collapsed="false">
      <c r="A429" s="42"/>
    </row>
    <row r="430" customFormat="false" ht="12.75" hidden="false" customHeight="false" outlineLevel="0" collapsed="false">
      <c r="A430" s="42"/>
    </row>
    <row r="431" customFormat="false" ht="12.75" hidden="false" customHeight="false" outlineLevel="0" collapsed="false">
      <c r="A431" s="42"/>
    </row>
    <row r="432" customFormat="false" ht="12.75" hidden="false" customHeight="false" outlineLevel="0" collapsed="false">
      <c r="A432" s="42"/>
    </row>
    <row r="433" customFormat="false" ht="12.75" hidden="false" customHeight="false" outlineLevel="0" collapsed="false">
      <c r="A433" s="42"/>
    </row>
    <row r="434" customFormat="false" ht="12.75" hidden="false" customHeight="false" outlineLevel="0" collapsed="false">
      <c r="A434" s="42"/>
    </row>
    <row r="435" customFormat="false" ht="12.75" hidden="false" customHeight="false" outlineLevel="0" collapsed="false">
      <c r="A435" s="42"/>
    </row>
    <row r="436" customFormat="false" ht="12.75" hidden="false" customHeight="false" outlineLevel="0" collapsed="false">
      <c r="A436" s="42"/>
    </row>
    <row r="437" customFormat="false" ht="12.75" hidden="false" customHeight="false" outlineLevel="0" collapsed="false">
      <c r="A437" s="42"/>
    </row>
    <row r="438" customFormat="false" ht="12.75" hidden="false" customHeight="false" outlineLevel="0" collapsed="false">
      <c r="A438" s="42"/>
    </row>
    <row r="439" customFormat="false" ht="12.75" hidden="false" customHeight="false" outlineLevel="0" collapsed="false">
      <c r="A439" s="42"/>
    </row>
    <row r="440" customFormat="false" ht="12.75" hidden="false" customHeight="false" outlineLevel="0" collapsed="false">
      <c r="A440" s="42"/>
    </row>
    <row r="441" customFormat="false" ht="12.75" hidden="false" customHeight="false" outlineLevel="0" collapsed="false">
      <c r="A441" s="42"/>
    </row>
    <row r="442" customFormat="false" ht="12.75" hidden="false" customHeight="false" outlineLevel="0" collapsed="false">
      <c r="A442" s="42"/>
    </row>
    <row r="443" customFormat="false" ht="12.75" hidden="false" customHeight="false" outlineLevel="0" collapsed="false">
      <c r="A443" s="42"/>
    </row>
    <row r="444" customFormat="false" ht="12.75" hidden="false" customHeight="false" outlineLevel="0" collapsed="false">
      <c r="A444" s="42"/>
    </row>
    <row r="445" customFormat="false" ht="12.75" hidden="false" customHeight="false" outlineLevel="0" collapsed="false">
      <c r="A445" s="42"/>
    </row>
    <row r="446" customFormat="false" ht="12.75" hidden="false" customHeight="false" outlineLevel="0" collapsed="false">
      <c r="A446" s="42"/>
    </row>
    <row r="447" customFormat="false" ht="12.75" hidden="false" customHeight="false" outlineLevel="0" collapsed="false">
      <c r="A447" s="42"/>
    </row>
    <row r="448" customFormat="false" ht="12.75" hidden="false" customHeight="false" outlineLevel="0" collapsed="false">
      <c r="A448" s="42"/>
    </row>
    <row r="449" customFormat="false" ht="12.75" hidden="false" customHeight="false" outlineLevel="0" collapsed="false">
      <c r="A449" s="42"/>
    </row>
    <row r="450" customFormat="false" ht="12.75" hidden="false" customHeight="false" outlineLevel="0" collapsed="false">
      <c r="A450" s="42"/>
    </row>
    <row r="451" customFormat="false" ht="12.75" hidden="false" customHeight="false" outlineLevel="0" collapsed="false">
      <c r="A451" s="42"/>
    </row>
    <row r="452" customFormat="false" ht="12.75" hidden="false" customHeight="false" outlineLevel="0" collapsed="false">
      <c r="A452" s="42"/>
    </row>
    <row r="453" customFormat="false" ht="12.75" hidden="false" customHeight="false" outlineLevel="0" collapsed="false">
      <c r="A453" s="42"/>
    </row>
    <row r="454" customFormat="false" ht="12.75" hidden="false" customHeight="false" outlineLevel="0" collapsed="false">
      <c r="A454" s="42"/>
    </row>
    <row r="455" customFormat="false" ht="12.75" hidden="false" customHeight="false" outlineLevel="0" collapsed="false">
      <c r="A455" s="42"/>
    </row>
    <row r="456" customFormat="false" ht="12.75" hidden="false" customHeight="false" outlineLevel="0" collapsed="false">
      <c r="A456" s="42"/>
    </row>
    <row r="457" customFormat="false" ht="12.75" hidden="false" customHeight="false" outlineLevel="0" collapsed="false">
      <c r="A457" s="42"/>
    </row>
    <row r="458" customFormat="false" ht="12.75" hidden="false" customHeight="false" outlineLevel="0" collapsed="false">
      <c r="A458" s="42"/>
    </row>
    <row r="459" customFormat="false" ht="12.75" hidden="false" customHeight="false" outlineLevel="0" collapsed="false">
      <c r="A459" s="42"/>
    </row>
    <row r="460" customFormat="false" ht="12.75" hidden="false" customHeight="false" outlineLevel="0" collapsed="false">
      <c r="A460" s="42"/>
    </row>
    <row r="461" customFormat="false" ht="12.75" hidden="false" customHeight="false" outlineLevel="0" collapsed="false">
      <c r="A461" s="42"/>
    </row>
    <row r="462" customFormat="false" ht="12.75" hidden="false" customHeight="false" outlineLevel="0" collapsed="false">
      <c r="A462" s="42"/>
    </row>
    <row r="463" customFormat="false" ht="12.75" hidden="false" customHeight="false" outlineLevel="0" collapsed="false">
      <c r="A463" s="42"/>
    </row>
    <row r="464" customFormat="false" ht="12.75" hidden="false" customHeight="false" outlineLevel="0" collapsed="false">
      <c r="A464" s="42"/>
    </row>
    <row r="465" customFormat="false" ht="12.75" hidden="false" customHeight="false" outlineLevel="0" collapsed="false">
      <c r="A465" s="42"/>
    </row>
    <row r="466" customFormat="false" ht="12.75" hidden="false" customHeight="false" outlineLevel="0" collapsed="false">
      <c r="A466" s="42"/>
    </row>
    <row r="467" customFormat="false" ht="12.75" hidden="false" customHeight="false" outlineLevel="0" collapsed="false">
      <c r="A467" s="42"/>
    </row>
    <row r="468" customFormat="false" ht="12.75" hidden="false" customHeight="false" outlineLevel="0" collapsed="false">
      <c r="A468" s="42"/>
    </row>
    <row r="469" customFormat="false" ht="12.75" hidden="false" customHeight="false" outlineLevel="0" collapsed="false">
      <c r="A469" s="42"/>
    </row>
    <row r="470" customFormat="false" ht="12.75" hidden="false" customHeight="false" outlineLevel="0" collapsed="false">
      <c r="A470" s="42"/>
    </row>
    <row r="471" customFormat="false" ht="12.75" hidden="false" customHeight="false" outlineLevel="0" collapsed="false">
      <c r="A471" s="42"/>
    </row>
    <row r="472" customFormat="false" ht="12.75" hidden="false" customHeight="false" outlineLevel="0" collapsed="false">
      <c r="A472" s="42"/>
    </row>
    <row r="473" customFormat="false" ht="12.75" hidden="false" customHeight="false" outlineLevel="0" collapsed="false">
      <c r="A473" s="42"/>
    </row>
    <row r="474" customFormat="false" ht="12.75" hidden="false" customHeight="false" outlineLevel="0" collapsed="false">
      <c r="A474" s="42"/>
    </row>
    <row r="475" customFormat="false" ht="12.75" hidden="false" customHeight="false" outlineLevel="0" collapsed="false">
      <c r="A475" s="42"/>
    </row>
    <row r="476" customFormat="false" ht="12.75" hidden="false" customHeight="false" outlineLevel="0" collapsed="false">
      <c r="A476" s="42"/>
    </row>
    <row r="477" customFormat="false" ht="12.75" hidden="false" customHeight="false" outlineLevel="0" collapsed="false">
      <c r="A477" s="42"/>
    </row>
    <row r="478" customFormat="false" ht="12.75" hidden="false" customHeight="false" outlineLevel="0" collapsed="false">
      <c r="A478" s="42"/>
    </row>
    <row r="479" customFormat="false" ht="12.75" hidden="false" customHeight="false" outlineLevel="0" collapsed="false">
      <c r="A479" s="42"/>
    </row>
    <row r="480" customFormat="false" ht="12.75" hidden="false" customHeight="false" outlineLevel="0" collapsed="false">
      <c r="A480" s="42"/>
    </row>
    <row r="481" customFormat="false" ht="12.75" hidden="false" customHeight="false" outlineLevel="0" collapsed="false">
      <c r="A481" s="42"/>
    </row>
    <row r="482" customFormat="false" ht="12.75" hidden="false" customHeight="false" outlineLevel="0" collapsed="false">
      <c r="A482" s="42"/>
    </row>
    <row r="483" customFormat="false" ht="12.75" hidden="false" customHeight="false" outlineLevel="0" collapsed="false">
      <c r="A483" s="42"/>
    </row>
    <row r="484" customFormat="false" ht="12.75" hidden="false" customHeight="false" outlineLevel="0" collapsed="false">
      <c r="A484" s="42"/>
    </row>
    <row r="485" customFormat="false" ht="12.75" hidden="false" customHeight="false" outlineLevel="0" collapsed="false">
      <c r="A485" s="42"/>
    </row>
    <row r="486" customFormat="false" ht="12.75" hidden="false" customHeight="false" outlineLevel="0" collapsed="false">
      <c r="A486" s="42"/>
    </row>
    <row r="487" customFormat="false" ht="12.75" hidden="false" customHeight="false" outlineLevel="0" collapsed="false">
      <c r="A487" s="42"/>
    </row>
    <row r="488" customFormat="false" ht="12.75" hidden="false" customHeight="false" outlineLevel="0" collapsed="false">
      <c r="A488" s="42"/>
    </row>
    <row r="489" customFormat="false" ht="12.75" hidden="false" customHeight="false" outlineLevel="0" collapsed="false">
      <c r="A489" s="42"/>
    </row>
    <row r="490" customFormat="false" ht="12.75" hidden="false" customHeight="false" outlineLevel="0" collapsed="false">
      <c r="A490" s="42"/>
    </row>
    <row r="491" customFormat="false" ht="12.75" hidden="false" customHeight="false" outlineLevel="0" collapsed="false">
      <c r="A491" s="42"/>
    </row>
    <row r="492" customFormat="false" ht="12.75" hidden="false" customHeight="false" outlineLevel="0" collapsed="false">
      <c r="A492" s="42"/>
    </row>
    <row r="493" customFormat="false" ht="12.75" hidden="false" customHeight="false" outlineLevel="0" collapsed="false">
      <c r="A493" s="42"/>
    </row>
    <row r="494" customFormat="false" ht="12.75" hidden="false" customHeight="false" outlineLevel="0" collapsed="false">
      <c r="A494" s="42"/>
    </row>
    <row r="495" customFormat="false" ht="12.75" hidden="false" customHeight="false" outlineLevel="0" collapsed="false">
      <c r="A495" s="42"/>
    </row>
    <row r="496" customFormat="false" ht="12.75" hidden="false" customHeight="false" outlineLevel="0" collapsed="false">
      <c r="A496" s="42"/>
    </row>
    <row r="497" customFormat="false" ht="12.75" hidden="false" customHeight="false" outlineLevel="0" collapsed="false">
      <c r="A497" s="42"/>
    </row>
    <row r="498" customFormat="false" ht="12.75" hidden="false" customHeight="false" outlineLevel="0" collapsed="false">
      <c r="A498" s="42"/>
    </row>
    <row r="499" customFormat="false" ht="12.75" hidden="false" customHeight="false" outlineLevel="0" collapsed="false">
      <c r="A499" s="42"/>
    </row>
    <row r="500" customFormat="false" ht="12.75" hidden="false" customHeight="false" outlineLevel="0" collapsed="false">
      <c r="A500" s="42"/>
    </row>
    <row r="501" customFormat="false" ht="12.75" hidden="false" customHeight="false" outlineLevel="0" collapsed="false">
      <c r="A501" s="42"/>
    </row>
    <row r="502" customFormat="false" ht="12.75" hidden="false" customHeight="false" outlineLevel="0" collapsed="false">
      <c r="A502" s="42"/>
    </row>
    <row r="503" customFormat="false" ht="12.75" hidden="false" customHeight="false" outlineLevel="0" collapsed="false">
      <c r="A503" s="42"/>
    </row>
    <row r="504" customFormat="false" ht="12.75" hidden="false" customHeight="false" outlineLevel="0" collapsed="false">
      <c r="A504" s="42"/>
    </row>
    <row r="505" customFormat="false" ht="12.75" hidden="false" customHeight="false" outlineLevel="0" collapsed="false">
      <c r="A505" s="42"/>
    </row>
    <row r="506" customFormat="false" ht="12.75" hidden="false" customHeight="false" outlineLevel="0" collapsed="false">
      <c r="A506" s="42"/>
    </row>
    <row r="507" customFormat="false" ht="12.75" hidden="false" customHeight="false" outlineLevel="0" collapsed="false">
      <c r="A507" s="42"/>
    </row>
    <row r="508" customFormat="false" ht="12.75" hidden="false" customHeight="false" outlineLevel="0" collapsed="false">
      <c r="A508" s="42"/>
    </row>
    <row r="509" customFormat="false" ht="12.75" hidden="false" customHeight="false" outlineLevel="0" collapsed="false">
      <c r="A509" s="42"/>
    </row>
    <row r="510" customFormat="false" ht="12.75" hidden="false" customHeight="false" outlineLevel="0" collapsed="false">
      <c r="A510" s="42"/>
    </row>
    <row r="511" customFormat="false" ht="12.75" hidden="false" customHeight="false" outlineLevel="0" collapsed="false">
      <c r="A511" s="42"/>
    </row>
    <row r="512" customFormat="false" ht="12.75" hidden="false" customHeight="false" outlineLevel="0" collapsed="false">
      <c r="A512" s="42"/>
    </row>
    <row r="513" customFormat="false" ht="12.75" hidden="false" customHeight="false" outlineLevel="0" collapsed="false">
      <c r="A513" s="42"/>
    </row>
    <row r="514" customFormat="false" ht="12.75" hidden="false" customHeight="false" outlineLevel="0" collapsed="false">
      <c r="A514" s="42"/>
    </row>
    <row r="515" customFormat="false" ht="12.75" hidden="false" customHeight="false" outlineLevel="0" collapsed="false">
      <c r="A515" s="42"/>
    </row>
  </sheetData>
  <printOptions headings="false" gridLines="true" gridLinesSet="true" horizontalCentered="true" verticalCentered="true"/>
  <pageMargins left="0" right="0" top="0" bottom="0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N6" activePane="bottomRight" state="frozen"/>
      <selection pane="topLeft" activeCell="A1" activeCellId="0" sqref="A1"/>
      <selection pane="topRight" activeCell="N1" activeCellId="0" sqref="N1"/>
      <selection pane="bottomLeft" activeCell="A6" activeCellId="0" sqref="A6"/>
      <selection pane="bottomRight" activeCell="R16" activeCellId="0" sqref="R16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1" width="15.15"/>
    <col collapsed="false" customWidth="false" hidden="false" outlineLevel="0" max="2" min="2" style="42" width="15.15"/>
    <col collapsed="false" customWidth="false" hidden="false" outlineLevel="0" max="122" min="3" style="3" width="15.15"/>
    <col collapsed="false" customWidth="false" hidden="false" outlineLevel="0" max="123" min="123" style="43" width="15.15"/>
    <col collapsed="false" customWidth="false" hidden="false" outlineLevel="0" max="126" min="124" style="40" width="15.15"/>
    <col collapsed="false" customWidth="false" hidden="false" outlineLevel="0" max="128" min="127" style="3" width="15.15"/>
    <col collapsed="false" customWidth="false" hidden="false" outlineLevel="0" max="129" min="129" style="43" width="15.15"/>
    <col collapsed="false" customWidth="false" hidden="false" outlineLevel="0" max="141" min="130" style="3" width="15.15"/>
    <col collapsed="false" customWidth="false" hidden="false" outlineLevel="0" max="149" min="142" style="44" width="15.15"/>
    <col collapsed="false" customWidth="false" hidden="false" outlineLevel="0" max="171" min="150" style="45" width="15.15"/>
    <col collapsed="false" customWidth="false" hidden="false" outlineLevel="0" max="178" min="172" style="46" width="15.15"/>
    <col collapsed="false" customWidth="false" hidden="false" outlineLevel="0" max="257" min="179" style="1" width="15.15"/>
  </cols>
  <sheetData>
    <row r="1" customFormat="false" ht="12.75" hidden="false" customHeight="false" outlineLevel="0" collapsed="false">
      <c r="A1" s="47" t="s">
        <v>74</v>
      </c>
      <c r="B1" s="48" t="n">
        <f aca="false">+BaseloadMarkets!B1</f>
        <v>36678</v>
      </c>
      <c r="C1" s="8" t="n">
        <v>4.75</v>
      </c>
      <c r="D1" s="49"/>
      <c r="E1" s="49"/>
      <c r="F1" s="8" t="n">
        <v>4.4</v>
      </c>
      <c r="G1" s="49"/>
      <c r="H1" s="49"/>
      <c r="I1" s="8" t="n">
        <v>4.19</v>
      </c>
      <c r="J1" s="49"/>
      <c r="K1" s="49"/>
      <c r="L1" s="8" t="n">
        <v>4.45</v>
      </c>
      <c r="M1" s="49"/>
      <c r="N1" s="49"/>
      <c r="O1" s="8" t="n">
        <v>4.425</v>
      </c>
      <c r="P1" s="49"/>
      <c r="Q1" s="49"/>
      <c r="R1" s="8" t="n">
        <v>4.41</v>
      </c>
      <c r="S1" s="49"/>
      <c r="T1" s="49"/>
      <c r="U1" s="8" t="n">
        <v>4.41</v>
      </c>
      <c r="V1" s="49"/>
      <c r="W1" s="49"/>
      <c r="X1" s="8" t="s">
        <v>11</v>
      </c>
      <c r="Y1" s="49"/>
      <c r="Z1" s="49"/>
      <c r="AA1" s="8" t="n">
        <v>4.74</v>
      </c>
      <c r="AB1" s="49"/>
      <c r="AC1" s="49"/>
      <c r="AD1" s="8" t="n">
        <v>4.8</v>
      </c>
      <c r="AE1" s="49"/>
      <c r="AF1" s="49"/>
      <c r="AG1" s="8" t="n">
        <v>4.72</v>
      </c>
      <c r="AH1" s="49"/>
      <c r="AI1" s="49"/>
      <c r="AJ1" s="8"/>
      <c r="AK1" s="49"/>
      <c r="AL1" s="49"/>
      <c r="AM1" s="8"/>
      <c r="AN1" s="49"/>
      <c r="AO1" s="49"/>
      <c r="AP1" s="8" t="n">
        <v>4.39</v>
      </c>
      <c r="AQ1" s="49"/>
      <c r="AR1" s="49"/>
      <c r="AS1" s="8" t="n">
        <v>4.46</v>
      </c>
      <c r="AT1" s="49"/>
      <c r="AU1" s="49"/>
      <c r="AV1" s="8"/>
      <c r="AW1" s="49"/>
      <c r="AX1" s="49"/>
      <c r="AY1" s="8" t="n">
        <v>5.09</v>
      </c>
      <c r="AZ1" s="49"/>
      <c r="BA1" s="49"/>
      <c r="BB1" s="8"/>
      <c r="BC1" s="49"/>
      <c r="BD1" s="49"/>
      <c r="BE1" s="8"/>
      <c r="BF1" s="49"/>
      <c r="BG1" s="49"/>
      <c r="BH1" s="8"/>
      <c r="BI1" s="49"/>
      <c r="BJ1" s="49"/>
      <c r="BK1" s="8"/>
      <c r="BL1" s="49"/>
      <c r="BM1" s="49"/>
      <c r="BN1" s="8"/>
      <c r="BO1" s="49"/>
      <c r="BP1" s="49"/>
      <c r="BQ1" s="8"/>
      <c r="BR1" s="49"/>
      <c r="BS1" s="49"/>
      <c r="BT1" s="8"/>
      <c r="BU1" s="49"/>
      <c r="BV1" s="49"/>
      <c r="BW1" s="8"/>
      <c r="BX1" s="49"/>
      <c r="BY1" s="49"/>
      <c r="BZ1" s="8"/>
      <c r="CA1" s="49"/>
      <c r="CB1" s="49"/>
      <c r="CC1" s="8"/>
      <c r="CD1" s="49"/>
      <c r="CE1" s="49"/>
      <c r="CF1" s="8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50"/>
      <c r="DT1" s="50"/>
      <c r="DU1" s="50"/>
      <c r="DV1" s="50"/>
      <c r="DW1" s="49"/>
      <c r="DX1" s="49"/>
      <c r="DY1" s="51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</row>
    <row r="2" customFormat="false" ht="12.75" hidden="false" customHeight="true" outlineLevel="0" collapsed="false">
      <c r="A2" s="10" t="s">
        <v>48</v>
      </c>
      <c r="B2" s="10"/>
      <c r="C2" s="12" t="n">
        <v>283976</v>
      </c>
      <c r="D2" s="12"/>
      <c r="E2" s="12"/>
      <c r="F2" s="12" t="n">
        <v>287279</v>
      </c>
      <c r="G2" s="12"/>
      <c r="H2" s="12"/>
      <c r="I2" s="12" t="n">
        <v>286781</v>
      </c>
      <c r="J2" s="12"/>
      <c r="K2" s="12"/>
      <c r="L2" s="12" t="n">
        <v>291169</v>
      </c>
      <c r="M2" s="12"/>
      <c r="N2" s="12"/>
      <c r="O2" s="12" t="n">
        <v>290879</v>
      </c>
      <c r="P2" s="12"/>
      <c r="Q2" s="12"/>
      <c r="R2" s="12" t="n">
        <v>294726</v>
      </c>
      <c r="S2" s="12"/>
      <c r="T2" s="4"/>
      <c r="U2" s="12" t="n">
        <v>294759</v>
      </c>
      <c r="V2" s="12"/>
      <c r="W2" s="12"/>
      <c r="X2" s="12" t="n">
        <v>295558</v>
      </c>
      <c r="Y2" s="12"/>
      <c r="Z2" s="12"/>
      <c r="AA2" s="12" t="n">
        <v>286781</v>
      </c>
      <c r="AB2" s="12"/>
      <c r="AC2" s="12"/>
      <c r="AD2" s="12" t="n">
        <v>294644</v>
      </c>
      <c r="AE2" s="12"/>
      <c r="AF2" s="12"/>
      <c r="AG2" s="12" t="n">
        <v>298860</v>
      </c>
      <c r="AH2" s="12"/>
      <c r="AI2" s="12"/>
      <c r="AJ2" s="12" t="n">
        <v>302118</v>
      </c>
      <c r="AK2" s="12"/>
      <c r="AL2" s="12"/>
      <c r="AM2" s="12" t="n">
        <v>301500</v>
      </c>
      <c r="AN2" s="12"/>
      <c r="AO2" s="12"/>
      <c r="AP2" s="12" t="n">
        <v>304369</v>
      </c>
      <c r="AQ2" s="12"/>
      <c r="AR2" s="12"/>
      <c r="AS2" s="12" t="n">
        <v>306848</v>
      </c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53"/>
      <c r="DT2" s="4"/>
      <c r="DU2" s="4"/>
      <c r="DV2" s="54"/>
      <c r="DW2" s="12"/>
      <c r="DX2" s="12"/>
      <c r="DY2" s="9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55"/>
      <c r="EM2" s="55"/>
      <c r="EN2" s="55"/>
      <c r="EO2" s="55"/>
      <c r="EP2" s="55"/>
      <c r="EQ2" s="55"/>
      <c r="ER2" s="55"/>
      <c r="ES2" s="55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7"/>
      <c r="FQ2" s="57"/>
      <c r="FR2" s="57"/>
      <c r="FS2" s="57"/>
      <c r="FT2" s="57"/>
      <c r="FU2" s="57"/>
      <c r="FV2" s="57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0" t="s">
        <v>104</v>
      </c>
      <c r="B3" s="10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 t="s">
        <v>120</v>
      </c>
      <c r="AW3" s="12"/>
      <c r="AX3" s="12"/>
      <c r="AY3" s="12" t="s">
        <v>121</v>
      </c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53"/>
      <c r="DT3" s="4"/>
      <c r="DU3" s="4"/>
      <c r="DV3" s="54"/>
      <c r="DW3" s="12"/>
      <c r="DX3" s="12"/>
      <c r="DY3" s="9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55"/>
      <c r="EM3" s="55"/>
      <c r="EN3" s="55"/>
      <c r="EO3" s="55"/>
      <c r="EP3" s="55"/>
      <c r="EQ3" s="55"/>
      <c r="ER3" s="55"/>
      <c r="ES3" s="55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7"/>
      <c r="FQ3" s="57"/>
      <c r="FR3" s="57"/>
      <c r="FS3" s="57"/>
      <c r="FT3" s="57"/>
      <c r="FU3" s="57"/>
      <c r="FV3" s="57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10" t="s">
        <v>87</v>
      </c>
      <c r="B4" s="10" t="s">
        <v>88</v>
      </c>
      <c r="C4" s="12" t="s">
        <v>36</v>
      </c>
      <c r="D4" s="12"/>
      <c r="E4" s="12" t="s">
        <v>83</v>
      </c>
      <c r="F4" s="12" t="s">
        <v>108</v>
      </c>
      <c r="G4" s="12"/>
      <c r="H4" s="12" t="s">
        <v>83</v>
      </c>
      <c r="I4" s="12" t="s">
        <v>108</v>
      </c>
      <c r="J4" s="12"/>
      <c r="K4" s="12" t="s">
        <v>83</v>
      </c>
      <c r="L4" s="12" t="s">
        <v>89</v>
      </c>
      <c r="M4" s="12"/>
      <c r="N4" s="12" t="s">
        <v>83</v>
      </c>
      <c r="O4" s="12" t="s">
        <v>122</v>
      </c>
      <c r="P4" s="12"/>
      <c r="Q4" s="12" t="s">
        <v>83</v>
      </c>
      <c r="R4" s="12" t="s">
        <v>26</v>
      </c>
      <c r="S4" s="12"/>
      <c r="T4" s="12" t="s">
        <v>83</v>
      </c>
      <c r="U4" s="12" t="s">
        <v>25</v>
      </c>
      <c r="V4" s="12"/>
      <c r="W4" s="12" t="s">
        <v>83</v>
      </c>
      <c r="X4" s="12" t="s">
        <v>108</v>
      </c>
      <c r="Y4" s="12"/>
      <c r="Z4" s="12" t="s">
        <v>83</v>
      </c>
      <c r="AA4" s="12" t="s">
        <v>108</v>
      </c>
      <c r="AB4" s="12"/>
      <c r="AC4" s="12" t="s">
        <v>83</v>
      </c>
      <c r="AD4" s="12" t="s">
        <v>89</v>
      </c>
      <c r="AE4" s="12"/>
      <c r="AF4" s="12" t="s">
        <v>83</v>
      </c>
      <c r="AG4" s="12" t="s">
        <v>89</v>
      </c>
      <c r="AH4" s="12"/>
      <c r="AI4" s="12" t="s">
        <v>83</v>
      </c>
      <c r="AJ4" s="12" t="s">
        <v>123</v>
      </c>
      <c r="AK4" s="12"/>
      <c r="AL4" s="12" t="s">
        <v>83</v>
      </c>
      <c r="AM4" s="12" t="s">
        <v>108</v>
      </c>
      <c r="AN4" s="12"/>
      <c r="AO4" s="12" t="s">
        <v>83</v>
      </c>
      <c r="AP4" s="12" t="s">
        <v>37</v>
      </c>
      <c r="AQ4" s="12"/>
      <c r="AR4" s="12" t="s">
        <v>83</v>
      </c>
      <c r="AS4" s="12" t="s">
        <v>124</v>
      </c>
      <c r="AT4" s="12"/>
      <c r="AU4" s="12" t="s">
        <v>83</v>
      </c>
      <c r="AV4" s="12" t="s">
        <v>122</v>
      </c>
      <c r="AW4" s="12"/>
      <c r="AX4" s="12" t="s">
        <v>83</v>
      </c>
      <c r="AY4" s="12" t="s">
        <v>23</v>
      </c>
      <c r="AZ4" s="12"/>
      <c r="BA4" s="12" t="s">
        <v>83</v>
      </c>
      <c r="BB4" s="12"/>
      <c r="BC4" s="12"/>
      <c r="BD4" s="12" t="s">
        <v>83</v>
      </c>
      <c r="BE4" s="12"/>
      <c r="BF4" s="12"/>
      <c r="BG4" s="12" t="s">
        <v>83</v>
      </c>
      <c r="BH4" s="12"/>
      <c r="BI4" s="12"/>
      <c r="BJ4" s="12" t="s">
        <v>83</v>
      </c>
      <c r="BK4" s="12"/>
      <c r="BL4" s="12"/>
      <c r="BM4" s="12" t="s">
        <v>83</v>
      </c>
      <c r="BN4" s="12"/>
      <c r="BO4" s="12"/>
      <c r="BP4" s="12" t="s">
        <v>83</v>
      </c>
      <c r="BQ4" s="12"/>
      <c r="BR4" s="12"/>
      <c r="BS4" s="12" t="s">
        <v>83</v>
      </c>
      <c r="BT4" s="12"/>
      <c r="BU4" s="12"/>
      <c r="BV4" s="12" t="s">
        <v>83</v>
      </c>
      <c r="BW4" s="12"/>
      <c r="BX4" s="12"/>
      <c r="BY4" s="12" t="s">
        <v>83</v>
      </c>
      <c r="BZ4" s="12"/>
      <c r="CA4" s="12"/>
      <c r="CB4" s="12" t="s">
        <v>83</v>
      </c>
      <c r="CC4" s="12"/>
      <c r="CD4" s="12"/>
      <c r="CE4" s="12" t="s">
        <v>83</v>
      </c>
      <c r="CF4" s="12"/>
      <c r="CG4" s="12"/>
      <c r="CH4" s="12" t="s">
        <v>83</v>
      </c>
      <c r="CI4" s="12"/>
      <c r="CJ4" s="12"/>
      <c r="CK4" s="12" t="s">
        <v>83</v>
      </c>
      <c r="CL4" s="12"/>
      <c r="CM4" s="12"/>
      <c r="CN4" s="12" t="s">
        <v>83</v>
      </c>
      <c r="CO4" s="12"/>
      <c r="CP4" s="12"/>
      <c r="CQ4" s="12" t="s">
        <v>83</v>
      </c>
      <c r="CR4" s="12"/>
      <c r="CS4" s="12"/>
      <c r="CT4" s="12" t="s">
        <v>83</v>
      </c>
      <c r="CU4" s="12"/>
      <c r="CV4" s="12"/>
      <c r="CW4" s="12" t="s">
        <v>83</v>
      </c>
      <c r="CX4" s="12"/>
      <c r="CY4" s="12"/>
      <c r="CZ4" s="12" t="s">
        <v>83</v>
      </c>
      <c r="DA4" s="12"/>
      <c r="DB4" s="12"/>
      <c r="DC4" s="12" t="s">
        <v>83</v>
      </c>
      <c r="DD4" s="12"/>
      <c r="DE4" s="12"/>
      <c r="DF4" s="12" t="s">
        <v>83</v>
      </c>
      <c r="DG4" s="12"/>
      <c r="DH4" s="12"/>
      <c r="DI4" s="12" t="s">
        <v>83</v>
      </c>
      <c r="DJ4" s="12"/>
      <c r="DK4" s="12"/>
      <c r="DL4" s="12" t="s">
        <v>83</v>
      </c>
      <c r="DM4" s="12"/>
      <c r="DN4" s="12"/>
      <c r="DO4" s="12" t="s">
        <v>83</v>
      </c>
      <c r="DP4" s="12"/>
      <c r="DQ4" s="12"/>
      <c r="DR4" s="12" t="s">
        <v>83</v>
      </c>
      <c r="DS4" s="10" t="s">
        <v>50</v>
      </c>
      <c r="DT4" s="11" t="s">
        <v>50</v>
      </c>
      <c r="DU4" s="4"/>
      <c r="DV4" s="54"/>
      <c r="DW4" s="12"/>
      <c r="DX4" s="12"/>
      <c r="DY4" s="9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55"/>
      <c r="EM4" s="55"/>
      <c r="EN4" s="55"/>
      <c r="EO4" s="55"/>
      <c r="EP4" s="55"/>
      <c r="EQ4" s="55"/>
      <c r="ER4" s="55"/>
      <c r="ES4" s="55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7"/>
      <c r="FQ4" s="57"/>
      <c r="FR4" s="57"/>
      <c r="FS4" s="57"/>
      <c r="FT4" s="57"/>
      <c r="FU4" s="57"/>
      <c r="FV4" s="57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51</v>
      </c>
      <c r="B5" s="10" t="s">
        <v>92</v>
      </c>
      <c r="C5" s="19" t="s">
        <v>60</v>
      </c>
      <c r="D5" s="19"/>
      <c r="E5" s="19" t="s">
        <v>94</v>
      </c>
      <c r="F5" s="19" t="s">
        <v>60</v>
      </c>
      <c r="G5" s="19"/>
      <c r="H5" s="19" t="s">
        <v>94</v>
      </c>
      <c r="I5" s="19" t="s">
        <v>67</v>
      </c>
      <c r="J5" s="19"/>
      <c r="K5" s="19" t="s">
        <v>94</v>
      </c>
      <c r="L5" s="19" t="s">
        <v>67</v>
      </c>
      <c r="M5" s="19"/>
      <c r="N5" s="19" t="s">
        <v>94</v>
      </c>
      <c r="O5" s="19" t="s">
        <v>64</v>
      </c>
      <c r="P5" s="19"/>
      <c r="Q5" s="19" t="s">
        <v>94</v>
      </c>
      <c r="R5" s="19" t="s">
        <v>59</v>
      </c>
      <c r="S5" s="19"/>
      <c r="T5" s="19" t="s">
        <v>94</v>
      </c>
      <c r="U5" s="19" t="s">
        <v>67</v>
      </c>
      <c r="V5" s="19"/>
      <c r="W5" s="19" t="s">
        <v>94</v>
      </c>
      <c r="X5" s="19" t="s">
        <v>64</v>
      </c>
      <c r="Y5" s="19"/>
      <c r="Z5" s="19" t="s">
        <v>94</v>
      </c>
      <c r="AA5" s="19" t="s">
        <v>54</v>
      </c>
      <c r="AB5" s="19"/>
      <c r="AC5" s="19" t="s">
        <v>94</v>
      </c>
      <c r="AD5" s="19" t="s">
        <v>125</v>
      </c>
      <c r="AE5" s="19"/>
      <c r="AF5" s="19" t="s">
        <v>94</v>
      </c>
      <c r="AG5" s="19" t="s">
        <v>126</v>
      </c>
      <c r="AH5" s="19"/>
      <c r="AI5" s="19" t="s">
        <v>94</v>
      </c>
      <c r="AJ5" s="19" t="s">
        <v>67</v>
      </c>
      <c r="AK5" s="19"/>
      <c r="AL5" s="19" t="s">
        <v>94</v>
      </c>
      <c r="AM5" s="19" t="s">
        <v>67</v>
      </c>
      <c r="AN5" s="19"/>
      <c r="AO5" s="19" t="s">
        <v>94</v>
      </c>
      <c r="AP5" s="19" t="s">
        <v>64</v>
      </c>
      <c r="AQ5" s="19"/>
      <c r="AR5" s="19" t="s">
        <v>94</v>
      </c>
      <c r="AS5" s="19" t="s">
        <v>127</v>
      </c>
      <c r="AT5" s="19"/>
      <c r="AU5" s="19" t="s">
        <v>94</v>
      </c>
      <c r="AV5" s="19" t="s">
        <v>67</v>
      </c>
      <c r="AW5" s="19"/>
      <c r="AX5" s="19" t="s">
        <v>94</v>
      </c>
      <c r="AY5" s="19" t="s">
        <v>67</v>
      </c>
      <c r="AZ5" s="19"/>
      <c r="BA5" s="19" t="s">
        <v>94</v>
      </c>
      <c r="BB5" s="19"/>
      <c r="BC5" s="19"/>
      <c r="BD5" s="19" t="s">
        <v>94</v>
      </c>
      <c r="BE5" s="19"/>
      <c r="BF5" s="19"/>
      <c r="BG5" s="19" t="s">
        <v>94</v>
      </c>
      <c r="BH5" s="19"/>
      <c r="BI5" s="19"/>
      <c r="BJ5" s="19" t="s">
        <v>94</v>
      </c>
      <c r="BK5" s="19"/>
      <c r="BL5" s="19"/>
      <c r="BM5" s="19" t="s">
        <v>94</v>
      </c>
      <c r="BN5" s="19"/>
      <c r="BO5" s="19"/>
      <c r="BP5" s="19" t="s">
        <v>94</v>
      </c>
      <c r="BQ5" s="19"/>
      <c r="BR5" s="19"/>
      <c r="BS5" s="19" t="s">
        <v>94</v>
      </c>
      <c r="BT5" s="19"/>
      <c r="BU5" s="19"/>
      <c r="BV5" s="19" t="s">
        <v>94</v>
      </c>
      <c r="BW5" s="19"/>
      <c r="BX5" s="19"/>
      <c r="BY5" s="19" t="s">
        <v>94</v>
      </c>
      <c r="BZ5" s="19"/>
      <c r="CA5" s="19"/>
      <c r="CB5" s="19" t="s">
        <v>94</v>
      </c>
      <c r="CC5" s="19"/>
      <c r="CD5" s="19"/>
      <c r="CE5" s="19" t="s">
        <v>94</v>
      </c>
      <c r="CF5" s="19"/>
      <c r="CG5" s="19"/>
      <c r="CH5" s="19" t="s">
        <v>94</v>
      </c>
      <c r="CI5" s="19"/>
      <c r="CJ5" s="19"/>
      <c r="CK5" s="19" t="s">
        <v>94</v>
      </c>
      <c r="CL5" s="19"/>
      <c r="CM5" s="19"/>
      <c r="CN5" s="19" t="s">
        <v>94</v>
      </c>
      <c r="CO5" s="19"/>
      <c r="CP5" s="19"/>
      <c r="CQ5" s="19" t="s">
        <v>94</v>
      </c>
      <c r="CR5" s="19"/>
      <c r="CS5" s="19"/>
      <c r="CT5" s="19" t="s">
        <v>94</v>
      </c>
      <c r="CU5" s="19"/>
      <c r="CV5" s="19"/>
      <c r="CW5" s="19" t="s">
        <v>94</v>
      </c>
      <c r="CX5" s="19"/>
      <c r="CY5" s="19"/>
      <c r="CZ5" s="19" t="s">
        <v>94</v>
      </c>
      <c r="DA5" s="19"/>
      <c r="DB5" s="19"/>
      <c r="DC5" s="19" t="s">
        <v>94</v>
      </c>
      <c r="DD5" s="19"/>
      <c r="DE5" s="19"/>
      <c r="DF5" s="19" t="s">
        <v>94</v>
      </c>
      <c r="DG5" s="19"/>
      <c r="DH5" s="19"/>
      <c r="DI5" s="19" t="s">
        <v>94</v>
      </c>
      <c r="DJ5" s="19"/>
      <c r="DK5" s="19"/>
      <c r="DL5" s="19" t="s">
        <v>94</v>
      </c>
      <c r="DM5" s="19"/>
      <c r="DN5" s="19"/>
      <c r="DO5" s="19" t="s">
        <v>94</v>
      </c>
      <c r="DP5" s="19"/>
      <c r="DQ5" s="19"/>
      <c r="DR5" s="19" t="s">
        <v>94</v>
      </c>
      <c r="DS5" s="54" t="s">
        <v>74</v>
      </c>
      <c r="DT5" s="54" t="s">
        <v>95</v>
      </c>
      <c r="DU5" s="54" t="s">
        <v>94</v>
      </c>
      <c r="DV5" s="19"/>
      <c r="DW5" s="19"/>
      <c r="DX5" s="19"/>
      <c r="DY5" s="93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65"/>
      <c r="EM5" s="65"/>
      <c r="EN5" s="65"/>
      <c r="EO5" s="65"/>
      <c r="EP5" s="65"/>
      <c r="EQ5" s="65"/>
      <c r="ER5" s="65"/>
      <c r="ES5" s="65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7"/>
      <c r="FQ5" s="67"/>
      <c r="FR5" s="67"/>
      <c r="FS5" s="67"/>
      <c r="FT5" s="67"/>
      <c r="FU5" s="67"/>
      <c r="FV5" s="67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2.75" hidden="false" customHeight="false" outlineLevel="0" collapsed="false">
      <c r="A6" s="69" t="n">
        <f aca="false">+BaseloadMarkets!A6</f>
        <v>36678</v>
      </c>
      <c r="B6" s="69" t="str">
        <f aca="false">+BaseloadMarkets!B6</f>
        <v>Thu</v>
      </c>
      <c r="C6" s="22" t="n">
        <f aca="false">4969+20</f>
        <v>4989</v>
      </c>
      <c r="D6" s="22" t="n">
        <f aca="false">20+4969</f>
        <v>4989</v>
      </c>
      <c r="E6" s="70" t="n">
        <f aca="false">D6-C6</f>
        <v>0</v>
      </c>
      <c r="F6" s="22"/>
      <c r="G6" s="22"/>
      <c r="H6" s="70" t="n">
        <f aca="false">G6-F6</f>
        <v>0</v>
      </c>
      <c r="I6" s="22"/>
      <c r="J6" s="22"/>
      <c r="K6" s="70" t="n">
        <f aca="false">J6-I6</f>
        <v>0</v>
      </c>
      <c r="L6" s="22"/>
      <c r="M6" s="22"/>
      <c r="N6" s="70" t="n">
        <f aca="false">M6-L6</f>
        <v>0</v>
      </c>
      <c r="O6" s="22"/>
      <c r="P6" s="22"/>
      <c r="Q6" s="70" t="n">
        <f aca="false">P6-O6</f>
        <v>0</v>
      </c>
      <c r="R6" s="22"/>
      <c r="S6" s="22"/>
      <c r="T6" s="70" t="n">
        <f aca="false">S6-R6</f>
        <v>0</v>
      </c>
      <c r="U6" s="22"/>
      <c r="V6" s="22"/>
      <c r="W6" s="70" t="n">
        <f aca="false">V6-U6</f>
        <v>0</v>
      </c>
      <c r="X6" s="22"/>
      <c r="Y6" s="22"/>
      <c r="Z6" s="70" t="n">
        <f aca="false">Y6-X6</f>
        <v>0</v>
      </c>
      <c r="AA6" s="22"/>
      <c r="AB6" s="22"/>
      <c r="AC6" s="70" t="n">
        <f aca="false">AB6-AA6</f>
        <v>0</v>
      </c>
      <c r="AD6" s="22"/>
      <c r="AE6" s="22"/>
      <c r="AF6" s="70" t="n">
        <f aca="false">AE6-AD6</f>
        <v>0</v>
      </c>
      <c r="AG6" s="22"/>
      <c r="AH6" s="22"/>
      <c r="AI6" s="70" t="n">
        <f aca="false">AH6-AG6</f>
        <v>0</v>
      </c>
      <c r="AJ6" s="22"/>
      <c r="AK6" s="22"/>
      <c r="AL6" s="70" t="n">
        <f aca="false">AK6-AJ6</f>
        <v>0</v>
      </c>
      <c r="AM6" s="22"/>
      <c r="AN6" s="22"/>
      <c r="AO6" s="70" t="n">
        <f aca="false">AN6-AM6</f>
        <v>0</v>
      </c>
      <c r="AP6" s="22"/>
      <c r="AQ6" s="22"/>
      <c r="AR6" s="70" t="n">
        <f aca="false">AQ6-AP6</f>
        <v>0</v>
      </c>
      <c r="AS6" s="22"/>
      <c r="AT6" s="22"/>
      <c r="AU6" s="70" t="n">
        <f aca="false">AT6-AS6</f>
        <v>0</v>
      </c>
      <c r="AV6" s="22"/>
      <c r="AW6" s="22"/>
      <c r="AX6" s="70" t="n">
        <f aca="false">AW6-AV6</f>
        <v>0</v>
      </c>
      <c r="AY6" s="22"/>
      <c r="AZ6" s="22"/>
      <c r="BA6" s="70" t="n">
        <f aca="false">AZ6-AY6</f>
        <v>0</v>
      </c>
      <c r="BB6" s="22"/>
      <c r="BC6" s="22"/>
      <c r="BD6" s="70" t="n">
        <f aca="false">BC6-BB6</f>
        <v>0</v>
      </c>
      <c r="BE6" s="22"/>
      <c r="BF6" s="22"/>
      <c r="BG6" s="70" t="n">
        <f aca="false">BF6-BE6</f>
        <v>0</v>
      </c>
      <c r="BH6" s="22"/>
      <c r="BI6" s="22"/>
      <c r="BJ6" s="70" t="n">
        <f aca="false">BI6-BH6</f>
        <v>0</v>
      </c>
      <c r="BK6" s="22"/>
      <c r="BL6" s="22"/>
      <c r="BM6" s="70" t="n">
        <f aca="false">BL6-BK6</f>
        <v>0</v>
      </c>
      <c r="BN6" s="22"/>
      <c r="BO6" s="22"/>
      <c r="BP6" s="70" t="n">
        <f aca="false">BO6-BN6</f>
        <v>0</v>
      </c>
      <c r="BQ6" s="22"/>
      <c r="BR6" s="22"/>
      <c r="BS6" s="70" t="n">
        <f aca="false">BR6-BQ6</f>
        <v>0</v>
      </c>
      <c r="BT6" s="22"/>
      <c r="BU6" s="22"/>
      <c r="BV6" s="70" t="n">
        <f aca="false">BU6-BT6</f>
        <v>0</v>
      </c>
      <c r="BW6" s="22"/>
      <c r="BX6" s="22"/>
      <c r="BY6" s="70" t="n">
        <f aca="false">BX6-BW6</f>
        <v>0</v>
      </c>
      <c r="BZ6" s="22"/>
      <c r="CA6" s="22"/>
      <c r="CB6" s="70" t="n">
        <f aca="false">CA6-BZ6</f>
        <v>0</v>
      </c>
      <c r="CC6" s="22"/>
      <c r="CD6" s="22"/>
      <c r="CE6" s="70" t="n">
        <f aca="false">CD6-CC6</f>
        <v>0</v>
      </c>
      <c r="CF6" s="22"/>
      <c r="CG6" s="22"/>
      <c r="CH6" s="70" t="n">
        <f aca="false">CG6-CF6</f>
        <v>0</v>
      </c>
      <c r="CI6" s="22"/>
      <c r="CJ6" s="22"/>
      <c r="CK6" s="70" t="n">
        <f aca="false">CJ6-CI6</f>
        <v>0</v>
      </c>
      <c r="CL6" s="22"/>
      <c r="CM6" s="22"/>
      <c r="CN6" s="70" t="n">
        <f aca="false">CM6-CL6</f>
        <v>0</v>
      </c>
      <c r="CO6" s="22"/>
      <c r="CP6" s="22"/>
      <c r="CQ6" s="70" t="n">
        <f aca="false">CP6-CO6</f>
        <v>0</v>
      </c>
      <c r="CR6" s="22"/>
      <c r="CS6" s="22"/>
      <c r="CT6" s="70" t="n">
        <f aca="false">CS6-CR6</f>
        <v>0</v>
      </c>
      <c r="CU6" s="22"/>
      <c r="CV6" s="22"/>
      <c r="CW6" s="70" t="n">
        <f aca="false">CV6-CU6</f>
        <v>0</v>
      </c>
      <c r="CX6" s="22"/>
      <c r="CY6" s="22"/>
      <c r="CZ6" s="70" t="n">
        <f aca="false">CY6-CX6</f>
        <v>0</v>
      </c>
      <c r="DA6" s="22"/>
      <c r="DB6" s="22"/>
      <c r="DC6" s="70" t="n">
        <f aca="false">DB6-DA6</f>
        <v>0</v>
      </c>
      <c r="DD6" s="22"/>
      <c r="DE6" s="22"/>
      <c r="DF6" s="70" t="n">
        <f aca="false">DE6-DD6</f>
        <v>0</v>
      </c>
      <c r="DG6" s="22"/>
      <c r="DH6" s="22"/>
      <c r="DI6" s="70" t="n">
        <f aca="false">DH6-DG6</f>
        <v>0</v>
      </c>
      <c r="DJ6" s="22"/>
      <c r="DK6" s="22"/>
      <c r="DL6" s="70" t="n">
        <f aca="false">DK6-DJ6</f>
        <v>0</v>
      </c>
      <c r="DM6" s="22"/>
      <c r="DN6" s="22"/>
      <c r="DO6" s="70" t="n">
        <f aca="false">DN6-DM6</f>
        <v>0</v>
      </c>
      <c r="DP6" s="22"/>
      <c r="DQ6" s="22"/>
      <c r="DR6" s="70" t="n">
        <f aca="false">DQ6-DP6</f>
        <v>0</v>
      </c>
      <c r="DS6" s="70" t="n">
        <f aca="false">+C6+F6+I6+L6+O6+R6+U6+X6+AA6+AD6+AG6+AJ6+AM6+AP6+AS6+AV6+AY6+BB6+BE6+BH6+BK6+BN6+BQ6+BT6+BW6+BZ6+CC6+CF6+CI6+CL6+CO6+CR6+CU6+CX6+DA6+DD6+DG6+DJ6+DM6+DP6</f>
        <v>4989</v>
      </c>
      <c r="DT6" s="70" t="n">
        <f aca="false">+D6+G6+J6+M6+P6+S6+V6+Y6+AB6+AE6+AH6+AK6+AN6+AQ6+AT6+AW6+AZ6+BC6+BF6+BI6+BL6+BO6+BR6+BU6+BX6+CA6+CD6+CG6+CJ6+CM6+CP6+CS6+CV6+CY6+DB6+DE6+DH6+DK6+DN6+DQ6</f>
        <v>4989</v>
      </c>
      <c r="DU6" s="70" t="n">
        <f aca="false">DT6-DS6</f>
        <v>0</v>
      </c>
      <c r="DV6" s="22"/>
      <c r="DW6" s="22"/>
      <c r="DX6" s="70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38"/>
      <c r="EM6" s="38"/>
      <c r="EN6" s="38"/>
      <c r="EO6" s="38"/>
      <c r="EP6" s="38"/>
      <c r="EQ6" s="38"/>
      <c r="ER6" s="38"/>
      <c r="ES6" s="38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2"/>
      <c r="FQ6" s="72"/>
      <c r="FR6" s="72"/>
      <c r="FS6" s="72"/>
      <c r="FT6" s="72"/>
      <c r="FU6" s="72"/>
      <c r="FV6" s="72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2.75" hidden="false" customHeight="false" outlineLevel="0" collapsed="false">
      <c r="A7" s="69" t="n">
        <f aca="false">+BaseloadMarkets!A7</f>
        <v>36679</v>
      </c>
      <c r="B7" s="69" t="str">
        <f aca="false">+BaseloadMarkets!B7</f>
        <v>Fri</v>
      </c>
      <c r="C7" s="22"/>
      <c r="D7" s="22"/>
      <c r="E7" s="70" t="n">
        <f aca="false">D7-C7</f>
        <v>0</v>
      </c>
      <c r="F7" s="22"/>
      <c r="G7" s="22"/>
      <c r="H7" s="70" t="n">
        <f aca="false">G7-F7</f>
        <v>0</v>
      </c>
      <c r="I7" s="22"/>
      <c r="J7" s="22"/>
      <c r="K7" s="70" t="n">
        <f aca="false">J7-I7</f>
        <v>0</v>
      </c>
      <c r="L7" s="22"/>
      <c r="M7" s="22"/>
      <c r="N7" s="70" t="n">
        <f aca="false">M7-L7</f>
        <v>0</v>
      </c>
      <c r="O7" s="22"/>
      <c r="P7" s="22"/>
      <c r="Q7" s="70" t="n">
        <f aca="false">P7-O7</f>
        <v>0</v>
      </c>
      <c r="R7" s="22"/>
      <c r="S7" s="22"/>
      <c r="T7" s="70" t="n">
        <f aca="false">S7-R7</f>
        <v>0</v>
      </c>
      <c r="U7" s="22"/>
      <c r="V7" s="22"/>
      <c r="W7" s="70" t="n">
        <f aca="false">V7-U7</f>
        <v>0</v>
      </c>
      <c r="X7" s="22"/>
      <c r="Y7" s="22"/>
      <c r="Z7" s="70" t="n">
        <f aca="false">Y7-X7</f>
        <v>0</v>
      </c>
      <c r="AA7" s="22"/>
      <c r="AB7" s="22"/>
      <c r="AC7" s="70" t="n">
        <f aca="false">AB7-AA7</f>
        <v>0</v>
      </c>
      <c r="AD7" s="22"/>
      <c r="AE7" s="22"/>
      <c r="AF7" s="70" t="n">
        <f aca="false">AE7-AD7</f>
        <v>0</v>
      </c>
      <c r="AG7" s="22"/>
      <c r="AH7" s="22"/>
      <c r="AI7" s="70" t="n">
        <f aca="false">AH7-AG7</f>
        <v>0</v>
      </c>
      <c r="AJ7" s="22"/>
      <c r="AK7" s="22"/>
      <c r="AL7" s="70" t="n">
        <f aca="false">AK7-AJ7</f>
        <v>0</v>
      </c>
      <c r="AM7" s="22"/>
      <c r="AN7" s="22"/>
      <c r="AO7" s="70" t="n">
        <f aca="false">AN7-AM7</f>
        <v>0</v>
      </c>
      <c r="AP7" s="22"/>
      <c r="AQ7" s="22"/>
      <c r="AR7" s="70" t="n">
        <f aca="false">AQ7-AP7</f>
        <v>0</v>
      </c>
      <c r="AS7" s="22"/>
      <c r="AT7" s="22"/>
      <c r="AU7" s="70" t="n">
        <f aca="false">AT7-AS7</f>
        <v>0</v>
      </c>
      <c r="AV7" s="22"/>
      <c r="AW7" s="22"/>
      <c r="AX7" s="70" t="n">
        <f aca="false">AW7-AV7</f>
        <v>0</v>
      </c>
      <c r="AY7" s="22"/>
      <c r="AZ7" s="22"/>
      <c r="BA7" s="70" t="n">
        <f aca="false">AZ7-AY7</f>
        <v>0</v>
      </c>
      <c r="BB7" s="22"/>
      <c r="BC7" s="22"/>
      <c r="BD7" s="70" t="n">
        <f aca="false">BC7-BB7</f>
        <v>0</v>
      </c>
      <c r="BE7" s="22"/>
      <c r="BF7" s="22"/>
      <c r="BG7" s="70" t="n">
        <f aca="false">BF7-BE7</f>
        <v>0</v>
      </c>
      <c r="BH7" s="22"/>
      <c r="BI7" s="22"/>
      <c r="BJ7" s="70" t="n">
        <f aca="false">BI7-BH7</f>
        <v>0</v>
      </c>
      <c r="BK7" s="22"/>
      <c r="BL7" s="22"/>
      <c r="BM7" s="70" t="n">
        <f aca="false">BL7-BK7</f>
        <v>0</v>
      </c>
      <c r="BN7" s="22"/>
      <c r="BO7" s="22"/>
      <c r="BP7" s="70" t="n">
        <f aca="false">BO7-BN7</f>
        <v>0</v>
      </c>
      <c r="BQ7" s="22"/>
      <c r="BR7" s="22"/>
      <c r="BS7" s="70" t="n">
        <f aca="false">BR7-BQ7</f>
        <v>0</v>
      </c>
      <c r="BT7" s="22"/>
      <c r="BU7" s="22"/>
      <c r="BV7" s="70" t="n">
        <f aca="false">BU7-BT7</f>
        <v>0</v>
      </c>
      <c r="BW7" s="22"/>
      <c r="BX7" s="22"/>
      <c r="BY7" s="70" t="n">
        <f aca="false">BX7-BW7</f>
        <v>0</v>
      </c>
      <c r="BZ7" s="22"/>
      <c r="CA7" s="22"/>
      <c r="CB7" s="70" t="n">
        <f aca="false">CA7-BZ7</f>
        <v>0</v>
      </c>
      <c r="CC7" s="22"/>
      <c r="CD7" s="22"/>
      <c r="CE7" s="70" t="n">
        <f aca="false">CD7-CC7</f>
        <v>0</v>
      </c>
      <c r="CF7" s="22"/>
      <c r="CG7" s="22"/>
      <c r="CH7" s="70" t="n">
        <f aca="false">CG7-CF7</f>
        <v>0</v>
      </c>
      <c r="CI7" s="22"/>
      <c r="CJ7" s="22"/>
      <c r="CK7" s="70" t="n">
        <f aca="false">CJ7-CI7</f>
        <v>0</v>
      </c>
      <c r="CL7" s="22"/>
      <c r="CM7" s="22"/>
      <c r="CN7" s="70" t="n">
        <f aca="false">CM7-CL7</f>
        <v>0</v>
      </c>
      <c r="CO7" s="22"/>
      <c r="CP7" s="22"/>
      <c r="CQ7" s="70" t="n">
        <f aca="false">CP7-CO7</f>
        <v>0</v>
      </c>
      <c r="CR7" s="22"/>
      <c r="CS7" s="22"/>
      <c r="CT7" s="70" t="n">
        <f aca="false">CS7-CR7</f>
        <v>0</v>
      </c>
      <c r="CU7" s="22"/>
      <c r="CV7" s="22"/>
      <c r="CW7" s="70" t="n">
        <f aca="false">CV7-CU7</f>
        <v>0</v>
      </c>
      <c r="CX7" s="22"/>
      <c r="CY7" s="22"/>
      <c r="CZ7" s="70" t="n">
        <f aca="false">CY7-CX7</f>
        <v>0</v>
      </c>
      <c r="DA7" s="22"/>
      <c r="DB7" s="22"/>
      <c r="DC7" s="70" t="n">
        <f aca="false">DB7-DA7</f>
        <v>0</v>
      </c>
      <c r="DD7" s="22"/>
      <c r="DE7" s="22"/>
      <c r="DF7" s="70" t="n">
        <f aca="false">DE7-DD7</f>
        <v>0</v>
      </c>
      <c r="DG7" s="22"/>
      <c r="DH7" s="22"/>
      <c r="DI7" s="70" t="n">
        <f aca="false">DH7-DG7</f>
        <v>0</v>
      </c>
      <c r="DJ7" s="22"/>
      <c r="DK7" s="22"/>
      <c r="DL7" s="70" t="n">
        <f aca="false">DK7-DJ7</f>
        <v>0</v>
      </c>
      <c r="DM7" s="22"/>
      <c r="DN7" s="22"/>
      <c r="DO7" s="70" t="n">
        <f aca="false">DN7-DM7</f>
        <v>0</v>
      </c>
      <c r="DP7" s="22"/>
      <c r="DQ7" s="22"/>
      <c r="DR7" s="70" t="n">
        <f aca="false">DQ7-DP7</f>
        <v>0</v>
      </c>
      <c r="DS7" s="70" t="n">
        <f aca="false">+C7+F7+I7+L7+O7+R7+U7+X7+AA7+AD7+AG7+AJ7+AM7+AP7+AS7+AV7+AY7+BB7+BE7+BH7+BK7+BN7+BQ7+BT7+BW7+BZ7+CC7+CF7+CI7+CL7+CO7+CR7+CU7+CX7+DA7+DD7+DG7+DJ7+DM7+DP7</f>
        <v>0</v>
      </c>
      <c r="DT7" s="70" t="n">
        <f aca="false">+D7+G7+J7+M7+P7+S7+V7+Y7+AB7+AE7+AH7+AK7+AN7+AQ7+AT7+AW7+AZ7+BC7+BF7+BI7+BL7+BO7+BR7+BU7+BX7+CA7+CD7+CG7+CJ7+CM7+CP7+CS7+CV7+CY7+DB7+DE7+DH7+DK7+DN7+DQ7</f>
        <v>0</v>
      </c>
      <c r="DU7" s="70" t="n">
        <f aca="false">DT7-DS7</f>
        <v>0</v>
      </c>
      <c r="DV7" s="22"/>
      <c r="DW7" s="22"/>
      <c r="DX7" s="70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38"/>
      <c r="EM7" s="38"/>
      <c r="EN7" s="38"/>
      <c r="EO7" s="38"/>
      <c r="EP7" s="38"/>
      <c r="EQ7" s="38"/>
      <c r="ER7" s="38"/>
      <c r="ES7" s="38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2"/>
      <c r="FQ7" s="72"/>
      <c r="FR7" s="72"/>
      <c r="FS7" s="72"/>
      <c r="FT7" s="72"/>
      <c r="FU7" s="72"/>
      <c r="FV7" s="72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2.75" hidden="false" customHeight="false" outlineLevel="0" collapsed="false">
      <c r="A8" s="69" t="n">
        <f aca="false">+BaseloadMarkets!A8</f>
        <v>36680</v>
      </c>
      <c r="B8" s="69" t="str">
        <f aca="false">+BaseloadMarkets!B8</f>
        <v>Sat</v>
      </c>
      <c r="C8" s="22"/>
      <c r="D8" s="22"/>
      <c r="E8" s="70" t="n">
        <f aca="false">D8-C8</f>
        <v>0</v>
      </c>
      <c r="F8" s="22" t="n">
        <v>22000</v>
      </c>
      <c r="G8" s="22" t="n">
        <v>22000</v>
      </c>
      <c r="H8" s="70" t="n">
        <f aca="false">G8-F8</f>
        <v>0</v>
      </c>
      <c r="I8" s="22" t="n">
        <v>40000</v>
      </c>
      <c r="J8" s="22" t="n">
        <v>40000</v>
      </c>
      <c r="K8" s="70" t="n">
        <f aca="false">J8-I8</f>
        <v>0</v>
      </c>
      <c r="L8" s="22"/>
      <c r="M8" s="22"/>
      <c r="N8" s="70" t="n">
        <f aca="false">M8-L8</f>
        <v>0</v>
      </c>
      <c r="O8" s="22"/>
      <c r="P8" s="22"/>
      <c r="Q8" s="70" t="n">
        <f aca="false">P8-O8</f>
        <v>0</v>
      </c>
      <c r="R8" s="22"/>
      <c r="S8" s="22"/>
      <c r="T8" s="70" t="n">
        <f aca="false">S8-R8</f>
        <v>0</v>
      </c>
      <c r="U8" s="22"/>
      <c r="V8" s="22"/>
      <c r="W8" s="70" t="n">
        <f aca="false">V8-U8</f>
        <v>0</v>
      </c>
      <c r="X8" s="22"/>
      <c r="Y8" s="22"/>
      <c r="Z8" s="70" t="n">
        <f aca="false">Y8-X8</f>
        <v>0</v>
      </c>
      <c r="AA8" s="22"/>
      <c r="AB8" s="22"/>
      <c r="AC8" s="70" t="n">
        <f aca="false">AB8-AA8</f>
        <v>0</v>
      </c>
      <c r="AD8" s="22"/>
      <c r="AE8" s="22"/>
      <c r="AF8" s="70" t="n">
        <f aca="false">AE8-AD8</f>
        <v>0</v>
      </c>
      <c r="AG8" s="22"/>
      <c r="AH8" s="22"/>
      <c r="AI8" s="70" t="n">
        <f aca="false">AH8-AG8</f>
        <v>0</v>
      </c>
      <c r="AJ8" s="22"/>
      <c r="AK8" s="22"/>
      <c r="AL8" s="70" t="n">
        <f aca="false">AK8-AJ8</f>
        <v>0</v>
      </c>
      <c r="AM8" s="22"/>
      <c r="AN8" s="22"/>
      <c r="AO8" s="70" t="n">
        <f aca="false">AN8-AM8</f>
        <v>0</v>
      </c>
      <c r="AP8" s="22"/>
      <c r="AQ8" s="22"/>
      <c r="AR8" s="70" t="n">
        <f aca="false">AQ8-AP8</f>
        <v>0</v>
      </c>
      <c r="AS8" s="22"/>
      <c r="AT8" s="22"/>
      <c r="AU8" s="70" t="n">
        <f aca="false">AT8-AS8</f>
        <v>0</v>
      </c>
      <c r="AV8" s="22"/>
      <c r="AW8" s="22"/>
      <c r="AX8" s="70" t="n">
        <f aca="false">AW8-AV8</f>
        <v>0</v>
      </c>
      <c r="AY8" s="22"/>
      <c r="AZ8" s="22"/>
      <c r="BA8" s="70" t="n">
        <f aca="false">AZ8-AY8</f>
        <v>0</v>
      </c>
      <c r="BB8" s="22"/>
      <c r="BC8" s="22"/>
      <c r="BD8" s="70" t="n">
        <f aca="false">BC8-BB8</f>
        <v>0</v>
      </c>
      <c r="BE8" s="22"/>
      <c r="BF8" s="22"/>
      <c r="BG8" s="70" t="n">
        <f aca="false">BF8-BE8</f>
        <v>0</v>
      </c>
      <c r="BH8" s="22"/>
      <c r="BI8" s="22"/>
      <c r="BJ8" s="70" t="n">
        <f aca="false">BI8-BH8</f>
        <v>0</v>
      </c>
      <c r="BK8" s="22"/>
      <c r="BL8" s="22"/>
      <c r="BM8" s="70" t="n">
        <f aca="false">BL8-BK8</f>
        <v>0</v>
      </c>
      <c r="BN8" s="22"/>
      <c r="BO8" s="22"/>
      <c r="BP8" s="70" t="n">
        <f aca="false">BO8-BN8</f>
        <v>0</v>
      </c>
      <c r="BQ8" s="22"/>
      <c r="BR8" s="22"/>
      <c r="BS8" s="70" t="n">
        <f aca="false">BR8-BQ8</f>
        <v>0</v>
      </c>
      <c r="BT8" s="22"/>
      <c r="BU8" s="22"/>
      <c r="BV8" s="70" t="n">
        <f aca="false">BU8-BT8</f>
        <v>0</v>
      </c>
      <c r="BW8" s="22"/>
      <c r="BX8" s="22"/>
      <c r="BY8" s="70" t="n">
        <f aca="false">BX8-BW8</f>
        <v>0</v>
      </c>
      <c r="BZ8" s="22"/>
      <c r="CA8" s="22"/>
      <c r="CB8" s="70" t="n">
        <f aca="false">CA8-BZ8</f>
        <v>0</v>
      </c>
      <c r="CC8" s="22"/>
      <c r="CD8" s="22"/>
      <c r="CE8" s="70" t="n">
        <f aca="false">CD8-CC8</f>
        <v>0</v>
      </c>
      <c r="CF8" s="22"/>
      <c r="CG8" s="22"/>
      <c r="CH8" s="70" t="n">
        <f aca="false">CG8-CF8</f>
        <v>0</v>
      </c>
      <c r="CI8" s="22"/>
      <c r="CJ8" s="22"/>
      <c r="CK8" s="70" t="n">
        <f aca="false">CJ8-CI8</f>
        <v>0</v>
      </c>
      <c r="CL8" s="22"/>
      <c r="CM8" s="22"/>
      <c r="CN8" s="70" t="n">
        <f aca="false">CM8-CL8</f>
        <v>0</v>
      </c>
      <c r="CO8" s="22"/>
      <c r="CP8" s="22"/>
      <c r="CQ8" s="70" t="n">
        <f aca="false">CP8-CO8</f>
        <v>0</v>
      </c>
      <c r="CR8" s="22"/>
      <c r="CS8" s="22"/>
      <c r="CT8" s="70" t="n">
        <f aca="false">CS8-CR8</f>
        <v>0</v>
      </c>
      <c r="CU8" s="22"/>
      <c r="CV8" s="22"/>
      <c r="CW8" s="70" t="n">
        <f aca="false">CV8-CU8</f>
        <v>0</v>
      </c>
      <c r="CX8" s="22"/>
      <c r="CY8" s="22"/>
      <c r="CZ8" s="70" t="n">
        <f aca="false">CY8-CX8</f>
        <v>0</v>
      </c>
      <c r="DA8" s="22"/>
      <c r="DB8" s="22"/>
      <c r="DC8" s="70" t="n">
        <f aca="false">DB8-DA8</f>
        <v>0</v>
      </c>
      <c r="DD8" s="22"/>
      <c r="DE8" s="22"/>
      <c r="DF8" s="70" t="n">
        <f aca="false">DE8-DD8</f>
        <v>0</v>
      </c>
      <c r="DG8" s="22"/>
      <c r="DH8" s="22"/>
      <c r="DI8" s="70" t="n">
        <f aca="false">DH8-DG8</f>
        <v>0</v>
      </c>
      <c r="DJ8" s="22"/>
      <c r="DK8" s="22"/>
      <c r="DL8" s="70" t="n">
        <f aca="false">DK8-DJ8</f>
        <v>0</v>
      </c>
      <c r="DM8" s="22"/>
      <c r="DN8" s="22"/>
      <c r="DO8" s="70" t="n">
        <f aca="false">DN8-DM8</f>
        <v>0</v>
      </c>
      <c r="DP8" s="22"/>
      <c r="DQ8" s="22"/>
      <c r="DR8" s="70" t="n">
        <f aca="false">DQ8-DP8</f>
        <v>0</v>
      </c>
      <c r="DS8" s="70" t="n">
        <f aca="false">+C8+F8+I8+L8+O8+R8+U8+X8+AA8+AD8+AG8+AJ8+AM8+AP8+AS8+AV8+AY8+BB8+BE8+BH8+BK8+BN8+BQ8+BT8+BW8+BZ8+CC8+CF8+CI8+CL8+CO8+CR8+CU8+CX8+DA8+DD8+DG8+DJ8+DM8+DP8</f>
        <v>62000</v>
      </c>
      <c r="DT8" s="70" t="n">
        <f aca="false">+D8+G8+J8+M8+P8+S8+V8+Y8+AB8+AE8+AH8+AK8+AN8+AQ8+AT8+AW8+AZ8+BC8+BF8+BI8+BL8+BO8+BR8+BU8+BX8+CA8+CD8+CG8+CJ8+CM8+CP8+CS8+CV8+CY8+DB8+DE8+DH8+DK8+DN8+DQ8</f>
        <v>62000</v>
      </c>
      <c r="DU8" s="70" t="n">
        <f aca="false">DT8-DS8</f>
        <v>0</v>
      </c>
      <c r="DV8" s="75"/>
      <c r="DW8" s="74"/>
      <c r="DX8" s="74"/>
      <c r="DY8" s="75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</row>
    <row r="9" customFormat="false" ht="12.75" hidden="false" customHeight="false" outlineLevel="0" collapsed="false">
      <c r="A9" s="69" t="n">
        <f aca="false">+BaseloadMarkets!A9</f>
        <v>36681</v>
      </c>
      <c r="B9" s="69" t="str">
        <f aca="false">+BaseloadMarkets!B9</f>
        <v>Sun</v>
      </c>
      <c r="C9" s="22"/>
      <c r="D9" s="22"/>
      <c r="E9" s="70" t="n">
        <f aca="false">D9-C9</f>
        <v>0</v>
      </c>
      <c r="F9" s="22"/>
      <c r="G9" s="22"/>
      <c r="H9" s="70" t="n">
        <f aca="false">G9-F9</f>
        <v>0</v>
      </c>
      <c r="I9" s="22" t="n">
        <v>40000</v>
      </c>
      <c r="J9" s="22" t="n">
        <v>40000</v>
      </c>
      <c r="K9" s="70" t="n">
        <f aca="false">J9-I9</f>
        <v>0</v>
      </c>
      <c r="L9" s="22"/>
      <c r="M9" s="22"/>
      <c r="N9" s="70" t="n">
        <f aca="false">M9-L9</f>
        <v>0</v>
      </c>
      <c r="O9" s="22"/>
      <c r="P9" s="22"/>
      <c r="Q9" s="70" t="n">
        <f aca="false">P9-O9</f>
        <v>0</v>
      </c>
      <c r="R9" s="22"/>
      <c r="S9" s="22"/>
      <c r="T9" s="70" t="n">
        <f aca="false">S9-R9</f>
        <v>0</v>
      </c>
      <c r="U9" s="22"/>
      <c r="V9" s="22"/>
      <c r="W9" s="70" t="n">
        <f aca="false">V9-U9</f>
        <v>0</v>
      </c>
      <c r="X9" s="22"/>
      <c r="Y9" s="22"/>
      <c r="Z9" s="70" t="n">
        <f aca="false">Y9-X9</f>
        <v>0</v>
      </c>
      <c r="AA9" s="22"/>
      <c r="AB9" s="22"/>
      <c r="AC9" s="70" t="n">
        <f aca="false">AB9-AA9</f>
        <v>0</v>
      </c>
      <c r="AD9" s="22"/>
      <c r="AE9" s="22"/>
      <c r="AF9" s="70" t="n">
        <f aca="false">AE9-AD9</f>
        <v>0</v>
      </c>
      <c r="AG9" s="22"/>
      <c r="AH9" s="22"/>
      <c r="AI9" s="70" t="n">
        <f aca="false">AH9-AG9</f>
        <v>0</v>
      </c>
      <c r="AJ9" s="22"/>
      <c r="AK9" s="22"/>
      <c r="AL9" s="70" t="n">
        <f aca="false">AK9-AJ9</f>
        <v>0</v>
      </c>
      <c r="AM9" s="22"/>
      <c r="AN9" s="22"/>
      <c r="AO9" s="70" t="n">
        <f aca="false">AN9-AM9</f>
        <v>0</v>
      </c>
      <c r="AP9" s="22"/>
      <c r="AQ9" s="22"/>
      <c r="AR9" s="70" t="n">
        <f aca="false">AQ9-AP9</f>
        <v>0</v>
      </c>
      <c r="AS9" s="22"/>
      <c r="AT9" s="22"/>
      <c r="AU9" s="70" t="n">
        <f aca="false">AT9-AS9</f>
        <v>0</v>
      </c>
      <c r="AV9" s="22"/>
      <c r="AW9" s="22"/>
      <c r="AX9" s="70" t="n">
        <f aca="false">AW9-AV9</f>
        <v>0</v>
      </c>
      <c r="AY9" s="22"/>
      <c r="AZ9" s="22"/>
      <c r="BA9" s="70" t="n">
        <f aca="false">AZ9-AY9</f>
        <v>0</v>
      </c>
      <c r="BB9" s="22"/>
      <c r="BC9" s="22"/>
      <c r="BD9" s="70" t="n">
        <f aca="false">BC9-BB9</f>
        <v>0</v>
      </c>
      <c r="BE9" s="22"/>
      <c r="BF9" s="22"/>
      <c r="BG9" s="70" t="n">
        <f aca="false">BF9-BE9</f>
        <v>0</v>
      </c>
      <c r="BH9" s="22"/>
      <c r="BI9" s="22"/>
      <c r="BJ9" s="70" t="n">
        <f aca="false">BI9-BH9</f>
        <v>0</v>
      </c>
      <c r="BK9" s="22"/>
      <c r="BL9" s="22"/>
      <c r="BM9" s="70" t="n">
        <f aca="false">BL9-BK9</f>
        <v>0</v>
      </c>
      <c r="BN9" s="22"/>
      <c r="BO9" s="22"/>
      <c r="BP9" s="70" t="n">
        <f aca="false">BO9-BN9</f>
        <v>0</v>
      </c>
      <c r="BQ9" s="22"/>
      <c r="BR9" s="22"/>
      <c r="BS9" s="70" t="n">
        <f aca="false">BR9-BQ9</f>
        <v>0</v>
      </c>
      <c r="BT9" s="22"/>
      <c r="BU9" s="22"/>
      <c r="BV9" s="70" t="n">
        <f aca="false">BU9-BT9</f>
        <v>0</v>
      </c>
      <c r="BW9" s="22"/>
      <c r="BX9" s="22"/>
      <c r="BY9" s="70" t="n">
        <f aca="false">BX9-BW9</f>
        <v>0</v>
      </c>
      <c r="BZ9" s="22"/>
      <c r="CA9" s="22"/>
      <c r="CB9" s="70" t="n">
        <f aca="false">CA9-BZ9</f>
        <v>0</v>
      </c>
      <c r="CC9" s="22"/>
      <c r="CD9" s="22"/>
      <c r="CE9" s="70" t="n">
        <f aca="false">CD9-CC9</f>
        <v>0</v>
      </c>
      <c r="CF9" s="22"/>
      <c r="CG9" s="22"/>
      <c r="CH9" s="70" t="n">
        <f aca="false">CG9-CF9</f>
        <v>0</v>
      </c>
      <c r="CI9" s="22"/>
      <c r="CJ9" s="22"/>
      <c r="CK9" s="70" t="n">
        <f aca="false">CJ9-CI9</f>
        <v>0</v>
      </c>
      <c r="CL9" s="22"/>
      <c r="CM9" s="22"/>
      <c r="CN9" s="70" t="n">
        <f aca="false">CM9-CL9</f>
        <v>0</v>
      </c>
      <c r="CO9" s="22"/>
      <c r="CP9" s="22"/>
      <c r="CQ9" s="70" t="n">
        <f aca="false">CP9-CO9</f>
        <v>0</v>
      </c>
      <c r="CR9" s="22"/>
      <c r="CS9" s="22"/>
      <c r="CT9" s="70" t="n">
        <f aca="false">CS9-CR9</f>
        <v>0</v>
      </c>
      <c r="CU9" s="22"/>
      <c r="CV9" s="22"/>
      <c r="CW9" s="70" t="n">
        <f aca="false">CV9-CU9</f>
        <v>0</v>
      </c>
      <c r="CX9" s="22"/>
      <c r="CY9" s="22"/>
      <c r="CZ9" s="70" t="n">
        <f aca="false">CY9-CX9</f>
        <v>0</v>
      </c>
      <c r="DA9" s="22"/>
      <c r="DB9" s="22"/>
      <c r="DC9" s="70" t="n">
        <f aca="false">DB9-DA9</f>
        <v>0</v>
      </c>
      <c r="DD9" s="22"/>
      <c r="DE9" s="22"/>
      <c r="DF9" s="70" t="n">
        <f aca="false">DE9-DD9</f>
        <v>0</v>
      </c>
      <c r="DG9" s="22"/>
      <c r="DH9" s="22"/>
      <c r="DI9" s="70" t="n">
        <f aca="false">DH9-DG9</f>
        <v>0</v>
      </c>
      <c r="DJ9" s="22"/>
      <c r="DK9" s="22"/>
      <c r="DL9" s="70" t="n">
        <f aca="false">DK9-DJ9</f>
        <v>0</v>
      </c>
      <c r="DM9" s="22"/>
      <c r="DN9" s="22"/>
      <c r="DO9" s="70" t="n">
        <f aca="false">DN9-DM9</f>
        <v>0</v>
      </c>
      <c r="DP9" s="22"/>
      <c r="DQ9" s="22"/>
      <c r="DR9" s="70" t="n">
        <f aca="false">DQ9-DP9</f>
        <v>0</v>
      </c>
      <c r="DS9" s="70" t="n">
        <f aca="false">+C9+F9+I9+L9+O9+R9+U9+X9+AA9+AD9+AG9+AJ9+AM9+AP9+AS9+AV9+AY9+BB9+BE9+BH9+BK9+BN9+BQ9+BT9+BW9+BZ9+CC9+CF9+CI9+CL9+CO9+CR9+CU9+CX9+DA9+DD9+DG9+DJ9+DM9+DP9</f>
        <v>40000</v>
      </c>
      <c r="DT9" s="70" t="n">
        <f aca="false">+D9+G9+J9+M9+P9+S9+V9+Y9+AB9+AE9+AH9+AK9+AN9+AQ9+AT9+AW9+AZ9+BC9+BF9+BI9+BL9+BO9+BR9+BU9+BX9+CA9+CD9+CG9+CJ9+CM9+CP9+CS9+CV9+CY9+DB9+DE9+DH9+DK9+DN9+DQ9</f>
        <v>40000</v>
      </c>
      <c r="DU9" s="70" t="n">
        <f aca="false">DT9-DS9</f>
        <v>0</v>
      </c>
      <c r="DV9" s="75"/>
      <c r="DW9" s="74"/>
      <c r="DX9" s="74"/>
      <c r="DY9" s="75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</row>
    <row r="10" customFormat="false" ht="12.75" hidden="false" customHeight="false" outlineLevel="0" collapsed="false">
      <c r="A10" s="69" t="n">
        <f aca="false">+BaseloadMarkets!A10</f>
        <v>36682</v>
      </c>
      <c r="B10" s="69" t="str">
        <f aca="false">+BaseloadMarkets!B10</f>
        <v>Mon</v>
      </c>
      <c r="C10" s="22"/>
      <c r="D10" s="22"/>
      <c r="E10" s="70" t="n">
        <f aca="false">D10-C10</f>
        <v>0</v>
      </c>
      <c r="F10" s="22"/>
      <c r="G10" s="22"/>
      <c r="H10" s="70" t="n">
        <f aca="false">G10-F10</f>
        <v>0</v>
      </c>
      <c r="I10" s="22" t="n">
        <v>40000</v>
      </c>
      <c r="J10" s="22" t="n">
        <v>40000</v>
      </c>
      <c r="K10" s="70" t="n">
        <f aca="false">J10-I10</f>
        <v>0</v>
      </c>
      <c r="L10" s="22"/>
      <c r="M10" s="22"/>
      <c r="N10" s="70" t="n">
        <f aca="false">M10-L10</f>
        <v>0</v>
      </c>
      <c r="O10" s="22"/>
      <c r="P10" s="22"/>
      <c r="Q10" s="70" t="n">
        <f aca="false">P10-O10</f>
        <v>0</v>
      </c>
      <c r="R10" s="22"/>
      <c r="S10" s="22"/>
      <c r="T10" s="70" t="n">
        <f aca="false">S10-R10</f>
        <v>0</v>
      </c>
      <c r="U10" s="22"/>
      <c r="V10" s="22"/>
      <c r="W10" s="70" t="n">
        <f aca="false">V10-U10</f>
        <v>0</v>
      </c>
      <c r="X10" s="22"/>
      <c r="Y10" s="22"/>
      <c r="Z10" s="70" t="n">
        <f aca="false">Y10-X10</f>
        <v>0</v>
      </c>
      <c r="AA10" s="22"/>
      <c r="AB10" s="22"/>
      <c r="AC10" s="70" t="n">
        <f aca="false">AB10-AA10</f>
        <v>0</v>
      </c>
      <c r="AD10" s="22"/>
      <c r="AE10" s="22"/>
      <c r="AF10" s="70" t="n">
        <f aca="false">AE10-AD10</f>
        <v>0</v>
      </c>
      <c r="AG10" s="22"/>
      <c r="AH10" s="22"/>
      <c r="AI10" s="70" t="n">
        <f aca="false">AH10-AG10</f>
        <v>0</v>
      </c>
      <c r="AJ10" s="22"/>
      <c r="AK10" s="22"/>
      <c r="AL10" s="70" t="n">
        <f aca="false">AK10-AJ10</f>
        <v>0</v>
      </c>
      <c r="AM10" s="22"/>
      <c r="AN10" s="22"/>
      <c r="AO10" s="70" t="n">
        <f aca="false">AN10-AM10</f>
        <v>0</v>
      </c>
      <c r="AP10" s="22"/>
      <c r="AQ10" s="22"/>
      <c r="AR10" s="70" t="n">
        <f aca="false">AQ10-AP10</f>
        <v>0</v>
      </c>
      <c r="AS10" s="22"/>
      <c r="AT10" s="22"/>
      <c r="AU10" s="70" t="n">
        <f aca="false">AT10-AS10</f>
        <v>0</v>
      </c>
      <c r="AV10" s="22"/>
      <c r="AW10" s="22"/>
      <c r="AX10" s="70" t="n">
        <f aca="false">AW10-AV10</f>
        <v>0</v>
      </c>
      <c r="AY10" s="22"/>
      <c r="AZ10" s="22"/>
      <c r="BA10" s="70" t="n">
        <f aca="false">AZ10-AY10</f>
        <v>0</v>
      </c>
      <c r="BB10" s="22"/>
      <c r="BC10" s="22"/>
      <c r="BD10" s="70" t="n">
        <f aca="false">BC10-BB10</f>
        <v>0</v>
      </c>
      <c r="BE10" s="22"/>
      <c r="BF10" s="22"/>
      <c r="BG10" s="70" t="n">
        <f aca="false">BF10-BE10</f>
        <v>0</v>
      </c>
      <c r="BH10" s="22"/>
      <c r="BI10" s="22"/>
      <c r="BJ10" s="70" t="n">
        <f aca="false">BI10-BH10</f>
        <v>0</v>
      </c>
      <c r="BK10" s="22"/>
      <c r="BL10" s="22"/>
      <c r="BM10" s="70" t="n">
        <f aca="false">BL10-BK10</f>
        <v>0</v>
      </c>
      <c r="BN10" s="22"/>
      <c r="BO10" s="22"/>
      <c r="BP10" s="70" t="n">
        <f aca="false">BO10-BN10</f>
        <v>0</v>
      </c>
      <c r="BQ10" s="22"/>
      <c r="BR10" s="22"/>
      <c r="BS10" s="70" t="n">
        <f aca="false">BR10-BQ10</f>
        <v>0</v>
      </c>
      <c r="BT10" s="22"/>
      <c r="BU10" s="22"/>
      <c r="BV10" s="70" t="n">
        <f aca="false">BU10-BT10</f>
        <v>0</v>
      </c>
      <c r="BW10" s="22"/>
      <c r="BX10" s="22"/>
      <c r="BY10" s="70" t="n">
        <f aca="false">BX10-BW10</f>
        <v>0</v>
      </c>
      <c r="BZ10" s="22"/>
      <c r="CA10" s="22"/>
      <c r="CB10" s="70" t="n">
        <f aca="false">CA10-BZ10</f>
        <v>0</v>
      </c>
      <c r="CC10" s="22"/>
      <c r="CD10" s="22"/>
      <c r="CE10" s="70" t="n">
        <f aca="false">CD10-CC10</f>
        <v>0</v>
      </c>
      <c r="CF10" s="22"/>
      <c r="CG10" s="22"/>
      <c r="CH10" s="70" t="n">
        <f aca="false">CG10-CF10</f>
        <v>0</v>
      </c>
      <c r="CI10" s="22"/>
      <c r="CJ10" s="22"/>
      <c r="CK10" s="70" t="n">
        <f aca="false">CJ10-CI10</f>
        <v>0</v>
      </c>
      <c r="CL10" s="22"/>
      <c r="CM10" s="22"/>
      <c r="CN10" s="70" t="n">
        <f aca="false">CM10-CL10</f>
        <v>0</v>
      </c>
      <c r="CO10" s="22"/>
      <c r="CP10" s="22"/>
      <c r="CQ10" s="70" t="n">
        <f aca="false">CP10-CO10</f>
        <v>0</v>
      </c>
      <c r="CR10" s="22"/>
      <c r="CS10" s="22"/>
      <c r="CT10" s="70" t="n">
        <f aca="false">CS10-CR10</f>
        <v>0</v>
      </c>
      <c r="CU10" s="22"/>
      <c r="CV10" s="22"/>
      <c r="CW10" s="70" t="n">
        <f aca="false">CV10-CU10</f>
        <v>0</v>
      </c>
      <c r="CX10" s="22"/>
      <c r="CY10" s="22"/>
      <c r="CZ10" s="70" t="n">
        <f aca="false">CY10-CX10</f>
        <v>0</v>
      </c>
      <c r="DA10" s="22"/>
      <c r="DB10" s="22"/>
      <c r="DC10" s="70" t="n">
        <f aca="false">DB10-DA10</f>
        <v>0</v>
      </c>
      <c r="DD10" s="22"/>
      <c r="DE10" s="22"/>
      <c r="DF10" s="70" t="n">
        <f aca="false">DE10-DD10</f>
        <v>0</v>
      </c>
      <c r="DG10" s="22"/>
      <c r="DH10" s="22"/>
      <c r="DI10" s="70" t="n">
        <f aca="false">DH10-DG10</f>
        <v>0</v>
      </c>
      <c r="DJ10" s="22"/>
      <c r="DK10" s="22"/>
      <c r="DL10" s="70" t="n">
        <f aca="false">DK10-DJ10</f>
        <v>0</v>
      </c>
      <c r="DM10" s="22"/>
      <c r="DN10" s="22"/>
      <c r="DO10" s="70" t="n">
        <f aca="false">DN10-DM10</f>
        <v>0</v>
      </c>
      <c r="DP10" s="22"/>
      <c r="DQ10" s="22"/>
      <c r="DR10" s="70" t="n">
        <f aca="false">DQ10-DP10</f>
        <v>0</v>
      </c>
      <c r="DS10" s="70" t="n">
        <f aca="false">+C10+F10+I10+L10+O10+R10+U10+X10+AA10+AD10+AG10+AJ10+AM10+AP10+AS10+AV10+AY10+BB10+BE10+BH10+BK10+BN10+BQ10+BT10+BW10+BZ10+CC10+CF10+CI10+CL10+CO10+CR10+CU10+CX10+DA10+DD10+DG10+DJ10+DM10+DP10</f>
        <v>40000</v>
      </c>
      <c r="DT10" s="70" t="n">
        <f aca="false">+D10+G10+J10+M10+P10+S10+V10+Y10+AB10+AE10+AH10+AK10+AN10+AQ10+AT10+AW10+AZ10+BC10+BF10+BI10+BL10+BO10+BR10+BU10+BX10+CA10+CD10+CG10+CJ10+CM10+CP10+CS10+CV10+CY10+DB10+DE10+DH10+DK10+DN10+DQ10</f>
        <v>40000</v>
      </c>
      <c r="DU10" s="70" t="n">
        <f aca="false">DT10-DS10</f>
        <v>0</v>
      </c>
      <c r="DV10" s="75"/>
      <c r="DW10" s="74"/>
      <c r="DX10" s="74"/>
      <c r="DY10" s="75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</row>
    <row r="11" customFormat="false" ht="12.75" hidden="false" customHeight="false" outlineLevel="0" collapsed="false">
      <c r="A11" s="69" t="n">
        <f aca="false">+BaseloadMarkets!A11</f>
        <v>36683</v>
      </c>
      <c r="B11" s="69" t="str">
        <f aca="false">+BaseloadMarkets!B11</f>
        <v>Tues</v>
      </c>
      <c r="C11" s="22"/>
      <c r="D11" s="22"/>
      <c r="E11" s="70" t="n">
        <f aca="false">D11-C11</f>
        <v>0</v>
      </c>
      <c r="F11" s="22"/>
      <c r="G11" s="22"/>
      <c r="H11" s="70" t="n">
        <f aca="false">G11-F11</f>
        <v>0</v>
      </c>
      <c r="I11" s="22"/>
      <c r="J11" s="22"/>
      <c r="K11" s="70" t="n">
        <f aca="false">J11-I11</f>
        <v>0</v>
      </c>
      <c r="L11" s="22"/>
      <c r="M11" s="22"/>
      <c r="N11" s="70" t="n">
        <f aca="false">M11-L11</f>
        <v>0</v>
      </c>
      <c r="O11" s="22"/>
      <c r="P11" s="22"/>
      <c r="Q11" s="70" t="n">
        <f aca="false">P11-O11</f>
        <v>0</v>
      </c>
      <c r="R11" s="22"/>
      <c r="S11" s="22"/>
      <c r="T11" s="70" t="n">
        <f aca="false">S11-R11</f>
        <v>0</v>
      </c>
      <c r="U11" s="22"/>
      <c r="V11" s="22"/>
      <c r="W11" s="70" t="n">
        <f aca="false">V11-U11</f>
        <v>0</v>
      </c>
      <c r="X11" s="22"/>
      <c r="Y11" s="22"/>
      <c r="Z11" s="70" t="n">
        <f aca="false">Y11-X11</f>
        <v>0</v>
      </c>
      <c r="AA11" s="22"/>
      <c r="AB11" s="22"/>
      <c r="AC11" s="70" t="n">
        <f aca="false">AB11-AA11</f>
        <v>0</v>
      </c>
      <c r="AD11" s="22"/>
      <c r="AE11" s="22"/>
      <c r="AF11" s="70" t="n">
        <f aca="false">AE11-AD11</f>
        <v>0</v>
      </c>
      <c r="AG11" s="22"/>
      <c r="AH11" s="22"/>
      <c r="AI11" s="70" t="n">
        <f aca="false">AH11-AG11</f>
        <v>0</v>
      </c>
      <c r="AJ11" s="22"/>
      <c r="AK11" s="22"/>
      <c r="AL11" s="70" t="n">
        <f aca="false">AK11-AJ11</f>
        <v>0</v>
      </c>
      <c r="AM11" s="22"/>
      <c r="AN11" s="22"/>
      <c r="AO11" s="70" t="n">
        <f aca="false">AN11-AM11</f>
        <v>0</v>
      </c>
      <c r="AP11" s="22"/>
      <c r="AQ11" s="22"/>
      <c r="AR11" s="70" t="n">
        <f aca="false">AQ11-AP11</f>
        <v>0</v>
      </c>
      <c r="AS11" s="22"/>
      <c r="AT11" s="22"/>
      <c r="AU11" s="70" t="n">
        <f aca="false">AT11-AS11</f>
        <v>0</v>
      </c>
      <c r="AV11" s="22"/>
      <c r="AW11" s="22"/>
      <c r="AX11" s="70" t="n">
        <f aca="false">AW11-AV11</f>
        <v>0</v>
      </c>
      <c r="AY11" s="22"/>
      <c r="AZ11" s="22"/>
      <c r="BA11" s="70" t="n">
        <f aca="false">AZ11-AY11</f>
        <v>0</v>
      </c>
      <c r="BB11" s="22"/>
      <c r="BC11" s="22"/>
      <c r="BD11" s="70" t="n">
        <f aca="false">BC11-BB11</f>
        <v>0</v>
      </c>
      <c r="BE11" s="22"/>
      <c r="BF11" s="22"/>
      <c r="BG11" s="70" t="n">
        <f aca="false">BF11-BE11</f>
        <v>0</v>
      </c>
      <c r="BH11" s="22"/>
      <c r="BI11" s="22"/>
      <c r="BJ11" s="70" t="n">
        <f aca="false">BI11-BH11</f>
        <v>0</v>
      </c>
      <c r="BK11" s="22"/>
      <c r="BL11" s="22"/>
      <c r="BM11" s="70" t="n">
        <f aca="false">BL11-BK11</f>
        <v>0</v>
      </c>
      <c r="BN11" s="22"/>
      <c r="BO11" s="22"/>
      <c r="BP11" s="70" t="n">
        <f aca="false">BO11-BN11</f>
        <v>0</v>
      </c>
      <c r="BQ11" s="22"/>
      <c r="BR11" s="22"/>
      <c r="BS11" s="70" t="n">
        <f aca="false">BR11-BQ11</f>
        <v>0</v>
      </c>
      <c r="BT11" s="22"/>
      <c r="BU11" s="22"/>
      <c r="BV11" s="70" t="n">
        <f aca="false">BU11-BT11</f>
        <v>0</v>
      </c>
      <c r="BW11" s="22"/>
      <c r="BX11" s="22"/>
      <c r="BY11" s="70" t="n">
        <f aca="false">BX11-BW11</f>
        <v>0</v>
      </c>
      <c r="BZ11" s="22"/>
      <c r="CA11" s="22"/>
      <c r="CB11" s="70" t="n">
        <f aca="false">CA11-BZ11</f>
        <v>0</v>
      </c>
      <c r="CC11" s="22"/>
      <c r="CD11" s="22"/>
      <c r="CE11" s="70" t="n">
        <f aca="false">CD11-CC11</f>
        <v>0</v>
      </c>
      <c r="CF11" s="22"/>
      <c r="CG11" s="22"/>
      <c r="CH11" s="70" t="n">
        <f aca="false">CG11-CF11</f>
        <v>0</v>
      </c>
      <c r="CI11" s="22"/>
      <c r="CJ11" s="22"/>
      <c r="CK11" s="70" t="n">
        <f aca="false">CJ11-CI11</f>
        <v>0</v>
      </c>
      <c r="CL11" s="22"/>
      <c r="CM11" s="22"/>
      <c r="CN11" s="70" t="n">
        <f aca="false">CM11-CL11</f>
        <v>0</v>
      </c>
      <c r="CO11" s="22"/>
      <c r="CP11" s="22"/>
      <c r="CQ11" s="70" t="n">
        <f aca="false">CP11-CO11</f>
        <v>0</v>
      </c>
      <c r="CR11" s="22"/>
      <c r="CS11" s="22"/>
      <c r="CT11" s="70" t="n">
        <f aca="false">CS11-CR11</f>
        <v>0</v>
      </c>
      <c r="CU11" s="22"/>
      <c r="CV11" s="22"/>
      <c r="CW11" s="70" t="n">
        <f aca="false">CV11-CU11</f>
        <v>0</v>
      </c>
      <c r="CX11" s="22"/>
      <c r="CY11" s="22"/>
      <c r="CZ11" s="70" t="n">
        <f aca="false">CY11-CX11</f>
        <v>0</v>
      </c>
      <c r="DA11" s="22"/>
      <c r="DB11" s="22"/>
      <c r="DC11" s="70" t="n">
        <f aca="false">DB11-DA11</f>
        <v>0</v>
      </c>
      <c r="DD11" s="22"/>
      <c r="DE11" s="22"/>
      <c r="DF11" s="70" t="n">
        <f aca="false">DE11-DD11</f>
        <v>0</v>
      </c>
      <c r="DG11" s="22"/>
      <c r="DH11" s="22"/>
      <c r="DI11" s="70" t="n">
        <f aca="false">DH11-DG11</f>
        <v>0</v>
      </c>
      <c r="DJ11" s="22"/>
      <c r="DK11" s="22"/>
      <c r="DL11" s="70" t="n">
        <f aca="false">DK11-DJ11</f>
        <v>0</v>
      </c>
      <c r="DM11" s="22"/>
      <c r="DN11" s="22"/>
      <c r="DO11" s="70" t="n">
        <f aca="false">DN11-DM11</f>
        <v>0</v>
      </c>
      <c r="DP11" s="22"/>
      <c r="DQ11" s="22"/>
      <c r="DR11" s="70" t="n">
        <f aca="false">DQ11-DP11</f>
        <v>0</v>
      </c>
      <c r="DS11" s="70" t="n">
        <f aca="false">+C11+F11+I11+L11+O11+R11+U11+X11+AA11+AD11+AG11+AJ11+AM11+AP11+AS11+AV11+AY11+BB11+BE11+BH11+BK11+BN11+BQ11+BT11+BW11+BZ11+CC11+CF11+CI11+CL11+CO11+CR11+CU11+CX11+DA11+DD11+DG11+DJ11+DM11+DP11</f>
        <v>0</v>
      </c>
      <c r="DT11" s="70" t="n">
        <f aca="false">+D11+G11+J11+M11+P11+S11+V11+Y11+AB11+AE11+AH11+AK11+AN11+AQ11+AT11+AW11+AZ11+BC11+BF11+BI11+BL11+BO11+BR11+BU11+BX11+CA11+CD11+CG11+CJ11+CM11+CP11+CS11+CV11+CY11+DB11+DE11+DH11+DK11+DN11+DQ11</f>
        <v>0</v>
      </c>
      <c r="DU11" s="70" t="n">
        <f aca="false">DT11-DS11</f>
        <v>0</v>
      </c>
      <c r="DV11" s="75"/>
      <c r="DW11" s="74"/>
      <c r="DX11" s="74"/>
      <c r="DY11" s="75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</row>
    <row r="12" customFormat="false" ht="12.75" hidden="false" customHeight="false" outlineLevel="0" collapsed="false">
      <c r="A12" s="69" t="n">
        <f aca="false">+BaseloadMarkets!A12</f>
        <v>36684</v>
      </c>
      <c r="B12" s="69" t="str">
        <f aca="false">+BaseloadMarkets!B12</f>
        <v>Wed</v>
      </c>
      <c r="C12" s="22"/>
      <c r="D12" s="22"/>
      <c r="E12" s="70" t="n">
        <f aca="false">D12-C12</f>
        <v>0</v>
      </c>
      <c r="F12" s="22"/>
      <c r="G12" s="22"/>
      <c r="H12" s="70" t="n">
        <f aca="false">G12-F12</f>
        <v>0</v>
      </c>
      <c r="I12" s="22"/>
      <c r="J12" s="22"/>
      <c r="K12" s="70" t="n">
        <f aca="false">J12-I12</f>
        <v>0</v>
      </c>
      <c r="L12" s="22"/>
      <c r="M12" s="22"/>
      <c r="N12" s="70" t="n">
        <f aca="false">M12-L12</f>
        <v>0</v>
      </c>
      <c r="O12" s="22"/>
      <c r="P12" s="22"/>
      <c r="Q12" s="70" t="n">
        <f aca="false">P12-O12</f>
        <v>0</v>
      </c>
      <c r="R12" s="22"/>
      <c r="S12" s="22"/>
      <c r="T12" s="70" t="n">
        <f aca="false">S12-R12</f>
        <v>0</v>
      </c>
      <c r="U12" s="22"/>
      <c r="V12" s="22"/>
      <c r="W12" s="70" t="n">
        <f aca="false">V12-U12</f>
        <v>0</v>
      </c>
      <c r="X12" s="22"/>
      <c r="Y12" s="22"/>
      <c r="Z12" s="70" t="n">
        <f aca="false">Y12-X12</f>
        <v>0</v>
      </c>
      <c r="AA12" s="22"/>
      <c r="AB12" s="22"/>
      <c r="AC12" s="70" t="n">
        <f aca="false">AB12-AA12</f>
        <v>0</v>
      </c>
      <c r="AD12" s="22"/>
      <c r="AE12" s="22"/>
      <c r="AF12" s="70" t="n">
        <f aca="false">AE12-AD12</f>
        <v>0</v>
      </c>
      <c r="AG12" s="22"/>
      <c r="AH12" s="22"/>
      <c r="AI12" s="70" t="n">
        <f aca="false">AH12-AG12</f>
        <v>0</v>
      </c>
      <c r="AJ12" s="22"/>
      <c r="AK12" s="22"/>
      <c r="AL12" s="70" t="n">
        <f aca="false">AK12-AJ12</f>
        <v>0</v>
      </c>
      <c r="AM12" s="22"/>
      <c r="AN12" s="22"/>
      <c r="AO12" s="70" t="n">
        <f aca="false">AN12-AM12</f>
        <v>0</v>
      </c>
      <c r="AP12" s="22"/>
      <c r="AQ12" s="22"/>
      <c r="AR12" s="70" t="n">
        <f aca="false">AQ12-AP12</f>
        <v>0</v>
      </c>
      <c r="AS12" s="22"/>
      <c r="AT12" s="22"/>
      <c r="AU12" s="70" t="n">
        <f aca="false">AT12-AS12</f>
        <v>0</v>
      </c>
      <c r="AV12" s="22"/>
      <c r="AW12" s="22"/>
      <c r="AX12" s="70" t="n">
        <f aca="false">AW12-AV12</f>
        <v>0</v>
      </c>
      <c r="AY12" s="22"/>
      <c r="AZ12" s="22"/>
      <c r="BA12" s="70" t="n">
        <f aca="false">AZ12-AY12</f>
        <v>0</v>
      </c>
      <c r="BB12" s="22"/>
      <c r="BC12" s="22"/>
      <c r="BD12" s="70" t="n">
        <f aca="false">BC12-BB12</f>
        <v>0</v>
      </c>
      <c r="BE12" s="22"/>
      <c r="BF12" s="22"/>
      <c r="BG12" s="70" t="n">
        <f aca="false">BF12-BE12</f>
        <v>0</v>
      </c>
      <c r="BH12" s="22"/>
      <c r="BI12" s="22"/>
      <c r="BJ12" s="70" t="n">
        <f aca="false">BI12-BH12</f>
        <v>0</v>
      </c>
      <c r="BK12" s="22"/>
      <c r="BL12" s="22"/>
      <c r="BM12" s="70" t="n">
        <f aca="false">BL12-BK12</f>
        <v>0</v>
      </c>
      <c r="BN12" s="22"/>
      <c r="BO12" s="22"/>
      <c r="BP12" s="70" t="n">
        <f aca="false">BO12-BN12</f>
        <v>0</v>
      </c>
      <c r="BQ12" s="22"/>
      <c r="BR12" s="22"/>
      <c r="BS12" s="70" t="n">
        <f aca="false">BR12-BQ12</f>
        <v>0</v>
      </c>
      <c r="BT12" s="22"/>
      <c r="BU12" s="22"/>
      <c r="BV12" s="70" t="n">
        <f aca="false">BU12-BT12</f>
        <v>0</v>
      </c>
      <c r="BW12" s="22"/>
      <c r="BX12" s="22"/>
      <c r="BY12" s="70" t="n">
        <f aca="false">BX12-BW12</f>
        <v>0</v>
      </c>
      <c r="BZ12" s="22"/>
      <c r="CA12" s="22"/>
      <c r="CB12" s="70" t="n">
        <f aca="false">CA12-BZ12</f>
        <v>0</v>
      </c>
      <c r="CC12" s="22"/>
      <c r="CD12" s="22"/>
      <c r="CE12" s="70" t="n">
        <f aca="false">CD12-CC12</f>
        <v>0</v>
      </c>
      <c r="CF12" s="22"/>
      <c r="CG12" s="22"/>
      <c r="CH12" s="70" t="n">
        <f aca="false">CG12-CF12</f>
        <v>0</v>
      </c>
      <c r="CI12" s="22"/>
      <c r="CJ12" s="22"/>
      <c r="CK12" s="70" t="n">
        <f aca="false">CJ12-CI12</f>
        <v>0</v>
      </c>
      <c r="CL12" s="22"/>
      <c r="CM12" s="22"/>
      <c r="CN12" s="70" t="n">
        <f aca="false">CM12-CL12</f>
        <v>0</v>
      </c>
      <c r="CO12" s="22"/>
      <c r="CP12" s="22"/>
      <c r="CQ12" s="70" t="n">
        <f aca="false">CP12-CO12</f>
        <v>0</v>
      </c>
      <c r="CR12" s="22"/>
      <c r="CS12" s="22"/>
      <c r="CT12" s="70" t="n">
        <f aca="false">CS12-CR12</f>
        <v>0</v>
      </c>
      <c r="CU12" s="22"/>
      <c r="CV12" s="22"/>
      <c r="CW12" s="70" t="n">
        <f aca="false">CV12-CU12</f>
        <v>0</v>
      </c>
      <c r="CX12" s="22"/>
      <c r="CY12" s="22"/>
      <c r="CZ12" s="70" t="n">
        <f aca="false">CY12-CX12</f>
        <v>0</v>
      </c>
      <c r="DA12" s="22"/>
      <c r="DB12" s="22"/>
      <c r="DC12" s="70" t="n">
        <f aca="false">DB12-DA12</f>
        <v>0</v>
      </c>
      <c r="DD12" s="22"/>
      <c r="DE12" s="22"/>
      <c r="DF12" s="70" t="n">
        <f aca="false">DE12-DD12</f>
        <v>0</v>
      </c>
      <c r="DG12" s="22"/>
      <c r="DH12" s="22"/>
      <c r="DI12" s="70" t="n">
        <f aca="false">DH12-DG12</f>
        <v>0</v>
      </c>
      <c r="DJ12" s="22"/>
      <c r="DK12" s="22"/>
      <c r="DL12" s="70" t="n">
        <f aca="false">DK12-DJ12</f>
        <v>0</v>
      </c>
      <c r="DM12" s="22"/>
      <c r="DN12" s="22"/>
      <c r="DO12" s="70" t="n">
        <f aca="false">DN12-DM12</f>
        <v>0</v>
      </c>
      <c r="DP12" s="22"/>
      <c r="DQ12" s="22"/>
      <c r="DR12" s="70" t="n">
        <f aca="false">DQ12-DP12</f>
        <v>0</v>
      </c>
      <c r="DS12" s="70" t="n">
        <f aca="false">+C12+F12+I12+L12+O12+R12+U12+X12+AA12+AD12+AG12+AJ12+AM12+AP12+AS12+AV12+AY12+BB12+BE12+BH12+BK12+BN12+BQ12+BT12+BW12+BZ12+CC12+CF12+CI12+CL12+CO12+CR12+CU12+CX12+DA12+DD12+DG12+DJ12+DM12+DP12</f>
        <v>0</v>
      </c>
      <c r="DT12" s="70" t="n">
        <f aca="false">+D12+G12+J12+M12+P12+S12+V12+Y12+AB12+AE12+AH12+AK12+AN12+AQ12+AT12+AW12+AZ12+BC12+BF12+BI12+BL12+BO12+BR12+BU12+BX12+CA12+CD12+CG12+CJ12+CM12+CP12+CS12+CV12+CY12+DB12+DE12+DH12+DK12+DN12+DQ12</f>
        <v>0</v>
      </c>
      <c r="DU12" s="70" t="n">
        <f aca="false">DT12-DS12</f>
        <v>0</v>
      </c>
      <c r="DV12" s="75"/>
      <c r="DW12" s="74"/>
      <c r="DX12" s="74"/>
      <c r="DY12" s="75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</row>
    <row r="13" customFormat="false" ht="12.75" hidden="false" customHeight="false" outlineLevel="0" collapsed="false">
      <c r="A13" s="69" t="n">
        <f aca="false">+BaseloadMarkets!A13</f>
        <v>36685</v>
      </c>
      <c r="B13" s="69" t="str">
        <f aca="false">+BaseloadMarkets!B13</f>
        <v>Thu</v>
      </c>
      <c r="C13" s="22"/>
      <c r="D13" s="22"/>
      <c r="E13" s="70" t="n">
        <f aca="false">D13-C13</f>
        <v>0</v>
      </c>
      <c r="F13" s="22"/>
      <c r="G13" s="22"/>
      <c r="H13" s="70" t="n">
        <f aca="false">G13-F13</f>
        <v>0</v>
      </c>
      <c r="I13" s="22"/>
      <c r="J13" s="22"/>
      <c r="K13" s="70" t="n">
        <f aca="false">J13-I13</f>
        <v>0</v>
      </c>
      <c r="L13" s="22" t="n">
        <v>30000</v>
      </c>
      <c r="M13" s="22" t="n">
        <v>30000</v>
      </c>
      <c r="N13" s="70" t="n">
        <f aca="false">M13-L13</f>
        <v>0</v>
      </c>
      <c r="O13" s="22" t="n">
        <v>10000</v>
      </c>
      <c r="P13" s="22" t="n">
        <v>10000</v>
      </c>
      <c r="Q13" s="70" t="n">
        <f aca="false">P13-O13</f>
        <v>0</v>
      </c>
      <c r="R13" s="22"/>
      <c r="S13" s="22"/>
      <c r="T13" s="70" t="n">
        <f aca="false">S13-R13</f>
        <v>0</v>
      </c>
      <c r="U13" s="22"/>
      <c r="V13" s="22"/>
      <c r="W13" s="70" t="n">
        <f aca="false">V13-U13</f>
        <v>0</v>
      </c>
      <c r="X13" s="22"/>
      <c r="Y13" s="22"/>
      <c r="Z13" s="70" t="n">
        <f aca="false">Y13-X13</f>
        <v>0</v>
      </c>
      <c r="AA13" s="22"/>
      <c r="AB13" s="22"/>
      <c r="AC13" s="70" t="n">
        <f aca="false">AB13-AA13</f>
        <v>0</v>
      </c>
      <c r="AD13" s="22"/>
      <c r="AE13" s="22"/>
      <c r="AF13" s="70" t="n">
        <f aca="false">AE13-AD13</f>
        <v>0</v>
      </c>
      <c r="AG13" s="22"/>
      <c r="AH13" s="22"/>
      <c r="AI13" s="70" t="n">
        <f aca="false">AH13-AG13</f>
        <v>0</v>
      </c>
      <c r="AJ13" s="22"/>
      <c r="AK13" s="22"/>
      <c r="AL13" s="70" t="n">
        <f aca="false">AK13-AJ13</f>
        <v>0</v>
      </c>
      <c r="AM13" s="22"/>
      <c r="AN13" s="22"/>
      <c r="AO13" s="70" t="n">
        <f aca="false">AN13-AM13</f>
        <v>0</v>
      </c>
      <c r="AP13" s="22"/>
      <c r="AQ13" s="22"/>
      <c r="AR13" s="70" t="n">
        <f aca="false">AQ13-AP13</f>
        <v>0</v>
      </c>
      <c r="AS13" s="22"/>
      <c r="AT13" s="22"/>
      <c r="AU13" s="70" t="n">
        <f aca="false">AT13-AS13</f>
        <v>0</v>
      </c>
      <c r="AV13" s="22"/>
      <c r="AW13" s="22"/>
      <c r="AX13" s="70" t="n">
        <f aca="false">AW13-AV13</f>
        <v>0</v>
      </c>
      <c r="AY13" s="22"/>
      <c r="AZ13" s="22"/>
      <c r="BA13" s="70" t="n">
        <f aca="false">AZ13-AY13</f>
        <v>0</v>
      </c>
      <c r="BB13" s="22"/>
      <c r="BC13" s="22"/>
      <c r="BD13" s="70" t="n">
        <f aca="false">BC13-BB13</f>
        <v>0</v>
      </c>
      <c r="BE13" s="22"/>
      <c r="BF13" s="22"/>
      <c r="BG13" s="70" t="n">
        <f aca="false">BF13-BE13</f>
        <v>0</v>
      </c>
      <c r="BH13" s="22"/>
      <c r="BI13" s="22"/>
      <c r="BJ13" s="70" t="n">
        <f aca="false">BI13-BH13</f>
        <v>0</v>
      </c>
      <c r="BK13" s="22"/>
      <c r="BL13" s="22"/>
      <c r="BM13" s="70" t="n">
        <f aca="false">BL13-BK13</f>
        <v>0</v>
      </c>
      <c r="BN13" s="22"/>
      <c r="BO13" s="22"/>
      <c r="BP13" s="70" t="n">
        <f aca="false">BO13-BN13</f>
        <v>0</v>
      </c>
      <c r="BQ13" s="22"/>
      <c r="BR13" s="22"/>
      <c r="BS13" s="70" t="n">
        <f aca="false">BR13-BQ13</f>
        <v>0</v>
      </c>
      <c r="BT13" s="22"/>
      <c r="BU13" s="22"/>
      <c r="BV13" s="70" t="n">
        <f aca="false">BU13-BT13</f>
        <v>0</v>
      </c>
      <c r="BW13" s="22"/>
      <c r="BX13" s="22"/>
      <c r="BY13" s="70" t="n">
        <f aca="false">BX13-BW13</f>
        <v>0</v>
      </c>
      <c r="BZ13" s="22"/>
      <c r="CA13" s="22"/>
      <c r="CB13" s="70" t="n">
        <f aca="false">CA13-BZ13</f>
        <v>0</v>
      </c>
      <c r="CC13" s="22"/>
      <c r="CD13" s="22"/>
      <c r="CE13" s="70" t="n">
        <f aca="false">CD13-CC13</f>
        <v>0</v>
      </c>
      <c r="CF13" s="22"/>
      <c r="CG13" s="22"/>
      <c r="CH13" s="70" t="n">
        <f aca="false">CG13-CF13</f>
        <v>0</v>
      </c>
      <c r="CI13" s="22"/>
      <c r="CJ13" s="22"/>
      <c r="CK13" s="70" t="n">
        <f aca="false">CJ13-CI13</f>
        <v>0</v>
      </c>
      <c r="CL13" s="22"/>
      <c r="CM13" s="22"/>
      <c r="CN13" s="70" t="n">
        <f aca="false">CM13-CL13</f>
        <v>0</v>
      </c>
      <c r="CO13" s="22"/>
      <c r="CP13" s="22"/>
      <c r="CQ13" s="70" t="n">
        <f aca="false">CP13-CO13</f>
        <v>0</v>
      </c>
      <c r="CR13" s="22"/>
      <c r="CS13" s="22"/>
      <c r="CT13" s="70" t="n">
        <f aca="false">CS13-CR13</f>
        <v>0</v>
      </c>
      <c r="CU13" s="22"/>
      <c r="CV13" s="22"/>
      <c r="CW13" s="70" t="n">
        <f aca="false">CV13-CU13</f>
        <v>0</v>
      </c>
      <c r="CX13" s="22"/>
      <c r="CY13" s="22"/>
      <c r="CZ13" s="70" t="n">
        <f aca="false">CY13-CX13</f>
        <v>0</v>
      </c>
      <c r="DA13" s="22"/>
      <c r="DB13" s="22"/>
      <c r="DC13" s="70" t="n">
        <f aca="false">DB13-DA13</f>
        <v>0</v>
      </c>
      <c r="DD13" s="22"/>
      <c r="DE13" s="22"/>
      <c r="DF13" s="70" t="n">
        <f aca="false">DE13-DD13</f>
        <v>0</v>
      </c>
      <c r="DG13" s="22"/>
      <c r="DH13" s="22"/>
      <c r="DI13" s="70" t="n">
        <f aca="false">DH13-DG13</f>
        <v>0</v>
      </c>
      <c r="DJ13" s="22"/>
      <c r="DK13" s="22"/>
      <c r="DL13" s="70" t="n">
        <f aca="false">DK13-DJ13</f>
        <v>0</v>
      </c>
      <c r="DM13" s="22"/>
      <c r="DN13" s="22"/>
      <c r="DO13" s="70" t="n">
        <f aca="false">DN13-DM13</f>
        <v>0</v>
      </c>
      <c r="DP13" s="22"/>
      <c r="DQ13" s="22"/>
      <c r="DR13" s="70" t="n">
        <f aca="false">DQ13-DP13</f>
        <v>0</v>
      </c>
      <c r="DS13" s="70" t="n">
        <f aca="false">+C13+F13+I13+L13+O13+R13+U13+X13+AA13+AD13+AG13+AJ13+AM13+AP13+AS13+AV13+AY13+BB13+BE13+BH13+BK13+BN13+BQ13+BT13+BW13+BZ13+CC13+CF13+CI13+CL13+CO13+CR13+CU13+CX13+DA13+DD13+DG13+DJ13+DM13+DP13</f>
        <v>40000</v>
      </c>
      <c r="DT13" s="70" t="n">
        <f aca="false">+D13+G13+J13+M13+P13+S13+V13+Y13+AB13+AE13+AH13+AK13+AN13+AQ13+AT13+AW13+AZ13+BC13+BF13+BI13+BL13+BO13+BR13+BU13+BX13+CA13+CD13+CG13+CJ13+CM13+CP13+CS13+CV13+CY13+DB13+DE13+DH13+DK13+DN13+DQ13</f>
        <v>40000</v>
      </c>
      <c r="DU13" s="70" t="n">
        <f aca="false">DT13-DS13</f>
        <v>0</v>
      </c>
      <c r="DV13" s="75"/>
      <c r="DW13" s="74"/>
      <c r="DX13" s="74"/>
      <c r="DY13" s="75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</row>
    <row r="14" customFormat="false" ht="12.75" hidden="false" customHeight="false" outlineLevel="0" collapsed="false">
      <c r="A14" s="69" t="n">
        <f aca="false">+BaseloadMarkets!A14</f>
        <v>36686</v>
      </c>
      <c r="B14" s="69" t="str">
        <f aca="false">+BaseloadMarkets!B14</f>
        <v>Fri</v>
      </c>
      <c r="C14" s="22"/>
      <c r="D14" s="22"/>
      <c r="E14" s="70" t="n">
        <f aca="false">D14-C14</f>
        <v>0</v>
      </c>
      <c r="F14" s="22"/>
      <c r="G14" s="22"/>
      <c r="H14" s="70" t="n">
        <f aca="false">G14-F14</f>
        <v>0</v>
      </c>
      <c r="I14" s="22"/>
      <c r="J14" s="22"/>
      <c r="K14" s="70" t="n">
        <f aca="false">J14-I14</f>
        <v>0</v>
      </c>
      <c r="L14" s="22"/>
      <c r="M14" s="22"/>
      <c r="N14" s="70" t="n">
        <f aca="false">M14-L14</f>
        <v>0</v>
      </c>
      <c r="O14" s="22"/>
      <c r="P14" s="22"/>
      <c r="Q14" s="70" t="n">
        <f aca="false">P14-O14</f>
        <v>0</v>
      </c>
      <c r="R14" s="22"/>
      <c r="S14" s="22"/>
      <c r="T14" s="70" t="n">
        <f aca="false">S14-R14</f>
        <v>0</v>
      </c>
      <c r="U14" s="22"/>
      <c r="V14" s="22"/>
      <c r="W14" s="70" t="n">
        <f aca="false">V14-U14</f>
        <v>0</v>
      </c>
      <c r="X14" s="22"/>
      <c r="Y14" s="22"/>
      <c r="Z14" s="70" t="n">
        <f aca="false">Y14-X14</f>
        <v>0</v>
      </c>
      <c r="AA14" s="22"/>
      <c r="AB14" s="22"/>
      <c r="AC14" s="70" t="n">
        <f aca="false">AB14-AA14</f>
        <v>0</v>
      </c>
      <c r="AD14" s="22"/>
      <c r="AE14" s="22"/>
      <c r="AF14" s="70" t="n">
        <f aca="false">AE14-AD14</f>
        <v>0</v>
      </c>
      <c r="AG14" s="22"/>
      <c r="AH14" s="22"/>
      <c r="AI14" s="70" t="n">
        <f aca="false">AH14-AG14</f>
        <v>0</v>
      </c>
      <c r="AJ14" s="22"/>
      <c r="AK14" s="22"/>
      <c r="AL14" s="70" t="n">
        <f aca="false">AK14-AJ14</f>
        <v>0</v>
      </c>
      <c r="AM14" s="22"/>
      <c r="AN14" s="22"/>
      <c r="AO14" s="70" t="n">
        <f aca="false">AN14-AM14</f>
        <v>0</v>
      </c>
      <c r="AP14" s="22"/>
      <c r="AQ14" s="22"/>
      <c r="AR14" s="70" t="n">
        <f aca="false">AQ14-AP14</f>
        <v>0</v>
      </c>
      <c r="AS14" s="22"/>
      <c r="AT14" s="22"/>
      <c r="AU14" s="70" t="n">
        <f aca="false">AT14-AS14</f>
        <v>0</v>
      </c>
      <c r="AV14" s="22"/>
      <c r="AW14" s="22"/>
      <c r="AX14" s="70" t="n">
        <f aca="false">AW14-AV14</f>
        <v>0</v>
      </c>
      <c r="AY14" s="22"/>
      <c r="AZ14" s="22"/>
      <c r="BA14" s="70" t="n">
        <f aca="false">AZ14-AY14</f>
        <v>0</v>
      </c>
      <c r="BB14" s="22"/>
      <c r="BC14" s="22"/>
      <c r="BD14" s="70" t="n">
        <f aca="false">BC14-BB14</f>
        <v>0</v>
      </c>
      <c r="BE14" s="22"/>
      <c r="BF14" s="22"/>
      <c r="BG14" s="70" t="n">
        <f aca="false">BF14-BE14</f>
        <v>0</v>
      </c>
      <c r="BH14" s="22"/>
      <c r="BI14" s="22"/>
      <c r="BJ14" s="70" t="n">
        <f aca="false">BI14-BH14</f>
        <v>0</v>
      </c>
      <c r="BK14" s="22"/>
      <c r="BL14" s="22"/>
      <c r="BM14" s="70" t="n">
        <f aca="false">BL14-BK14</f>
        <v>0</v>
      </c>
      <c r="BN14" s="22"/>
      <c r="BO14" s="22"/>
      <c r="BP14" s="70" t="n">
        <f aca="false">BO14-BN14</f>
        <v>0</v>
      </c>
      <c r="BQ14" s="22"/>
      <c r="BR14" s="22"/>
      <c r="BS14" s="70" t="n">
        <f aca="false">BR14-BQ14</f>
        <v>0</v>
      </c>
      <c r="BT14" s="22"/>
      <c r="BU14" s="22"/>
      <c r="BV14" s="70" t="n">
        <f aca="false">BU14-BT14</f>
        <v>0</v>
      </c>
      <c r="BW14" s="22"/>
      <c r="BX14" s="22"/>
      <c r="BY14" s="70" t="n">
        <f aca="false">BX14-BW14</f>
        <v>0</v>
      </c>
      <c r="BZ14" s="22"/>
      <c r="CA14" s="22"/>
      <c r="CB14" s="70" t="n">
        <f aca="false">CA14-BZ14</f>
        <v>0</v>
      </c>
      <c r="CC14" s="22"/>
      <c r="CD14" s="22"/>
      <c r="CE14" s="70" t="n">
        <f aca="false">CD14-CC14</f>
        <v>0</v>
      </c>
      <c r="CF14" s="22"/>
      <c r="CG14" s="22"/>
      <c r="CH14" s="70" t="n">
        <f aca="false">CG14-CF14</f>
        <v>0</v>
      </c>
      <c r="CI14" s="22"/>
      <c r="CJ14" s="22"/>
      <c r="CK14" s="70" t="n">
        <f aca="false">CJ14-CI14</f>
        <v>0</v>
      </c>
      <c r="CL14" s="22"/>
      <c r="CM14" s="22"/>
      <c r="CN14" s="70" t="n">
        <f aca="false">CM14-CL14</f>
        <v>0</v>
      </c>
      <c r="CO14" s="22"/>
      <c r="CP14" s="22"/>
      <c r="CQ14" s="70" t="n">
        <f aca="false">CP14-CO14</f>
        <v>0</v>
      </c>
      <c r="CR14" s="22"/>
      <c r="CS14" s="22"/>
      <c r="CT14" s="70" t="n">
        <f aca="false">CS14-CR14</f>
        <v>0</v>
      </c>
      <c r="CU14" s="22"/>
      <c r="CV14" s="22"/>
      <c r="CW14" s="70" t="n">
        <f aca="false">CV14-CU14</f>
        <v>0</v>
      </c>
      <c r="CX14" s="22"/>
      <c r="CY14" s="22"/>
      <c r="CZ14" s="70" t="n">
        <f aca="false">CY14-CX14</f>
        <v>0</v>
      </c>
      <c r="DA14" s="22"/>
      <c r="DB14" s="22"/>
      <c r="DC14" s="70" t="n">
        <f aca="false">DB14-DA14</f>
        <v>0</v>
      </c>
      <c r="DD14" s="22"/>
      <c r="DE14" s="22"/>
      <c r="DF14" s="70" t="n">
        <f aca="false">DE14-DD14</f>
        <v>0</v>
      </c>
      <c r="DG14" s="22"/>
      <c r="DH14" s="22"/>
      <c r="DI14" s="70" t="n">
        <f aca="false">DH14-DG14</f>
        <v>0</v>
      </c>
      <c r="DJ14" s="22"/>
      <c r="DK14" s="22"/>
      <c r="DL14" s="70" t="n">
        <f aca="false">DK14-DJ14</f>
        <v>0</v>
      </c>
      <c r="DM14" s="22"/>
      <c r="DN14" s="22"/>
      <c r="DO14" s="70" t="n">
        <f aca="false">DN14-DM14</f>
        <v>0</v>
      </c>
      <c r="DP14" s="22"/>
      <c r="DQ14" s="22"/>
      <c r="DR14" s="70" t="n">
        <f aca="false">DQ14-DP14</f>
        <v>0</v>
      </c>
      <c r="DS14" s="70" t="n">
        <f aca="false">+C14+F14+I14+L14+O14+R14+U14+X14+AA14+AD14+AG14+AJ14+AM14+AP14+AS14+AV14+AY14+BB14+BE14+BH14+BK14+BN14+BQ14+BT14+BW14+BZ14+CC14+CF14+CI14+CL14+CO14+CR14+CU14+CX14+DA14+DD14+DG14+DJ14+DM14+DP14</f>
        <v>0</v>
      </c>
      <c r="DT14" s="70" t="n">
        <f aca="false">+D14+G14+J14+M14+P14+S14+V14+Y14+AB14+AE14+AH14+AK14+AN14+AQ14+AT14+AW14+AZ14+BC14+BF14+BI14+BL14+BO14+BR14+BU14+BX14+CA14+CD14+CG14+CJ14+CM14+CP14+CS14+CV14+CY14+DB14+DE14+DH14+DK14+DN14+DQ14</f>
        <v>0</v>
      </c>
      <c r="DU14" s="70" t="n">
        <f aca="false">DT14-DS14</f>
        <v>0</v>
      </c>
      <c r="DV14" s="75"/>
      <c r="DW14" s="74"/>
      <c r="DX14" s="74"/>
      <c r="DY14" s="75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</row>
    <row r="15" customFormat="false" ht="12.75" hidden="false" customHeight="false" outlineLevel="0" collapsed="false">
      <c r="A15" s="69" t="n">
        <f aca="false">+BaseloadMarkets!A15</f>
        <v>36687</v>
      </c>
      <c r="B15" s="69" t="str">
        <f aca="false">+BaseloadMarkets!B15</f>
        <v>Sat</v>
      </c>
      <c r="C15" s="22"/>
      <c r="D15" s="22"/>
      <c r="E15" s="70" t="n">
        <f aca="false">D15-C15</f>
        <v>0</v>
      </c>
      <c r="F15" s="22"/>
      <c r="G15" s="22"/>
      <c r="H15" s="70" t="n">
        <f aca="false">G15-F15</f>
        <v>0</v>
      </c>
      <c r="I15" s="22"/>
      <c r="J15" s="22"/>
      <c r="K15" s="70" t="n">
        <f aca="false">J15-I15</f>
        <v>0</v>
      </c>
      <c r="L15" s="22" t="n">
        <f aca="false">26000+10000</f>
        <v>36000</v>
      </c>
      <c r="M15" s="22" t="n">
        <v>36000</v>
      </c>
      <c r="N15" s="70" t="n">
        <f aca="false">M15-L15</f>
        <v>0</v>
      </c>
      <c r="O15" s="22"/>
      <c r="P15" s="22"/>
      <c r="Q15" s="70" t="n">
        <f aca="false">P15-O15</f>
        <v>0</v>
      </c>
      <c r="R15" s="22" t="n">
        <v>3000</v>
      </c>
      <c r="S15" s="22" t="n">
        <v>3000</v>
      </c>
      <c r="T15" s="70" t="n">
        <f aca="false">S15-R15</f>
        <v>0</v>
      </c>
      <c r="U15" s="22" t="n">
        <v>2000</v>
      </c>
      <c r="V15" s="22" t="n">
        <v>2000</v>
      </c>
      <c r="W15" s="70" t="n">
        <f aca="false">V15-U15</f>
        <v>0</v>
      </c>
      <c r="X15" s="22"/>
      <c r="Y15" s="22"/>
      <c r="Z15" s="70" t="n">
        <f aca="false">Y15-X15</f>
        <v>0</v>
      </c>
      <c r="AA15" s="22"/>
      <c r="AB15" s="22"/>
      <c r="AC15" s="70" t="n">
        <f aca="false">AB15-AA15</f>
        <v>0</v>
      </c>
      <c r="AD15" s="22"/>
      <c r="AE15" s="22"/>
      <c r="AF15" s="70" t="n">
        <f aca="false">AE15-AD15</f>
        <v>0</v>
      </c>
      <c r="AG15" s="22"/>
      <c r="AH15" s="22"/>
      <c r="AI15" s="70" t="n">
        <f aca="false">AH15-AG15</f>
        <v>0</v>
      </c>
      <c r="AJ15" s="22"/>
      <c r="AK15" s="22"/>
      <c r="AL15" s="70" t="n">
        <f aca="false">AK15-AJ15</f>
        <v>0</v>
      </c>
      <c r="AM15" s="22"/>
      <c r="AN15" s="22"/>
      <c r="AO15" s="70" t="n">
        <f aca="false">AN15-AM15</f>
        <v>0</v>
      </c>
      <c r="AP15" s="22"/>
      <c r="AQ15" s="22"/>
      <c r="AR15" s="70" t="n">
        <f aca="false">AQ15-AP15</f>
        <v>0</v>
      </c>
      <c r="AS15" s="22"/>
      <c r="AT15" s="22"/>
      <c r="AU15" s="70" t="n">
        <f aca="false">AT15-AS15</f>
        <v>0</v>
      </c>
      <c r="AV15" s="22"/>
      <c r="AW15" s="22"/>
      <c r="AX15" s="70" t="n">
        <f aca="false">AW15-AV15</f>
        <v>0</v>
      </c>
      <c r="AY15" s="22"/>
      <c r="AZ15" s="22"/>
      <c r="BA15" s="70" t="n">
        <f aca="false">AZ15-AY15</f>
        <v>0</v>
      </c>
      <c r="BB15" s="22"/>
      <c r="BC15" s="22"/>
      <c r="BD15" s="70" t="n">
        <f aca="false">BC15-BB15</f>
        <v>0</v>
      </c>
      <c r="BE15" s="22"/>
      <c r="BF15" s="22"/>
      <c r="BG15" s="70" t="n">
        <f aca="false">BF15-BE15</f>
        <v>0</v>
      </c>
      <c r="BH15" s="22"/>
      <c r="BI15" s="22"/>
      <c r="BJ15" s="70" t="n">
        <f aca="false">BI15-BH15</f>
        <v>0</v>
      </c>
      <c r="BK15" s="22"/>
      <c r="BL15" s="22"/>
      <c r="BM15" s="70" t="n">
        <f aca="false">BL15-BK15</f>
        <v>0</v>
      </c>
      <c r="BN15" s="22"/>
      <c r="BO15" s="22"/>
      <c r="BP15" s="70" t="n">
        <f aca="false">BO15-BN15</f>
        <v>0</v>
      </c>
      <c r="BQ15" s="22"/>
      <c r="BR15" s="22"/>
      <c r="BS15" s="70" t="n">
        <f aca="false">BR15-BQ15</f>
        <v>0</v>
      </c>
      <c r="BT15" s="22"/>
      <c r="BU15" s="22"/>
      <c r="BV15" s="70" t="n">
        <f aca="false">BU15-BT15</f>
        <v>0</v>
      </c>
      <c r="BW15" s="22"/>
      <c r="BX15" s="22"/>
      <c r="BY15" s="70" t="n">
        <f aca="false">BX15-BW15</f>
        <v>0</v>
      </c>
      <c r="BZ15" s="22"/>
      <c r="CA15" s="22"/>
      <c r="CB15" s="70" t="n">
        <f aca="false">CA15-BZ15</f>
        <v>0</v>
      </c>
      <c r="CC15" s="22"/>
      <c r="CD15" s="22"/>
      <c r="CE15" s="70" t="n">
        <f aca="false">CD15-CC15</f>
        <v>0</v>
      </c>
      <c r="CF15" s="22"/>
      <c r="CG15" s="22"/>
      <c r="CH15" s="70" t="n">
        <f aca="false">CG15-CF15</f>
        <v>0</v>
      </c>
      <c r="CI15" s="22"/>
      <c r="CJ15" s="22"/>
      <c r="CK15" s="70" t="n">
        <f aca="false">CJ15-CI15</f>
        <v>0</v>
      </c>
      <c r="CL15" s="22"/>
      <c r="CM15" s="22"/>
      <c r="CN15" s="70" t="n">
        <f aca="false">CM15-CL15</f>
        <v>0</v>
      </c>
      <c r="CO15" s="22"/>
      <c r="CP15" s="22"/>
      <c r="CQ15" s="70" t="n">
        <f aca="false">CP15-CO15</f>
        <v>0</v>
      </c>
      <c r="CR15" s="22"/>
      <c r="CS15" s="22"/>
      <c r="CT15" s="70" t="n">
        <f aca="false">CS15-CR15</f>
        <v>0</v>
      </c>
      <c r="CU15" s="22"/>
      <c r="CV15" s="22"/>
      <c r="CW15" s="70" t="n">
        <f aca="false">CV15-CU15</f>
        <v>0</v>
      </c>
      <c r="CX15" s="22"/>
      <c r="CY15" s="22"/>
      <c r="CZ15" s="70" t="n">
        <f aca="false">CY15-CX15</f>
        <v>0</v>
      </c>
      <c r="DA15" s="22"/>
      <c r="DB15" s="22"/>
      <c r="DC15" s="70" t="n">
        <f aca="false">DB15-DA15</f>
        <v>0</v>
      </c>
      <c r="DD15" s="22"/>
      <c r="DE15" s="22"/>
      <c r="DF15" s="70" t="n">
        <f aca="false">DE15-DD15</f>
        <v>0</v>
      </c>
      <c r="DG15" s="22"/>
      <c r="DH15" s="22"/>
      <c r="DI15" s="70" t="n">
        <f aca="false">DH15-DG15</f>
        <v>0</v>
      </c>
      <c r="DJ15" s="22"/>
      <c r="DK15" s="22"/>
      <c r="DL15" s="70" t="n">
        <f aca="false">DK15-DJ15</f>
        <v>0</v>
      </c>
      <c r="DM15" s="22"/>
      <c r="DN15" s="22"/>
      <c r="DO15" s="70" t="n">
        <f aca="false">DN15-DM15</f>
        <v>0</v>
      </c>
      <c r="DP15" s="22"/>
      <c r="DQ15" s="22"/>
      <c r="DR15" s="70" t="n">
        <f aca="false">DQ15-DP15</f>
        <v>0</v>
      </c>
      <c r="DS15" s="70" t="n">
        <f aca="false">+C15+F15+I15+L15+O15+R15+U15+X15+AA15+AD15+AG15+AJ15+AM15+AP15+AS15+AV15+AY15+BB15+BE15+BH15+BK15+BN15+BQ15+BT15+BW15+BZ15+CC15+CF15+CI15+CL15+CO15+CR15+CU15+CX15+DA15+DD15+DG15+DJ15+DM15+DP15</f>
        <v>41000</v>
      </c>
      <c r="DT15" s="70" t="n">
        <f aca="false">+D15+G15+J15+M15+P15+S15+V15+Y15+AB15+AE15+AH15+AK15+AN15+AQ15+AT15+AW15+AZ15+BC15+BF15+BI15+BL15+BO15+BR15+BU15+BX15+CA15+CD15+CG15+CJ15+CM15+CP15+CS15+CV15+CY15+DB15+DE15+DH15+DK15+DN15+DQ15</f>
        <v>41000</v>
      </c>
      <c r="DU15" s="70" t="n">
        <f aca="false">DT15-DS15</f>
        <v>0</v>
      </c>
      <c r="DV15" s="75"/>
      <c r="DW15" s="74"/>
      <c r="DX15" s="74"/>
      <c r="DY15" s="75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</row>
    <row r="16" customFormat="false" ht="12.75" hidden="false" customHeight="false" outlineLevel="0" collapsed="false">
      <c r="A16" s="69" t="n">
        <f aca="false">+BaseloadMarkets!A16</f>
        <v>36688</v>
      </c>
      <c r="B16" s="69" t="str">
        <f aca="false">+BaseloadMarkets!B16</f>
        <v>Sun</v>
      </c>
      <c r="C16" s="22"/>
      <c r="D16" s="22"/>
      <c r="E16" s="70" t="n">
        <f aca="false">D16-C16</f>
        <v>0</v>
      </c>
      <c r="F16" s="22"/>
      <c r="G16" s="22"/>
      <c r="H16" s="70" t="n">
        <f aca="false">G16-F16</f>
        <v>0</v>
      </c>
      <c r="I16" s="22"/>
      <c r="J16" s="22"/>
      <c r="K16" s="70" t="n">
        <f aca="false">J16-I16</f>
        <v>0</v>
      </c>
      <c r="L16" s="22" t="n">
        <f aca="false">26000+10000</f>
        <v>36000</v>
      </c>
      <c r="M16" s="22" t="n">
        <v>36000</v>
      </c>
      <c r="N16" s="70" t="n">
        <f aca="false">M16-L16</f>
        <v>0</v>
      </c>
      <c r="O16" s="22"/>
      <c r="P16" s="22"/>
      <c r="Q16" s="70" t="n">
        <f aca="false">P16-O16</f>
        <v>0</v>
      </c>
      <c r="R16" s="22" t="n">
        <v>2723</v>
      </c>
      <c r="S16" s="22" t="n">
        <v>2723</v>
      </c>
      <c r="T16" s="70" t="n">
        <f aca="false">S16-R16</f>
        <v>0</v>
      </c>
      <c r="U16" s="22" t="n">
        <v>2000</v>
      </c>
      <c r="V16" s="22" t="n">
        <v>2000</v>
      </c>
      <c r="W16" s="70" t="n">
        <f aca="false">V16-U16</f>
        <v>0</v>
      </c>
      <c r="X16" s="22"/>
      <c r="Y16" s="22"/>
      <c r="Z16" s="70" t="n">
        <f aca="false">Y16-X16</f>
        <v>0</v>
      </c>
      <c r="AA16" s="22"/>
      <c r="AB16" s="22"/>
      <c r="AC16" s="70" t="n">
        <f aca="false">AB16-AA16</f>
        <v>0</v>
      </c>
      <c r="AD16" s="22"/>
      <c r="AE16" s="22"/>
      <c r="AF16" s="70" t="n">
        <f aca="false">AE16-AD16</f>
        <v>0</v>
      </c>
      <c r="AG16" s="22"/>
      <c r="AH16" s="22"/>
      <c r="AI16" s="70" t="n">
        <f aca="false">AH16-AG16</f>
        <v>0</v>
      </c>
      <c r="AJ16" s="22"/>
      <c r="AK16" s="22"/>
      <c r="AL16" s="70" t="n">
        <f aca="false">AK16-AJ16</f>
        <v>0</v>
      </c>
      <c r="AM16" s="22"/>
      <c r="AN16" s="22"/>
      <c r="AO16" s="70" t="n">
        <f aca="false">AN16-AM16</f>
        <v>0</v>
      </c>
      <c r="AP16" s="22"/>
      <c r="AQ16" s="22"/>
      <c r="AR16" s="70" t="n">
        <f aca="false">AQ16-AP16</f>
        <v>0</v>
      </c>
      <c r="AS16" s="22"/>
      <c r="AT16" s="22"/>
      <c r="AU16" s="70" t="n">
        <f aca="false">AT16-AS16</f>
        <v>0</v>
      </c>
      <c r="AV16" s="22"/>
      <c r="AW16" s="22"/>
      <c r="AX16" s="70" t="n">
        <f aca="false">AW16-AV16</f>
        <v>0</v>
      </c>
      <c r="AY16" s="22"/>
      <c r="AZ16" s="22"/>
      <c r="BA16" s="70" t="n">
        <f aca="false">AZ16-AY16</f>
        <v>0</v>
      </c>
      <c r="BB16" s="22"/>
      <c r="BC16" s="22"/>
      <c r="BD16" s="70" t="n">
        <f aca="false">BC16-BB16</f>
        <v>0</v>
      </c>
      <c r="BE16" s="22"/>
      <c r="BF16" s="22"/>
      <c r="BG16" s="70" t="n">
        <f aca="false">BF16-BE16</f>
        <v>0</v>
      </c>
      <c r="BH16" s="22"/>
      <c r="BI16" s="22"/>
      <c r="BJ16" s="70" t="n">
        <f aca="false">BI16-BH16</f>
        <v>0</v>
      </c>
      <c r="BK16" s="22"/>
      <c r="BL16" s="22"/>
      <c r="BM16" s="70" t="n">
        <f aca="false">BL16-BK16</f>
        <v>0</v>
      </c>
      <c r="BN16" s="22"/>
      <c r="BO16" s="22"/>
      <c r="BP16" s="70" t="n">
        <f aca="false">BO16-BN16</f>
        <v>0</v>
      </c>
      <c r="BQ16" s="22"/>
      <c r="BR16" s="22"/>
      <c r="BS16" s="70" t="n">
        <f aca="false">BR16-BQ16</f>
        <v>0</v>
      </c>
      <c r="BT16" s="22"/>
      <c r="BU16" s="22"/>
      <c r="BV16" s="70" t="n">
        <f aca="false">BU16-BT16</f>
        <v>0</v>
      </c>
      <c r="BW16" s="22"/>
      <c r="BX16" s="22"/>
      <c r="BY16" s="70" t="n">
        <f aca="false">BX16-BW16</f>
        <v>0</v>
      </c>
      <c r="BZ16" s="22"/>
      <c r="CA16" s="22"/>
      <c r="CB16" s="70" t="n">
        <f aca="false">CA16-BZ16</f>
        <v>0</v>
      </c>
      <c r="CC16" s="22"/>
      <c r="CD16" s="22"/>
      <c r="CE16" s="70" t="n">
        <f aca="false">CD16-CC16</f>
        <v>0</v>
      </c>
      <c r="CF16" s="22"/>
      <c r="CG16" s="22"/>
      <c r="CH16" s="70" t="n">
        <f aca="false">CG16-CF16</f>
        <v>0</v>
      </c>
      <c r="CI16" s="22"/>
      <c r="CJ16" s="22"/>
      <c r="CK16" s="70" t="n">
        <f aca="false">CJ16-CI16</f>
        <v>0</v>
      </c>
      <c r="CL16" s="22"/>
      <c r="CM16" s="22"/>
      <c r="CN16" s="70" t="n">
        <f aca="false">CM16-CL16</f>
        <v>0</v>
      </c>
      <c r="CO16" s="22"/>
      <c r="CP16" s="22"/>
      <c r="CQ16" s="70" t="n">
        <f aca="false">CP16-CO16</f>
        <v>0</v>
      </c>
      <c r="CR16" s="22"/>
      <c r="CS16" s="22"/>
      <c r="CT16" s="70" t="n">
        <f aca="false">CS16-CR16</f>
        <v>0</v>
      </c>
      <c r="CU16" s="22"/>
      <c r="CV16" s="22"/>
      <c r="CW16" s="70" t="n">
        <f aca="false">CV16-CU16</f>
        <v>0</v>
      </c>
      <c r="CX16" s="22"/>
      <c r="CY16" s="22"/>
      <c r="CZ16" s="70" t="n">
        <f aca="false">CY16-CX16</f>
        <v>0</v>
      </c>
      <c r="DA16" s="22"/>
      <c r="DB16" s="22"/>
      <c r="DC16" s="70" t="n">
        <f aca="false">DB16-DA16</f>
        <v>0</v>
      </c>
      <c r="DD16" s="22"/>
      <c r="DE16" s="22"/>
      <c r="DF16" s="70" t="n">
        <f aca="false">DE16-DD16</f>
        <v>0</v>
      </c>
      <c r="DG16" s="22"/>
      <c r="DH16" s="22"/>
      <c r="DI16" s="70" t="n">
        <f aca="false">DH16-DG16</f>
        <v>0</v>
      </c>
      <c r="DJ16" s="22"/>
      <c r="DK16" s="22"/>
      <c r="DL16" s="70" t="n">
        <f aca="false">DK16-DJ16</f>
        <v>0</v>
      </c>
      <c r="DM16" s="22"/>
      <c r="DN16" s="22"/>
      <c r="DO16" s="70" t="n">
        <f aca="false">DN16-DM16</f>
        <v>0</v>
      </c>
      <c r="DP16" s="22"/>
      <c r="DQ16" s="22"/>
      <c r="DR16" s="70" t="n">
        <f aca="false">DQ16-DP16</f>
        <v>0</v>
      </c>
      <c r="DS16" s="70" t="n">
        <f aca="false">+C16+F16+I16+L16+O16+R16+U16+X16+AA16+AD16+AG16+AJ16+AM16+AP16+AS16+AV16+AY16+BB16+BE16+BH16+BK16+BN16+BQ16+BT16+BW16+BZ16+CC16+CF16+CI16+CL16+CO16+CR16+CU16+CX16+DA16+DD16+DG16+DJ16+DM16+DP16</f>
        <v>40723</v>
      </c>
      <c r="DT16" s="70" t="n">
        <f aca="false">+D16+G16+J16+M16+P16+S16+V16+Y16+AB16+AE16+AH16+AK16+AN16+AQ16+AT16+AW16+AZ16+BC16+BF16+BI16+BL16+BO16+BR16+BU16+BX16+CA16+CD16+CG16+CJ16+CM16+CP16+CS16+CV16+CY16+DB16+DE16+DH16+DK16+DN16+DQ16</f>
        <v>40723</v>
      </c>
      <c r="DU16" s="70" t="n">
        <f aca="false">DT16-DS16</f>
        <v>0</v>
      </c>
      <c r="DV16" s="75"/>
      <c r="DW16" s="74"/>
      <c r="DX16" s="74"/>
      <c r="DY16" s="75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</row>
    <row r="17" customFormat="false" ht="12.75" hidden="false" customHeight="false" outlineLevel="0" collapsed="false">
      <c r="A17" s="69" t="n">
        <f aca="false">+BaseloadMarkets!A17</f>
        <v>36689</v>
      </c>
      <c r="B17" s="69" t="str">
        <f aca="false">+BaseloadMarkets!B17</f>
        <v>Mon</v>
      </c>
      <c r="C17" s="22"/>
      <c r="D17" s="22"/>
      <c r="E17" s="70" t="n">
        <f aca="false">D17-C17</f>
        <v>0</v>
      </c>
      <c r="F17" s="22"/>
      <c r="G17" s="22"/>
      <c r="H17" s="70" t="n">
        <f aca="false">G17-F17</f>
        <v>0</v>
      </c>
      <c r="I17" s="22"/>
      <c r="J17" s="22"/>
      <c r="K17" s="70" t="n">
        <f aca="false">J17-I17</f>
        <v>0</v>
      </c>
      <c r="L17" s="22" t="n">
        <f aca="false">26000+10000</f>
        <v>36000</v>
      </c>
      <c r="M17" s="22" t="n">
        <v>36000</v>
      </c>
      <c r="N17" s="70" t="n">
        <f aca="false">M17-L17</f>
        <v>0</v>
      </c>
      <c r="O17" s="22"/>
      <c r="P17" s="22"/>
      <c r="Q17" s="70" t="n">
        <f aca="false">P17-O17</f>
        <v>0</v>
      </c>
      <c r="R17" s="22" t="n">
        <v>3000</v>
      </c>
      <c r="S17" s="22" t="n">
        <v>3000</v>
      </c>
      <c r="T17" s="70" t="n">
        <f aca="false">S17-R17</f>
        <v>0</v>
      </c>
      <c r="U17" s="22" t="n">
        <v>2000</v>
      </c>
      <c r="V17" s="22" t="n">
        <v>2000</v>
      </c>
      <c r="W17" s="70" t="n">
        <f aca="false">V17-U17</f>
        <v>0</v>
      </c>
      <c r="X17" s="22"/>
      <c r="Y17" s="22"/>
      <c r="Z17" s="70" t="n">
        <f aca="false">Y17-X17</f>
        <v>0</v>
      </c>
      <c r="AA17" s="22"/>
      <c r="AB17" s="22"/>
      <c r="AC17" s="70" t="n">
        <f aca="false">AB17-AA17</f>
        <v>0</v>
      </c>
      <c r="AD17" s="22"/>
      <c r="AE17" s="22"/>
      <c r="AF17" s="70" t="n">
        <f aca="false">AE17-AD17</f>
        <v>0</v>
      </c>
      <c r="AG17" s="22"/>
      <c r="AH17" s="22"/>
      <c r="AI17" s="70" t="n">
        <f aca="false">AH17-AG17</f>
        <v>0</v>
      </c>
      <c r="AJ17" s="22"/>
      <c r="AK17" s="22"/>
      <c r="AL17" s="70" t="n">
        <f aca="false">AK17-AJ17</f>
        <v>0</v>
      </c>
      <c r="AM17" s="22"/>
      <c r="AN17" s="22"/>
      <c r="AO17" s="70" t="n">
        <f aca="false">AN17-AM17</f>
        <v>0</v>
      </c>
      <c r="AP17" s="22"/>
      <c r="AQ17" s="22"/>
      <c r="AR17" s="70" t="n">
        <f aca="false">AQ17-AP17</f>
        <v>0</v>
      </c>
      <c r="AS17" s="22"/>
      <c r="AT17" s="22"/>
      <c r="AU17" s="70" t="n">
        <f aca="false">AT17-AS17</f>
        <v>0</v>
      </c>
      <c r="AV17" s="22"/>
      <c r="AW17" s="22"/>
      <c r="AX17" s="70" t="n">
        <f aca="false">AW17-AV17</f>
        <v>0</v>
      </c>
      <c r="AY17" s="22"/>
      <c r="AZ17" s="22"/>
      <c r="BA17" s="70" t="n">
        <f aca="false">AZ17-AY17</f>
        <v>0</v>
      </c>
      <c r="BB17" s="22"/>
      <c r="BC17" s="22"/>
      <c r="BD17" s="70" t="n">
        <f aca="false">BC17-BB17</f>
        <v>0</v>
      </c>
      <c r="BE17" s="22"/>
      <c r="BF17" s="22"/>
      <c r="BG17" s="70" t="n">
        <f aca="false">BF17-BE17</f>
        <v>0</v>
      </c>
      <c r="BH17" s="22"/>
      <c r="BI17" s="22"/>
      <c r="BJ17" s="70" t="n">
        <f aca="false">BI17-BH17</f>
        <v>0</v>
      </c>
      <c r="BK17" s="22"/>
      <c r="BL17" s="22"/>
      <c r="BM17" s="70" t="n">
        <f aca="false">BL17-BK17</f>
        <v>0</v>
      </c>
      <c r="BN17" s="22"/>
      <c r="BO17" s="22"/>
      <c r="BP17" s="70" t="n">
        <f aca="false">BO17-BN17</f>
        <v>0</v>
      </c>
      <c r="BQ17" s="22"/>
      <c r="BR17" s="22"/>
      <c r="BS17" s="70" t="n">
        <f aca="false">BR17-BQ17</f>
        <v>0</v>
      </c>
      <c r="BT17" s="22"/>
      <c r="BU17" s="22"/>
      <c r="BV17" s="70" t="n">
        <f aca="false">BU17-BT17</f>
        <v>0</v>
      </c>
      <c r="BW17" s="22"/>
      <c r="BX17" s="22"/>
      <c r="BY17" s="70" t="n">
        <f aca="false">BX17-BW17</f>
        <v>0</v>
      </c>
      <c r="BZ17" s="22"/>
      <c r="CA17" s="22"/>
      <c r="CB17" s="70" t="n">
        <f aca="false">CA17-BZ17</f>
        <v>0</v>
      </c>
      <c r="CC17" s="22"/>
      <c r="CD17" s="22"/>
      <c r="CE17" s="70" t="n">
        <f aca="false">CD17-CC17</f>
        <v>0</v>
      </c>
      <c r="CF17" s="22"/>
      <c r="CG17" s="22"/>
      <c r="CH17" s="70" t="n">
        <f aca="false">CG17-CF17</f>
        <v>0</v>
      </c>
      <c r="CI17" s="22"/>
      <c r="CJ17" s="22"/>
      <c r="CK17" s="70" t="n">
        <f aca="false">CJ17-CI17</f>
        <v>0</v>
      </c>
      <c r="CL17" s="22"/>
      <c r="CM17" s="22"/>
      <c r="CN17" s="70" t="n">
        <f aca="false">CM17-CL17</f>
        <v>0</v>
      </c>
      <c r="CO17" s="22"/>
      <c r="CP17" s="22"/>
      <c r="CQ17" s="70" t="n">
        <f aca="false">CP17-CO17</f>
        <v>0</v>
      </c>
      <c r="CR17" s="22"/>
      <c r="CS17" s="22"/>
      <c r="CT17" s="70" t="n">
        <f aca="false">CS17-CR17</f>
        <v>0</v>
      </c>
      <c r="CU17" s="22"/>
      <c r="CV17" s="22"/>
      <c r="CW17" s="70" t="n">
        <f aca="false">CV17-CU17</f>
        <v>0</v>
      </c>
      <c r="CX17" s="22"/>
      <c r="CY17" s="22"/>
      <c r="CZ17" s="70" t="n">
        <f aca="false">CY17-CX17</f>
        <v>0</v>
      </c>
      <c r="DA17" s="22"/>
      <c r="DB17" s="22"/>
      <c r="DC17" s="70" t="n">
        <f aca="false">DB17-DA17</f>
        <v>0</v>
      </c>
      <c r="DD17" s="22"/>
      <c r="DE17" s="22"/>
      <c r="DF17" s="70" t="n">
        <f aca="false">DE17-DD17</f>
        <v>0</v>
      </c>
      <c r="DG17" s="22"/>
      <c r="DH17" s="22"/>
      <c r="DI17" s="70" t="n">
        <f aca="false">DH17-DG17</f>
        <v>0</v>
      </c>
      <c r="DJ17" s="22"/>
      <c r="DK17" s="22"/>
      <c r="DL17" s="70" t="n">
        <f aca="false">DK17-DJ17</f>
        <v>0</v>
      </c>
      <c r="DM17" s="22"/>
      <c r="DN17" s="22"/>
      <c r="DO17" s="70" t="n">
        <f aca="false">DN17-DM17</f>
        <v>0</v>
      </c>
      <c r="DP17" s="22"/>
      <c r="DQ17" s="22"/>
      <c r="DR17" s="70" t="n">
        <f aca="false">DQ17-DP17</f>
        <v>0</v>
      </c>
      <c r="DS17" s="70" t="n">
        <f aca="false">+C17+F17+I17+L17+O17+R17+U17+X17+AA17+AD17+AG17+AJ17+AM17+AP17+AS17+AV17+AY17+BB17+BE17+BH17+BK17+BN17+BQ17+BT17+BW17+BZ17+CC17+CF17+CI17+CL17+CO17+CR17+CU17+CX17+DA17+DD17+DG17+DJ17+DM17+DP17</f>
        <v>41000</v>
      </c>
      <c r="DT17" s="70" t="n">
        <f aca="false">+D17+G17+J17+M17+P17+S17+V17+Y17+AB17+AE17+AH17+AK17+AN17+AQ17+AT17+AW17+AZ17+BC17+BF17+BI17+BL17+BO17+BR17+BU17+BX17+CA17+CD17+CG17+CJ17+CM17+CP17+CS17+CV17+CY17+DB17+DE17+DH17+DK17+DN17+DQ17</f>
        <v>41000</v>
      </c>
      <c r="DU17" s="70" t="n">
        <f aca="false">DT17-DS17</f>
        <v>0</v>
      </c>
      <c r="DV17" s="75"/>
      <c r="DW17" s="74"/>
      <c r="DX17" s="74"/>
      <c r="DY17" s="75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</row>
    <row r="18" customFormat="false" ht="12.75" hidden="false" customHeight="false" outlineLevel="0" collapsed="false">
      <c r="A18" s="69" t="n">
        <f aca="false">+BaseloadMarkets!A18</f>
        <v>36690</v>
      </c>
      <c r="B18" s="69" t="str">
        <f aca="false">+BaseloadMarkets!B18</f>
        <v>Tues</v>
      </c>
      <c r="C18" s="22"/>
      <c r="D18" s="22"/>
      <c r="E18" s="70" t="n">
        <f aca="false">D18-C18</f>
        <v>0</v>
      </c>
      <c r="F18" s="22"/>
      <c r="G18" s="22"/>
      <c r="H18" s="70" t="n">
        <f aca="false">G18-F18</f>
        <v>0</v>
      </c>
      <c r="I18" s="22"/>
      <c r="J18" s="22"/>
      <c r="K18" s="70" t="n">
        <f aca="false">J18-I18</f>
        <v>0</v>
      </c>
      <c r="L18" s="22" t="n">
        <v>30000</v>
      </c>
      <c r="M18" s="22" t="n">
        <v>30000</v>
      </c>
      <c r="N18" s="70" t="n">
        <f aca="false">M18-L18</f>
        <v>0</v>
      </c>
      <c r="O18" s="22"/>
      <c r="P18" s="22"/>
      <c r="Q18" s="70" t="n">
        <f aca="false">P18-O18</f>
        <v>0</v>
      </c>
      <c r="R18" s="22"/>
      <c r="S18" s="22"/>
      <c r="T18" s="70" t="n">
        <f aca="false">S18-R18</f>
        <v>0</v>
      </c>
      <c r="U18" s="22"/>
      <c r="V18" s="22"/>
      <c r="W18" s="70" t="n">
        <f aca="false">V18-U18</f>
        <v>0</v>
      </c>
      <c r="X18" s="22" t="n">
        <v>20000</v>
      </c>
      <c r="Y18" s="22" t="n">
        <v>20000</v>
      </c>
      <c r="Z18" s="70" t="n">
        <f aca="false">Y18-X18</f>
        <v>0</v>
      </c>
      <c r="AA18" s="22" t="n">
        <v>14000</v>
      </c>
      <c r="AB18" s="22" t="n">
        <v>14000</v>
      </c>
      <c r="AC18" s="70" t="n">
        <f aca="false">AB18-AA18</f>
        <v>0</v>
      </c>
      <c r="AD18" s="22"/>
      <c r="AE18" s="22"/>
      <c r="AF18" s="70" t="n">
        <f aca="false">AE18-AD18</f>
        <v>0</v>
      </c>
      <c r="AG18" s="22"/>
      <c r="AH18" s="22"/>
      <c r="AI18" s="70" t="n">
        <f aca="false">AH18-AG18</f>
        <v>0</v>
      </c>
      <c r="AJ18" s="22"/>
      <c r="AK18" s="22"/>
      <c r="AL18" s="70" t="n">
        <f aca="false">AK18-AJ18</f>
        <v>0</v>
      </c>
      <c r="AM18" s="22"/>
      <c r="AN18" s="22"/>
      <c r="AO18" s="70" t="n">
        <f aca="false">AN18-AM18</f>
        <v>0</v>
      </c>
      <c r="AP18" s="22"/>
      <c r="AQ18" s="22"/>
      <c r="AR18" s="70" t="n">
        <f aca="false">AQ18-AP18</f>
        <v>0</v>
      </c>
      <c r="AS18" s="22"/>
      <c r="AT18" s="22"/>
      <c r="AU18" s="70" t="n">
        <f aca="false">AT18-AS18</f>
        <v>0</v>
      </c>
      <c r="AV18" s="22"/>
      <c r="AW18" s="22"/>
      <c r="AX18" s="70" t="n">
        <f aca="false">AW18-AV18</f>
        <v>0</v>
      </c>
      <c r="AY18" s="22"/>
      <c r="AZ18" s="22"/>
      <c r="BA18" s="70" t="n">
        <f aca="false">AZ18-AY18</f>
        <v>0</v>
      </c>
      <c r="BB18" s="22"/>
      <c r="BC18" s="22"/>
      <c r="BD18" s="70" t="n">
        <f aca="false">BC18-BB18</f>
        <v>0</v>
      </c>
      <c r="BE18" s="22"/>
      <c r="BF18" s="22"/>
      <c r="BG18" s="70" t="n">
        <f aca="false">BF18-BE18</f>
        <v>0</v>
      </c>
      <c r="BH18" s="22"/>
      <c r="BI18" s="22"/>
      <c r="BJ18" s="70" t="n">
        <f aca="false">BI18-BH18</f>
        <v>0</v>
      </c>
      <c r="BK18" s="22"/>
      <c r="BL18" s="22"/>
      <c r="BM18" s="70" t="n">
        <f aca="false">BL18-BK18</f>
        <v>0</v>
      </c>
      <c r="BN18" s="22"/>
      <c r="BO18" s="22"/>
      <c r="BP18" s="70" t="n">
        <f aca="false">BO18-BN18</f>
        <v>0</v>
      </c>
      <c r="BQ18" s="22"/>
      <c r="BR18" s="22"/>
      <c r="BS18" s="70" t="n">
        <f aca="false">BR18-BQ18</f>
        <v>0</v>
      </c>
      <c r="BT18" s="22"/>
      <c r="BU18" s="22"/>
      <c r="BV18" s="70" t="n">
        <f aca="false">BU18-BT18</f>
        <v>0</v>
      </c>
      <c r="BW18" s="22"/>
      <c r="BX18" s="22"/>
      <c r="BY18" s="70" t="n">
        <f aca="false">BX18-BW18</f>
        <v>0</v>
      </c>
      <c r="BZ18" s="22"/>
      <c r="CA18" s="22"/>
      <c r="CB18" s="70" t="n">
        <f aca="false">CA18-BZ18</f>
        <v>0</v>
      </c>
      <c r="CC18" s="22"/>
      <c r="CD18" s="22"/>
      <c r="CE18" s="70" t="n">
        <f aca="false">CD18-CC18</f>
        <v>0</v>
      </c>
      <c r="CF18" s="22"/>
      <c r="CG18" s="22"/>
      <c r="CH18" s="70" t="n">
        <f aca="false">CG18-CF18</f>
        <v>0</v>
      </c>
      <c r="CI18" s="22"/>
      <c r="CJ18" s="22"/>
      <c r="CK18" s="70" t="n">
        <f aca="false">CJ18-CI18</f>
        <v>0</v>
      </c>
      <c r="CL18" s="22"/>
      <c r="CM18" s="22"/>
      <c r="CN18" s="70" t="n">
        <f aca="false">CM18-CL18</f>
        <v>0</v>
      </c>
      <c r="CO18" s="22"/>
      <c r="CP18" s="22"/>
      <c r="CQ18" s="70" t="n">
        <f aca="false">CP18-CO18</f>
        <v>0</v>
      </c>
      <c r="CR18" s="22"/>
      <c r="CS18" s="22"/>
      <c r="CT18" s="70" t="n">
        <f aca="false">CS18-CR18</f>
        <v>0</v>
      </c>
      <c r="CU18" s="22"/>
      <c r="CV18" s="22"/>
      <c r="CW18" s="70" t="n">
        <f aca="false">CV18-CU18</f>
        <v>0</v>
      </c>
      <c r="CX18" s="22"/>
      <c r="CY18" s="22"/>
      <c r="CZ18" s="70" t="n">
        <f aca="false">CY18-CX18</f>
        <v>0</v>
      </c>
      <c r="DA18" s="22"/>
      <c r="DB18" s="22"/>
      <c r="DC18" s="70" t="n">
        <f aca="false">DB18-DA18</f>
        <v>0</v>
      </c>
      <c r="DD18" s="22"/>
      <c r="DE18" s="22"/>
      <c r="DF18" s="70" t="n">
        <f aca="false">DE18-DD18</f>
        <v>0</v>
      </c>
      <c r="DG18" s="22"/>
      <c r="DH18" s="22"/>
      <c r="DI18" s="70" t="n">
        <f aca="false">DH18-DG18</f>
        <v>0</v>
      </c>
      <c r="DJ18" s="22"/>
      <c r="DK18" s="22"/>
      <c r="DL18" s="70" t="n">
        <f aca="false">DK18-DJ18</f>
        <v>0</v>
      </c>
      <c r="DM18" s="22"/>
      <c r="DN18" s="22"/>
      <c r="DO18" s="70" t="n">
        <f aca="false">DN18-DM18</f>
        <v>0</v>
      </c>
      <c r="DP18" s="22"/>
      <c r="DQ18" s="22"/>
      <c r="DR18" s="70" t="n">
        <f aca="false">DQ18-DP18</f>
        <v>0</v>
      </c>
      <c r="DS18" s="70" t="n">
        <f aca="false">+C18+F18+I18+L18+O18+R18+U18+X18+AA18+AD18+AG18+AJ18+AM18+AP18+AS18+AV18+AY18+BB18+BE18+BH18+BK18+BN18+BQ18+BT18+BW18+BZ18+CC18+CF18+CI18+CL18+CO18+CR18+CU18+CX18+DA18+DD18+DG18+DJ18+DM18+DP18</f>
        <v>64000</v>
      </c>
      <c r="DT18" s="70" t="n">
        <f aca="false">+D18+G18+J18+M18+P18+S18+V18+Y18+AB18+AE18+AH18+AK18+AN18+AQ18+AT18+AW18+AZ18+BC18+BF18+BI18+BL18+BO18+BR18+BU18+BX18+CA18+CD18+CG18+CJ18+CM18+CP18+CS18+CV18+CY18+DB18+DE18+DH18+DK18+DN18+DQ18</f>
        <v>64000</v>
      </c>
      <c r="DU18" s="70" t="n">
        <f aca="false">DT18-DS18</f>
        <v>0</v>
      </c>
      <c r="DV18" s="75"/>
      <c r="DW18" s="74"/>
      <c r="DX18" s="74"/>
      <c r="DY18" s="75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</row>
    <row r="19" customFormat="false" ht="12.75" hidden="false" customHeight="false" outlineLevel="0" collapsed="false">
      <c r="A19" s="69" t="n">
        <f aca="false">+BaseloadMarkets!A19</f>
        <v>36691</v>
      </c>
      <c r="B19" s="69" t="str">
        <f aca="false">+BaseloadMarkets!B19</f>
        <v>Wed</v>
      </c>
      <c r="C19" s="22"/>
      <c r="D19" s="22"/>
      <c r="E19" s="70" t="n">
        <f aca="false">D19-C19</f>
        <v>0</v>
      </c>
      <c r="F19" s="22"/>
      <c r="G19" s="22"/>
      <c r="H19" s="70" t="n">
        <f aca="false">G19-F19</f>
        <v>0</v>
      </c>
      <c r="I19" s="22"/>
      <c r="J19" s="22"/>
      <c r="K19" s="70" t="n">
        <f aca="false">J19-I19</f>
        <v>0</v>
      </c>
      <c r="L19" s="22"/>
      <c r="M19" s="22"/>
      <c r="N19" s="70" t="n">
        <f aca="false">M19-L19</f>
        <v>0</v>
      </c>
      <c r="O19" s="22"/>
      <c r="P19" s="22"/>
      <c r="Q19" s="70" t="n">
        <f aca="false">P19-O19</f>
        <v>0</v>
      </c>
      <c r="R19" s="22"/>
      <c r="S19" s="22"/>
      <c r="T19" s="70" t="n">
        <f aca="false">S19-R19</f>
        <v>0</v>
      </c>
      <c r="U19" s="22"/>
      <c r="V19" s="22"/>
      <c r="W19" s="70" t="n">
        <f aca="false">V19-U19</f>
        <v>0</v>
      </c>
      <c r="X19" s="22"/>
      <c r="Y19" s="22"/>
      <c r="Z19" s="70" t="n">
        <f aca="false">Y19-X19</f>
        <v>0</v>
      </c>
      <c r="AA19" s="22"/>
      <c r="AB19" s="22"/>
      <c r="AC19" s="70" t="n">
        <f aca="false">AB19-AA19</f>
        <v>0</v>
      </c>
      <c r="AD19" s="22" t="n">
        <v>80000</v>
      </c>
      <c r="AE19" s="22" t="n">
        <v>80000</v>
      </c>
      <c r="AF19" s="70" t="n">
        <f aca="false">AE19-AD19</f>
        <v>0</v>
      </c>
      <c r="AG19" s="22" t="n">
        <v>50000</v>
      </c>
      <c r="AH19" s="22" t="n">
        <v>50000</v>
      </c>
      <c r="AI19" s="70" t="n">
        <f aca="false">AH19-AG19</f>
        <v>0</v>
      </c>
      <c r="AJ19" s="22"/>
      <c r="AK19" s="22"/>
      <c r="AL19" s="70" t="n">
        <f aca="false">AK19-AJ19</f>
        <v>0</v>
      </c>
      <c r="AM19" s="22"/>
      <c r="AN19" s="22"/>
      <c r="AO19" s="70" t="n">
        <f aca="false">AN19-AM19</f>
        <v>0</v>
      </c>
      <c r="AP19" s="22"/>
      <c r="AQ19" s="22"/>
      <c r="AR19" s="70" t="n">
        <f aca="false">AQ19-AP19</f>
        <v>0</v>
      </c>
      <c r="AS19" s="22"/>
      <c r="AT19" s="22"/>
      <c r="AU19" s="70" t="n">
        <f aca="false">AT19-AS19</f>
        <v>0</v>
      </c>
      <c r="AV19" s="22"/>
      <c r="AW19" s="22"/>
      <c r="AX19" s="70" t="n">
        <f aca="false">AW19-AV19</f>
        <v>0</v>
      </c>
      <c r="AY19" s="22"/>
      <c r="AZ19" s="22"/>
      <c r="BA19" s="70" t="n">
        <f aca="false">AZ19-AY19</f>
        <v>0</v>
      </c>
      <c r="BB19" s="22"/>
      <c r="BC19" s="22"/>
      <c r="BD19" s="70" t="n">
        <f aca="false">BC19-BB19</f>
        <v>0</v>
      </c>
      <c r="BE19" s="22"/>
      <c r="BF19" s="22"/>
      <c r="BG19" s="70" t="n">
        <f aca="false">BF19-BE19</f>
        <v>0</v>
      </c>
      <c r="BH19" s="22"/>
      <c r="BI19" s="22"/>
      <c r="BJ19" s="70" t="n">
        <f aca="false">BI19-BH19</f>
        <v>0</v>
      </c>
      <c r="BK19" s="22"/>
      <c r="BL19" s="22"/>
      <c r="BM19" s="70" t="n">
        <f aca="false">BL19-BK19</f>
        <v>0</v>
      </c>
      <c r="BN19" s="22"/>
      <c r="BO19" s="22"/>
      <c r="BP19" s="70" t="n">
        <f aca="false">BO19-BN19</f>
        <v>0</v>
      </c>
      <c r="BQ19" s="22"/>
      <c r="BR19" s="22"/>
      <c r="BS19" s="70" t="n">
        <f aca="false">BR19-BQ19</f>
        <v>0</v>
      </c>
      <c r="BT19" s="22"/>
      <c r="BU19" s="22"/>
      <c r="BV19" s="70" t="n">
        <f aca="false">BU19-BT19</f>
        <v>0</v>
      </c>
      <c r="BW19" s="22"/>
      <c r="BX19" s="22"/>
      <c r="BY19" s="70" t="n">
        <f aca="false">BX19-BW19</f>
        <v>0</v>
      </c>
      <c r="BZ19" s="22"/>
      <c r="CA19" s="22"/>
      <c r="CB19" s="70" t="n">
        <f aca="false">CA19-BZ19</f>
        <v>0</v>
      </c>
      <c r="CC19" s="22"/>
      <c r="CD19" s="22"/>
      <c r="CE19" s="70" t="n">
        <f aca="false">CD19-CC19</f>
        <v>0</v>
      </c>
      <c r="CF19" s="22"/>
      <c r="CG19" s="22"/>
      <c r="CH19" s="70" t="n">
        <f aca="false">CG19-CF19</f>
        <v>0</v>
      </c>
      <c r="CI19" s="22"/>
      <c r="CJ19" s="22"/>
      <c r="CK19" s="70" t="n">
        <f aca="false">CJ19-CI19</f>
        <v>0</v>
      </c>
      <c r="CL19" s="22"/>
      <c r="CM19" s="22"/>
      <c r="CN19" s="70" t="n">
        <f aca="false">CM19-CL19</f>
        <v>0</v>
      </c>
      <c r="CO19" s="22"/>
      <c r="CP19" s="22"/>
      <c r="CQ19" s="70" t="n">
        <f aca="false">CP19-CO19</f>
        <v>0</v>
      </c>
      <c r="CR19" s="22"/>
      <c r="CS19" s="22"/>
      <c r="CT19" s="70" t="n">
        <f aca="false">CS19-CR19</f>
        <v>0</v>
      </c>
      <c r="CU19" s="22"/>
      <c r="CV19" s="22"/>
      <c r="CW19" s="70" t="n">
        <f aca="false">CV19-CU19</f>
        <v>0</v>
      </c>
      <c r="CX19" s="22"/>
      <c r="CY19" s="22"/>
      <c r="CZ19" s="70" t="n">
        <f aca="false">CY19-CX19</f>
        <v>0</v>
      </c>
      <c r="DA19" s="22"/>
      <c r="DB19" s="22"/>
      <c r="DC19" s="70" t="n">
        <f aca="false">DB19-DA19</f>
        <v>0</v>
      </c>
      <c r="DD19" s="22"/>
      <c r="DE19" s="22"/>
      <c r="DF19" s="70" t="n">
        <f aca="false">DE19-DD19</f>
        <v>0</v>
      </c>
      <c r="DG19" s="22"/>
      <c r="DH19" s="22"/>
      <c r="DI19" s="70" t="n">
        <f aca="false">DH19-DG19</f>
        <v>0</v>
      </c>
      <c r="DJ19" s="22"/>
      <c r="DK19" s="22"/>
      <c r="DL19" s="70" t="n">
        <f aca="false">DK19-DJ19</f>
        <v>0</v>
      </c>
      <c r="DM19" s="22"/>
      <c r="DN19" s="22"/>
      <c r="DO19" s="70" t="n">
        <f aca="false">DN19-DM19</f>
        <v>0</v>
      </c>
      <c r="DP19" s="22"/>
      <c r="DQ19" s="22"/>
      <c r="DR19" s="70" t="n">
        <f aca="false">DQ19-DP19</f>
        <v>0</v>
      </c>
      <c r="DS19" s="70" t="n">
        <f aca="false">+C19+F19+I19+L19+O19+R19+U19+X19+AA19+AD19+AG19+AJ19+AM19+AP19+AS19+AV19+AY19+BB19+BE19+BH19+BK19+BN19+BQ19+BT19+BW19+BZ19+CC19+CF19+CI19+CL19+CO19+CR19+CU19+CX19+DA19+DD19+DG19+DJ19+DM19+DP19</f>
        <v>130000</v>
      </c>
      <c r="DT19" s="70" t="n">
        <f aca="false">+D19+G19+J19+M19+P19+S19+V19+Y19+AB19+AE19+AH19+AK19+AN19+AQ19+AT19+AW19+AZ19+BC19+BF19+BI19+BL19+BO19+BR19+BU19+BX19+CA19+CD19+CG19+CJ19+CM19+CP19+CS19+CV19+CY19+DB19+DE19+DH19+DK19+DN19+DQ19</f>
        <v>130000</v>
      </c>
      <c r="DU19" s="70" t="n">
        <f aca="false">DT19-DS19</f>
        <v>0</v>
      </c>
      <c r="DV19" s="75"/>
      <c r="DW19" s="74"/>
      <c r="DX19" s="74"/>
      <c r="DY19" s="75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</row>
    <row r="20" customFormat="false" ht="12.75" hidden="false" customHeight="false" outlineLevel="0" collapsed="false">
      <c r="A20" s="69" t="n">
        <f aca="false">+BaseloadMarkets!A20</f>
        <v>36692</v>
      </c>
      <c r="B20" s="69" t="str">
        <f aca="false">+BaseloadMarkets!B20</f>
        <v>Thu</v>
      </c>
      <c r="C20" s="22"/>
      <c r="D20" s="22"/>
      <c r="E20" s="70" t="n">
        <f aca="false">D20-C20</f>
        <v>0</v>
      </c>
      <c r="F20" s="22"/>
      <c r="G20" s="22"/>
      <c r="H20" s="70" t="n">
        <f aca="false">G20-F20</f>
        <v>0</v>
      </c>
      <c r="I20" s="22"/>
      <c r="J20" s="22"/>
      <c r="K20" s="70" t="n">
        <f aca="false">J20-I20</f>
        <v>0</v>
      </c>
      <c r="L20" s="22"/>
      <c r="M20" s="22"/>
      <c r="N20" s="70" t="n">
        <f aca="false">M20-L20</f>
        <v>0</v>
      </c>
      <c r="O20" s="22"/>
      <c r="P20" s="22"/>
      <c r="Q20" s="70" t="n">
        <f aca="false">P20-O20</f>
        <v>0</v>
      </c>
      <c r="R20" s="22"/>
      <c r="S20" s="22"/>
      <c r="T20" s="70" t="n">
        <f aca="false">S20-R20</f>
        <v>0</v>
      </c>
      <c r="U20" s="22"/>
      <c r="V20" s="22"/>
      <c r="W20" s="70" t="n">
        <f aca="false">V20-U20</f>
        <v>0</v>
      </c>
      <c r="X20" s="22"/>
      <c r="Y20" s="22"/>
      <c r="Z20" s="70" t="n">
        <f aca="false">Y20-X20</f>
        <v>0</v>
      </c>
      <c r="AA20" s="22"/>
      <c r="AB20" s="22"/>
      <c r="AC20" s="70" t="n">
        <f aca="false">AB20-AA20</f>
        <v>0</v>
      </c>
      <c r="AD20" s="22" t="n">
        <v>80000</v>
      </c>
      <c r="AE20" s="22" t="n">
        <v>80000</v>
      </c>
      <c r="AF20" s="70" t="n">
        <f aca="false">AE20-AD20</f>
        <v>0</v>
      </c>
      <c r="AG20" s="22" t="n">
        <v>50000</v>
      </c>
      <c r="AH20" s="22" t="n">
        <v>50000</v>
      </c>
      <c r="AI20" s="70" t="n">
        <f aca="false">AH20-AG20</f>
        <v>0</v>
      </c>
      <c r="AJ20" s="22"/>
      <c r="AK20" s="22"/>
      <c r="AL20" s="70" t="n">
        <f aca="false">AK20-AJ20</f>
        <v>0</v>
      </c>
      <c r="AM20" s="22"/>
      <c r="AN20" s="22"/>
      <c r="AO20" s="70" t="n">
        <f aca="false">AN20-AM20</f>
        <v>0</v>
      </c>
      <c r="AP20" s="22"/>
      <c r="AQ20" s="22"/>
      <c r="AR20" s="70" t="n">
        <f aca="false">AQ20-AP20</f>
        <v>0</v>
      </c>
      <c r="AS20" s="22"/>
      <c r="AT20" s="22"/>
      <c r="AU20" s="70" t="n">
        <f aca="false">AT20-AS20</f>
        <v>0</v>
      </c>
      <c r="AV20" s="22"/>
      <c r="AW20" s="22"/>
      <c r="AX20" s="70" t="n">
        <f aca="false">AW20-AV20</f>
        <v>0</v>
      </c>
      <c r="AY20" s="22"/>
      <c r="AZ20" s="22"/>
      <c r="BA20" s="70" t="n">
        <f aca="false">AZ20-AY20</f>
        <v>0</v>
      </c>
      <c r="BB20" s="22"/>
      <c r="BC20" s="22"/>
      <c r="BD20" s="70" t="n">
        <f aca="false">BC20-BB20</f>
        <v>0</v>
      </c>
      <c r="BE20" s="22"/>
      <c r="BF20" s="22"/>
      <c r="BG20" s="70" t="n">
        <f aca="false">BF20-BE20</f>
        <v>0</v>
      </c>
      <c r="BH20" s="22"/>
      <c r="BI20" s="22"/>
      <c r="BJ20" s="70" t="n">
        <f aca="false">BI20-BH20</f>
        <v>0</v>
      </c>
      <c r="BK20" s="22"/>
      <c r="BL20" s="22"/>
      <c r="BM20" s="70" t="n">
        <f aca="false">BL20-BK20</f>
        <v>0</v>
      </c>
      <c r="BN20" s="22"/>
      <c r="BO20" s="22"/>
      <c r="BP20" s="70" t="n">
        <f aca="false">BO20-BN20</f>
        <v>0</v>
      </c>
      <c r="BQ20" s="22"/>
      <c r="BR20" s="22"/>
      <c r="BS20" s="70" t="n">
        <f aca="false">BR20-BQ20</f>
        <v>0</v>
      </c>
      <c r="BT20" s="22"/>
      <c r="BU20" s="22"/>
      <c r="BV20" s="70" t="n">
        <f aca="false">BU20-BT20</f>
        <v>0</v>
      </c>
      <c r="BW20" s="22"/>
      <c r="BX20" s="22"/>
      <c r="BY20" s="70" t="n">
        <f aca="false">BX20-BW20</f>
        <v>0</v>
      </c>
      <c r="BZ20" s="22"/>
      <c r="CA20" s="22"/>
      <c r="CB20" s="70" t="n">
        <f aca="false">CA20-BZ20</f>
        <v>0</v>
      </c>
      <c r="CC20" s="22"/>
      <c r="CD20" s="22"/>
      <c r="CE20" s="70" t="n">
        <f aca="false">CD20-CC20</f>
        <v>0</v>
      </c>
      <c r="CF20" s="22"/>
      <c r="CG20" s="22"/>
      <c r="CH20" s="70" t="n">
        <f aca="false">CG20-CF20</f>
        <v>0</v>
      </c>
      <c r="CI20" s="22"/>
      <c r="CJ20" s="22"/>
      <c r="CK20" s="70" t="n">
        <f aca="false">CJ20-CI20</f>
        <v>0</v>
      </c>
      <c r="CL20" s="22"/>
      <c r="CM20" s="22"/>
      <c r="CN20" s="70" t="n">
        <f aca="false">CM20-CL20</f>
        <v>0</v>
      </c>
      <c r="CO20" s="22"/>
      <c r="CP20" s="22"/>
      <c r="CQ20" s="70" t="n">
        <f aca="false">CP20-CO20</f>
        <v>0</v>
      </c>
      <c r="CR20" s="22"/>
      <c r="CS20" s="22"/>
      <c r="CT20" s="70" t="n">
        <f aca="false">CS20-CR20</f>
        <v>0</v>
      </c>
      <c r="CU20" s="22"/>
      <c r="CV20" s="22"/>
      <c r="CW20" s="70" t="n">
        <f aca="false">CV20-CU20</f>
        <v>0</v>
      </c>
      <c r="CX20" s="22"/>
      <c r="CY20" s="22"/>
      <c r="CZ20" s="70" t="n">
        <f aca="false">CY20-CX20</f>
        <v>0</v>
      </c>
      <c r="DA20" s="22"/>
      <c r="DB20" s="22"/>
      <c r="DC20" s="70" t="n">
        <f aca="false">DB20-DA20</f>
        <v>0</v>
      </c>
      <c r="DD20" s="22"/>
      <c r="DE20" s="22"/>
      <c r="DF20" s="70" t="n">
        <f aca="false">DE20-DD20</f>
        <v>0</v>
      </c>
      <c r="DG20" s="22"/>
      <c r="DH20" s="22"/>
      <c r="DI20" s="70" t="n">
        <f aca="false">DH20-DG20</f>
        <v>0</v>
      </c>
      <c r="DJ20" s="22"/>
      <c r="DK20" s="22"/>
      <c r="DL20" s="70" t="n">
        <f aca="false">DK20-DJ20</f>
        <v>0</v>
      </c>
      <c r="DM20" s="22"/>
      <c r="DN20" s="22"/>
      <c r="DO20" s="70" t="n">
        <f aca="false">DN20-DM20</f>
        <v>0</v>
      </c>
      <c r="DP20" s="22"/>
      <c r="DQ20" s="22"/>
      <c r="DR20" s="70" t="n">
        <f aca="false">DQ20-DP20</f>
        <v>0</v>
      </c>
      <c r="DS20" s="70" t="n">
        <f aca="false">+C20+F20+I20+L20+O20+R20+U20+X20+AA20+AD20+AG20+AJ20+AM20+AP20+AS20+AV20+AY20+BB20+BE20+BH20+BK20+BN20+BQ20+BT20+BW20+BZ20+CC20+CF20+CI20+CL20+CO20+CR20+CU20+CX20+DA20+DD20+DG20+DJ20+DM20+DP20</f>
        <v>130000</v>
      </c>
      <c r="DT20" s="70" t="n">
        <f aca="false">+D20+G20+J20+M20+P20+S20+V20+Y20+AB20+AE20+AH20+AK20+AN20+AQ20+AT20+AW20+AZ20+BC20+BF20+BI20+BL20+BO20+BR20+BU20+BX20+CA20+CD20+CG20+CJ20+CM20+CP20+CS20+CV20+CY20+DB20+DE20+DH20+DK20+DN20+DQ20</f>
        <v>130000</v>
      </c>
      <c r="DU20" s="70" t="n">
        <f aca="false">DT20-DS20</f>
        <v>0</v>
      </c>
      <c r="DV20" s="75"/>
      <c r="DW20" s="74"/>
      <c r="DX20" s="74"/>
      <c r="DY20" s="75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</row>
    <row r="21" customFormat="false" ht="12.75" hidden="false" customHeight="false" outlineLevel="0" collapsed="false">
      <c r="A21" s="69" t="n">
        <f aca="false">+BaseloadMarkets!A21</f>
        <v>36693</v>
      </c>
      <c r="B21" s="69" t="str">
        <f aca="false">+BaseloadMarkets!B21</f>
        <v>Fri</v>
      </c>
      <c r="C21" s="22"/>
      <c r="D21" s="22"/>
      <c r="E21" s="70" t="n">
        <f aca="false">D21-C21</f>
        <v>0</v>
      </c>
      <c r="F21" s="22"/>
      <c r="G21" s="22"/>
      <c r="H21" s="70" t="n">
        <f aca="false">G21-F21</f>
        <v>0</v>
      </c>
      <c r="I21" s="22"/>
      <c r="J21" s="22"/>
      <c r="K21" s="70" t="n">
        <f aca="false">J21-I21</f>
        <v>0</v>
      </c>
      <c r="L21" s="22"/>
      <c r="M21" s="22"/>
      <c r="N21" s="70" t="n">
        <f aca="false">M21-L21</f>
        <v>0</v>
      </c>
      <c r="O21" s="22"/>
      <c r="P21" s="22"/>
      <c r="Q21" s="70" t="n">
        <f aca="false">P21-O21</f>
        <v>0</v>
      </c>
      <c r="R21" s="22"/>
      <c r="S21" s="22"/>
      <c r="T21" s="70" t="n">
        <f aca="false">S21-R21</f>
        <v>0</v>
      </c>
      <c r="U21" s="22"/>
      <c r="V21" s="22"/>
      <c r="W21" s="70" t="n">
        <f aca="false">V21-U21</f>
        <v>0</v>
      </c>
      <c r="X21" s="22"/>
      <c r="Y21" s="22"/>
      <c r="Z21" s="70" t="n">
        <f aca="false">Y21-X21</f>
        <v>0</v>
      </c>
      <c r="AA21" s="22"/>
      <c r="AB21" s="22"/>
      <c r="AC21" s="70" t="n">
        <f aca="false">AB21-AA21</f>
        <v>0</v>
      </c>
      <c r="AD21" s="22" t="n">
        <v>80000</v>
      </c>
      <c r="AE21" s="22" t="n">
        <v>80000</v>
      </c>
      <c r="AF21" s="70" t="n">
        <f aca="false">AE21-AD21</f>
        <v>0</v>
      </c>
      <c r="AG21" s="22" t="n">
        <v>48137</v>
      </c>
      <c r="AH21" s="22" t="n">
        <f aca="false">50000-5000+3137</f>
        <v>48137</v>
      </c>
      <c r="AI21" s="70" t="n">
        <f aca="false">AH21-AG21</f>
        <v>0</v>
      </c>
      <c r="AJ21" s="22"/>
      <c r="AK21" s="22"/>
      <c r="AL21" s="70" t="n">
        <f aca="false">AK21-AJ21</f>
        <v>0</v>
      </c>
      <c r="AM21" s="22"/>
      <c r="AN21" s="22"/>
      <c r="AO21" s="70" t="n">
        <f aca="false">AN21-AM21</f>
        <v>0</v>
      </c>
      <c r="AP21" s="22"/>
      <c r="AQ21" s="22"/>
      <c r="AR21" s="70" t="n">
        <f aca="false">AQ21-AP21</f>
        <v>0</v>
      </c>
      <c r="AS21" s="22"/>
      <c r="AT21" s="22"/>
      <c r="AU21" s="70" t="n">
        <f aca="false">AT21-AS21</f>
        <v>0</v>
      </c>
      <c r="AV21" s="22"/>
      <c r="AW21" s="22"/>
      <c r="AX21" s="70" t="n">
        <f aca="false">AW21-AV21</f>
        <v>0</v>
      </c>
      <c r="AY21" s="22"/>
      <c r="AZ21" s="22"/>
      <c r="BA21" s="70" t="n">
        <f aca="false">AZ21-AY21</f>
        <v>0</v>
      </c>
      <c r="BB21" s="22"/>
      <c r="BC21" s="22"/>
      <c r="BD21" s="70" t="n">
        <f aca="false">BC21-BB21</f>
        <v>0</v>
      </c>
      <c r="BE21" s="22"/>
      <c r="BF21" s="22"/>
      <c r="BG21" s="70" t="n">
        <f aca="false">BF21-BE21</f>
        <v>0</v>
      </c>
      <c r="BH21" s="22"/>
      <c r="BI21" s="22"/>
      <c r="BJ21" s="70" t="n">
        <f aca="false">BI21-BH21</f>
        <v>0</v>
      </c>
      <c r="BK21" s="22"/>
      <c r="BL21" s="22"/>
      <c r="BM21" s="70" t="n">
        <f aca="false">BL21-BK21</f>
        <v>0</v>
      </c>
      <c r="BN21" s="22"/>
      <c r="BO21" s="22"/>
      <c r="BP21" s="70" t="n">
        <f aca="false">BO21-BN21</f>
        <v>0</v>
      </c>
      <c r="BQ21" s="22"/>
      <c r="BR21" s="22"/>
      <c r="BS21" s="70" t="n">
        <f aca="false">BR21-BQ21</f>
        <v>0</v>
      </c>
      <c r="BT21" s="22"/>
      <c r="BU21" s="22"/>
      <c r="BV21" s="70" t="n">
        <f aca="false">BU21-BT21</f>
        <v>0</v>
      </c>
      <c r="BW21" s="22"/>
      <c r="BX21" s="22"/>
      <c r="BY21" s="70" t="n">
        <f aca="false">BX21-BW21</f>
        <v>0</v>
      </c>
      <c r="BZ21" s="22"/>
      <c r="CA21" s="22"/>
      <c r="CB21" s="70" t="n">
        <f aca="false">CA21-BZ21</f>
        <v>0</v>
      </c>
      <c r="CC21" s="22"/>
      <c r="CD21" s="22"/>
      <c r="CE21" s="70" t="n">
        <f aca="false">CD21-CC21</f>
        <v>0</v>
      </c>
      <c r="CF21" s="22"/>
      <c r="CG21" s="22"/>
      <c r="CH21" s="70" t="n">
        <f aca="false">CG21-CF21</f>
        <v>0</v>
      </c>
      <c r="CI21" s="22"/>
      <c r="CJ21" s="22"/>
      <c r="CK21" s="70" t="n">
        <f aca="false">CJ21-CI21</f>
        <v>0</v>
      </c>
      <c r="CL21" s="22"/>
      <c r="CM21" s="22"/>
      <c r="CN21" s="70" t="n">
        <f aca="false">CM21-CL21</f>
        <v>0</v>
      </c>
      <c r="CO21" s="22"/>
      <c r="CP21" s="22"/>
      <c r="CQ21" s="70" t="n">
        <f aca="false">CP21-CO21</f>
        <v>0</v>
      </c>
      <c r="CR21" s="22"/>
      <c r="CS21" s="22"/>
      <c r="CT21" s="70" t="n">
        <f aca="false">CS21-CR21</f>
        <v>0</v>
      </c>
      <c r="CU21" s="22"/>
      <c r="CV21" s="22"/>
      <c r="CW21" s="70" t="n">
        <f aca="false">CV21-CU21</f>
        <v>0</v>
      </c>
      <c r="CX21" s="22"/>
      <c r="CY21" s="22"/>
      <c r="CZ21" s="70" t="n">
        <f aca="false">CY21-CX21</f>
        <v>0</v>
      </c>
      <c r="DA21" s="22"/>
      <c r="DB21" s="22"/>
      <c r="DC21" s="70" t="n">
        <f aca="false">DB21-DA21</f>
        <v>0</v>
      </c>
      <c r="DD21" s="22"/>
      <c r="DE21" s="22"/>
      <c r="DF21" s="70" t="n">
        <f aca="false">DE21-DD21</f>
        <v>0</v>
      </c>
      <c r="DG21" s="22"/>
      <c r="DH21" s="22"/>
      <c r="DI21" s="70" t="n">
        <f aca="false">DH21-DG21</f>
        <v>0</v>
      </c>
      <c r="DJ21" s="22"/>
      <c r="DK21" s="22"/>
      <c r="DL21" s="70" t="n">
        <f aca="false">DK21-DJ21</f>
        <v>0</v>
      </c>
      <c r="DM21" s="22"/>
      <c r="DN21" s="22"/>
      <c r="DO21" s="70" t="n">
        <f aca="false">DN21-DM21</f>
        <v>0</v>
      </c>
      <c r="DP21" s="22"/>
      <c r="DQ21" s="22"/>
      <c r="DR21" s="70" t="n">
        <f aca="false">DQ21-DP21</f>
        <v>0</v>
      </c>
      <c r="DS21" s="70" t="n">
        <f aca="false">+C21+F21+I21+L21+O21+R21+U21+X21+AA21+AD21+AG21+AJ21+AM21+AP21+AS21+AV21+AY21+BB21+BE21+BH21+BK21+BN21+BQ21+BT21+BW21+BZ21+CC21+CF21+CI21+CL21+CO21+CR21+CU21+CX21+DA21+DD21+DG21+DJ21+DM21+DP21</f>
        <v>128137</v>
      </c>
      <c r="DT21" s="70" t="n">
        <f aca="false">+D21+G21+J21+M21+P21+S21+V21+Y21+AB21+AE21+AH21+AK21+AN21+AQ21+AT21+AW21+AZ21+BC21+BF21+BI21+BL21+BO21+BR21+BU21+BX21+CA21+CD21+CG21+CJ21+CM21+CP21+CS21+CV21+CY21+DB21+DE21+DH21+DK21+DN21+DQ21</f>
        <v>128137</v>
      </c>
      <c r="DU21" s="70" t="n">
        <f aca="false">DT21-DS21</f>
        <v>0</v>
      </c>
      <c r="DV21" s="75"/>
      <c r="DW21" s="74"/>
      <c r="DX21" s="74"/>
      <c r="DY21" s="75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</row>
    <row r="22" customFormat="false" ht="12.75" hidden="false" customHeight="false" outlineLevel="0" collapsed="false">
      <c r="A22" s="69" t="n">
        <f aca="false">+BaseloadMarkets!A22</f>
        <v>36694</v>
      </c>
      <c r="B22" s="69" t="str">
        <f aca="false">+BaseloadMarkets!B22</f>
        <v>Sat</v>
      </c>
      <c r="C22" s="22"/>
      <c r="D22" s="22"/>
      <c r="E22" s="70" t="n">
        <f aca="false">D22-C22</f>
        <v>0</v>
      </c>
      <c r="F22" s="22"/>
      <c r="G22" s="22"/>
      <c r="H22" s="70" t="n">
        <f aca="false">G22-F22</f>
        <v>0</v>
      </c>
      <c r="I22" s="22"/>
      <c r="J22" s="22"/>
      <c r="K22" s="70" t="n">
        <f aca="false">J22-I22</f>
        <v>0</v>
      </c>
      <c r="L22" s="22"/>
      <c r="M22" s="22"/>
      <c r="N22" s="70" t="n">
        <f aca="false">M22-L22</f>
        <v>0</v>
      </c>
      <c r="O22" s="22"/>
      <c r="P22" s="22"/>
      <c r="Q22" s="70" t="n">
        <f aca="false">P22-O22</f>
        <v>0</v>
      </c>
      <c r="R22" s="22"/>
      <c r="S22" s="22"/>
      <c r="T22" s="70" t="n">
        <f aca="false">S22-R22</f>
        <v>0</v>
      </c>
      <c r="U22" s="22"/>
      <c r="V22" s="22"/>
      <c r="W22" s="70" t="n">
        <f aca="false">V22-U22</f>
        <v>0</v>
      </c>
      <c r="X22" s="22"/>
      <c r="Y22" s="22"/>
      <c r="Z22" s="70" t="n">
        <f aca="false">Y22-X22</f>
        <v>0</v>
      </c>
      <c r="AA22" s="22"/>
      <c r="AB22" s="22"/>
      <c r="AC22" s="70" t="n">
        <f aca="false">AB22-AA22</f>
        <v>0</v>
      </c>
      <c r="AD22" s="22" t="n">
        <v>42000</v>
      </c>
      <c r="AE22" s="22" t="n">
        <v>42000</v>
      </c>
      <c r="AF22" s="70" t="n">
        <f aca="false">AE22-AD22</f>
        <v>0</v>
      </c>
      <c r="AG22" s="22" t="n">
        <v>50000</v>
      </c>
      <c r="AH22" s="22" t="n">
        <v>49314</v>
      </c>
      <c r="AI22" s="70" t="n">
        <f aca="false">AH22-AG22</f>
        <v>-686</v>
      </c>
      <c r="AJ22" s="22" t="n">
        <v>10000</v>
      </c>
      <c r="AK22" s="22" t="n">
        <v>10000</v>
      </c>
      <c r="AL22" s="70" t="n">
        <f aca="false">AK22-AJ22</f>
        <v>0</v>
      </c>
      <c r="AM22" s="22" t="n">
        <v>40000</v>
      </c>
      <c r="AN22" s="22" t="n">
        <v>40000</v>
      </c>
      <c r="AO22" s="70" t="n">
        <f aca="false">AN22-AM22</f>
        <v>0</v>
      </c>
      <c r="AP22" s="22"/>
      <c r="AQ22" s="22"/>
      <c r="AR22" s="70" t="n">
        <f aca="false">AQ22-AP22</f>
        <v>0</v>
      </c>
      <c r="AS22" s="22"/>
      <c r="AT22" s="22"/>
      <c r="AU22" s="70" t="n">
        <f aca="false">AT22-AS22</f>
        <v>0</v>
      </c>
      <c r="AV22" s="22"/>
      <c r="AW22" s="22"/>
      <c r="AX22" s="70" t="n">
        <f aca="false">AW22-AV22</f>
        <v>0</v>
      </c>
      <c r="AY22" s="22"/>
      <c r="AZ22" s="22"/>
      <c r="BA22" s="70" t="n">
        <f aca="false">AZ22-AY22</f>
        <v>0</v>
      </c>
      <c r="BB22" s="22"/>
      <c r="BC22" s="22"/>
      <c r="BD22" s="70" t="n">
        <f aca="false">BC22-BB22</f>
        <v>0</v>
      </c>
      <c r="BE22" s="22"/>
      <c r="BF22" s="22"/>
      <c r="BG22" s="70" t="n">
        <f aca="false">BF22-BE22</f>
        <v>0</v>
      </c>
      <c r="BH22" s="22"/>
      <c r="BI22" s="22"/>
      <c r="BJ22" s="70" t="n">
        <f aca="false">BI22-BH22</f>
        <v>0</v>
      </c>
      <c r="BK22" s="22"/>
      <c r="BL22" s="22"/>
      <c r="BM22" s="70" t="n">
        <f aca="false">BL22-BK22</f>
        <v>0</v>
      </c>
      <c r="BN22" s="22"/>
      <c r="BO22" s="22"/>
      <c r="BP22" s="70" t="n">
        <f aca="false">BO22-BN22</f>
        <v>0</v>
      </c>
      <c r="BQ22" s="22"/>
      <c r="BR22" s="22"/>
      <c r="BS22" s="70" t="n">
        <f aca="false">BR22-BQ22</f>
        <v>0</v>
      </c>
      <c r="BT22" s="22"/>
      <c r="BU22" s="22"/>
      <c r="BV22" s="70" t="n">
        <f aca="false">BU22-BT22</f>
        <v>0</v>
      </c>
      <c r="BW22" s="22"/>
      <c r="BX22" s="22"/>
      <c r="BY22" s="70" t="n">
        <f aca="false">BX22-BW22</f>
        <v>0</v>
      </c>
      <c r="BZ22" s="22"/>
      <c r="CA22" s="22"/>
      <c r="CB22" s="70" t="n">
        <f aca="false">CA22-BZ22</f>
        <v>0</v>
      </c>
      <c r="CC22" s="22"/>
      <c r="CD22" s="22"/>
      <c r="CE22" s="70" t="n">
        <f aca="false">CD22-CC22</f>
        <v>0</v>
      </c>
      <c r="CF22" s="22"/>
      <c r="CG22" s="22"/>
      <c r="CH22" s="70" t="n">
        <f aca="false">CG22-CF22</f>
        <v>0</v>
      </c>
      <c r="CI22" s="22"/>
      <c r="CJ22" s="22"/>
      <c r="CK22" s="70" t="n">
        <f aca="false">CJ22-CI22</f>
        <v>0</v>
      </c>
      <c r="CL22" s="22"/>
      <c r="CM22" s="22"/>
      <c r="CN22" s="70" t="n">
        <f aca="false">CM22-CL22</f>
        <v>0</v>
      </c>
      <c r="CO22" s="22"/>
      <c r="CP22" s="22"/>
      <c r="CQ22" s="70" t="n">
        <f aca="false">CP22-CO22</f>
        <v>0</v>
      </c>
      <c r="CR22" s="22"/>
      <c r="CS22" s="22"/>
      <c r="CT22" s="70" t="n">
        <f aca="false">CS22-CR22</f>
        <v>0</v>
      </c>
      <c r="CU22" s="22"/>
      <c r="CV22" s="22"/>
      <c r="CW22" s="70" t="n">
        <f aca="false">CV22-CU22</f>
        <v>0</v>
      </c>
      <c r="CX22" s="22"/>
      <c r="CY22" s="22"/>
      <c r="CZ22" s="70" t="n">
        <f aca="false">CY22-CX22</f>
        <v>0</v>
      </c>
      <c r="DA22" s="22"/>
      <c r="DB22" s="22"/>
      <c r="DC22" s="70" t="n">
        <f aca="false">DB22-DA22</f>
        <v>0</v>
      </c>
      <c r="DD22" s="22"/>
      <c r="DE22" s="22"/>
      <c r="DF22" s="70" t="n">
        <f aca="false">DE22-DD22</f>
        <v>0</v>
      </c>
      <c r="DG22" s="22"/>
      <c r="DH22" s="22"/>
      <c r="DI22" s="70" t="n">
        <f aca="false">DH22-DG22</f>
        <v>0</v>
      </c>
      <c r="DJ22" s="22"/>
      <c r="DK22" s="22"/>
      <c r="DL22" s="70" t="n">
        <f aca="false">DK22-DJ22</f>
        <v>0</v>
      </c>
      <c r="DM22" s="22"/>
      <c r="DN22" s="22"/>
      <c r="DO22" s="70" t="n">
        <f aca="false">DN22-DM22</f>
        <v>0</v>
      </c>
      <c r="DP22" s="22"/>
      <c r="DQ22" s="22"/>
      <c r="DR22" s="70" t="n">
        <f aca="false">DQ22-DP22</f>
        <v>0</v>
      </c>
      <c r="DS22" s="70" t="n">
        <f aca="false">+C22+F22+I22+L22+O22+R22+U22+X22+AA22+AD22+AG22+AJ22+AM22+AP22+AS22+AV22+AY22+BB22+BE22+BH22+BK22+BN22+BQ22+BT22+BW22+BZ22+CC22+CF22+CI22+CL22+CO22+CR22+CU22+CX22+DA22+DD22+DG22+DJ22+DM22+DP22</f>
        <v>142000</v>
      </c>
      <c r="DT22" s="70" t="n">
        <f aca="false">+D22+G22+J22+M22+P22+S22+V22+Y22+AB22+AE22+AH22+AK22+AN22+AQ22+AT22+AW22+AZ22+BC22+BF22+BI22+BL22+BO22+BR22+BU22+BX22+CA22+CD22+CG22+CJ22+CM22+CP22+CS22+CV22+CY22+DB22+DE22+DH22+DK22+DN22+DQ22</f>
        <v>141314</v>
      </c>
      <c r="DU22" s="70" t="n">
        <f aca="false">DT22-DS22</f>
        <v>-686</v>
      </c>
      <c r="DV22" s="75"/>
      <c r="DW22" s="74"/>
      <c r="DX22" s="74"/>
      <c r="DY22" s="75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</row>
    <row r="23" customFormat="false" ht="12.75" hidden="false" customHeight="false" outlineLevel="0" collapsed="false">
      <c r="A23" s="69" t="n">
        <f aca="false">+BaseloadMarkets!A23</f>
        <v>36695</v>
      </c>
      <c r="B23" s="69" t="str">
        <f aca="false">+BaseloadMarkets!B23</f>
        <v>Sun</v>
      </c>
      <c r="C23" s="22"/>
      <c r="D23" s="22"/>
      <c r="E23" s="70" t="n">
        <f aca="false">D23-C23</f>
        <v>0</v>
      </c>
      <c r="F23" s="22"/>
      <c r="G23" s="22"/>
      <c r="H23" s="70" t="n">
        <f aca="false">G23-F23</f>
        <v>0</v>
      </c>
      <c r="I23" s="22"/>
      <c r="J23" s="22"/>
      <c r="K23" s="70" t="n">
        <f aca="false">J23-I23</f>
        <v>0</v>
      </c>
      <c r="L23" s="22"/>
      <c r="M23" s="22"/>
      <c r="N23" s="70" t="n">
        <f aca="false">M23-L23</f>
        <v>0</v>
      </c>
      <c r="O23" s="22"/>
      <c r="P23" s="22"/>
      <c r="Q23" s="70" t="n">
        <f aca="false">P23-O23</f>
        <v>0</v>
      </c>
      <c r="R23" s="22"/>
      <c r="S23" s="22"/>
      <c r="T23" s="70" t="n">
        <f aca="false">S23-R23</f>
        <v>0</v>
      </c>
      <c r="U23" s="22"/>
      <c r="V23" s="22"/>
      <c r="W23" s="70" t="n">
        <f aca="false">V23-U23</f>
        <v>0</v>
      </c>
      <c r="X23" s="22"/>
      <c r="Y23" s="22"/>
      <c r="Z23" s="70" t="n">
        <f aca="false">Y23-X23</f>
        <v>0</v>
      </c>
      <c r="AA23" s="22"/>
      <c r="AB23" s="22"/>
      <c r="AC23" s="70" t="n">
        <f aca="false">AB23-AA23</f>
        <v>0</v>
      </c>
      <c r="AD23" s="22" t="n">
        <v>42000</v>
      </c>
      <c r="AE23" s="22" t="n">
        <v>42000</v>
      </c>
      <c r="AF23" s="70" t="n">
        <f aca="false">AE23-AD23</f>
        <v>0</v>
      </c>
      <c r="AG23" s="22" t="n">
        <v>50000</v>
      </c>
      <c r="AH23" s="22" t="n">
        <f aca="false">50000-10000+8323</f>
        <v>48323</v>
      </c>
      <c r="AI23" s="70" t="n">
        <f aca="false">AH23-AG23</f>
        <v>-1677</v>
      </c>
      <c r="AJ23" s="22" t="n">
        <v>10000</v>
      </c>
      <c r="AK23" s="22" t="n">
        <v>10000</v>
      </c>
      <c r="AL23" s="70" t="n">
        <f aca="false">AK23-AJ23</f>
        <v>0</v>
      </c>
      <c r="AM23" s="22" t="n">
        <v>40000</v>
      </c>
      <c r="AN23" s="22" t="n">
        <v>40000</v>
      </c>
      <c r="AO23" s="70" t="n">
        <f aca="false">AN23-AM23</f>
        <v>0</v>
      </c>
      <c r="AP23" s="22"/>
      <c r="AQ23" s="22"/>
      <c r="AR23" s="70" t="n">
        <f aca="false">AQ23-AP23</f>
        <v>0</v>
      </c>
      <c r="AS23" s="22"/>
      <c r="AT23" s="22"/>
      <c r="AU23" s="70" t="n">
        <f aca="false">AT23-AS23</f>
        <v>0</v>
      </c>
      <c r="AV23" s="22"/>
      <c r="AW23" s="22"/>
      <c r="AX23" s="70" t="n">
        <f aca="false">AW23-AV23</f>
        <v>0</v>
      </c>
      <c r="AY23" s="22"/>
      <c r="AZ23" s="22"/>
      <c r="BA23" s="70" t="n">
        <f aca="false">AZ23-AY23</f>
        <v>0</v>
      </c>
      <c r="BB23" s="22"/>
      <c r="BC23" s="22"/>
      <c r="BD23" s="70" t="n">
        <f aca="false">BC23-BB23</f>
        <v>0</v>
      </c>
      <c r="BE23" s="22"/>
      <c r="BF23" s="22"/>
      <c r="BG23" s="70" t="n">
        <f aca="false">BF23-BE23</f>
        <v>0</v>
      </c>
      <c r="BH23" s="22"/>
      <c r="BI23" s="22"/>
      <c r="BJ23" s="70" t="n">
        <f aca="false">BI23-BH23</f>
        <v>0</v>
      </c>
      <c r="BK23" s="22"/>
      <c r="BL23" s="22"/>
      <c r="BM23" s="70" t="n">
        <f aca="false">BL23-BK23</f>
        <v>0</v>
      </c>
      <c r="BN23" s="22"/>
      <c r="BO23" s="22"/>
      <c r="BP23" s="70" t="n">
        <f aca="false">BO23-BN23</f>
        <v>0</v>
      </c>
      <c r="BQ23" s="22"/>
      <c r="BR23" s="22"/>
      <c r="BS23" s="70" t="n">
        <f aca="false">BR23-BQ23</f>
        <v>0</v>
      </c>
      <c r="BT23" s="22"/>
      <c r="BU23" s="22"/>
      <c r="BV23" s="70" t="n">
        <f aca="false">BU23-BT23</f>
        <v>0</v>
      </c>
      <c r="BW23" s="22"/>
      <c r="BX23" s="22"/>
      <c r="BY23" s="70" t="n">
        <f aca="false">BX23-BW23</f>
        <v>0</v>
      </c>
      <c r="BZ23" s="22"/>
      <c r="CA23" s="22"/>
      <c r="CB23" s="70" t="n">
        <f aca="false">CA23-BZ23</f>
        <v>0</v>
      </c>
      <c r="CC23" s="22"/>
      <c r="CD23" s="22"/>
      <c r="CE23" s="70" t="n">
        <f aca="false">CD23-CC23</f>
        <v>0</v>
      </c>
      <c r="CF23" s="22"/>
      <c r="CG23" s="22"/>
      <c r="CH23" s="70" t="n">
        <f aca="false">CG23-CF23</f>
        <v>0</v>
      </c>
      <c r="CI23" s="22"/>
      <c r="CJ23" s="22"/>
      <c r="CK23" s="70" t="n">
        <f aca="false">CJ23-CI23</f>
        <v>0</v>
      </c>
      <c r="CL23" s="22"/>
      <c r="CM23" s="22"/>
      <c r="CN23" s="70" t="n">
        <f aca="false">CM23-CL23</f>
        <v>0</v>
      </c>
      <c r="CO23" s="22"/>
      <c r="CP23" s="22"/>
      <c r="CQ23" s="70" t="n">
        <f aca="false">CP23-CO23</f>
        <v>0</v>
      </c>
      <c r="CR23" s="22"/>
      <c r="CS23" s="22"/>
      <c r="CT23" s="70" t="n">
        <f aca="false">CS23-CR23</f>
        <v>0</v>
      </c>
      <c r="CU23" s="22"/>
      <c r="CV23" s="22"/>
      <c r="CW23" s="70" t="n">
        <f aca="false">CV23-CU23</f>
        <v>0</v>
      </c>
      <c r="CX23" s="22"/>
      <c r="CY23" s="22"/>
      <c r="CZ23" s="70" t="n">
        <f aca="false">CY23-CX23</f>
        <v>0</v>
      </c>
      <c r="DA23" s="22"/>
      <c r="DB23" s="22"/>
      <c r="DC23" s="70" t="n">
        <f aca="false">DB23-DA23</f>
        <v>0</v>
      </c>
      <c r="DD23" s="22"/>
      <c r="DE23" s="22"/>
      <c r="DF23" s="70" t="n">
        <f aca="false">DE23-DD23</f>
        <v>0</v>
      </c>
      <c r="DG23" s="22"/>
      <c r="DH23" s="22"/>
      <c r="DI23" s="70" t="n">
        <f aca="false">DH23-DG23</f>
        <v>0</v>
      </c>
      <c r="DJ23" s="22"/>
      <c r="DK23" s="22"/>
      <c r="DL23" s="70" t="n">
        <f aca="false">DK23-DJ23</f>
        <v>0</v>
      </c>
      <c r="DM23" s="22"/>
      <c r="DN23" s="22"/>
      <c r="DO23" s="70" t="n">
        <f aca="false">DN23-DM23</f>
        <v>0</v>
      </c>
      <c r="DP23" s="22"/>
      <c r="DQ23" s="22"/>
      <c r="DR23" s="70" t="n">
        <f aca="false">DQ23-DP23</f>
        <v>0</v>
      </c>
      <c r="DS23" s="70" t="n">
        <f aca="false">+C23+F23+I23+L23+O23+R23+U23+X23+AA23+AD23+AG23+AJ23+AM23+AP23+AS23+AV23+AY23+BB23+BE23+BH23+BK23+BN23+BQ23+BT23+BW23+BZ23+CC23+CF23+CI23+CL23+CO23+CR23+CU23+CX23+DA23+DD23+DG23+DJ23+DM23+DP23</f>
        <v>142000</v>
      </c>
      <c r="DT23" s="70" t="n">
        <f aca="false">+D23+G23+J23+M23+P23+S23+V23+Y23+AB23+AE23+AH23+AK23+AN23+AQ23+AT23+AW23+AZ23+BC23+BF23+BI23+BL23+BO23+BR23+BU23+BX23+CA23+CD23+CG23+CJ23+CM23+CP23+CS23+CV23+CY23+DB23+DE23+DH23+DK23+DN23+DQ23</f>
        <v>140323</v>
      </c>
      <c r="DU23" s="70" t="n">
        <f aca="false">DT23-DS23</f>
        <v>-1677</v>
      </c>
      <c r="DV23" s="75"/>
      <c r="DW23" s="74"/>
      <c r="DX23" s="74"/>
      <c r="DY23" s="75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</row>
    <row r="24" customFormat="false" ht="12.75" hidden="false" customHeight="false" outlineLevel="0" collapsed="false">
      <c r="A24" s="69" t="n">
        <f aca="false">+BaseloadMarkets!A24</f>
        <v>36696</v>
      </c>
      <c r="B24" s="69" t="str">
        <f aca="false">+BaseloadMarkets!B24</f>
        <v>Mon</v>
      </c>
      <c r="C24" s="22"/>
      <c r="D24" s="22"/>
      <c r="E24" s="70" t="n">
        <f aca="false">D24-C24</f>
        <v>0</v>
      </c>
      <c r="F24" s="22"/>
      <c r="G24" s="22"/>
      <c r="H24" s="70" t="n">
        <f aca="false">G24-F24</f>
        <v>0</v>
      </c>
      <c r="I24" s="22"/>
      <c r="J24" s="22"/>
      <c r="K24" s="70" t="n">
        <f aca="false">J24-I24</f>
        <v>0</v>
      </c>
      <c r="L24" s="22"/>
      <c r="M24" s="22"/>
      <c r="N24" s="70" t="n">
        <f aca="false">M24-L24</f>
        <v>0</v>
      </c>
      <c r="O24" s="22"/>
      <c r="P24" s="22"/>
      <c r="Q24" s="70" t="n">
        <f aca="false">P24-O24</f>
        <v>0</v>
      </c>
      <c r="R24" s="22"/>
      <c r="S24" s="22"/>
      <c r="T24" s="70" t="n">
        <f aca="false">S24-R24</f>
        <v>0</v>
      </c>
      <c r="U24" s="22"/>
      <c r="V24" s="22"/>
      <c r="W24" s="70" t="n">
        <f aca="false">V24-U24</f>
        <v>0</v>
      </c>
      <c r="X24" s="22"/>
      <c r="Y24" s="22"/>
      <c r="Z24" s="70" t="n">
        <f aca="false">Y24-X24</f>
        <v>0</v>
      </c>
      <c r="AA24" s="22"/>
      <c r="AB24" s="22"/>
      <c r="AC24" s="70" t="n">
        <f aca="false">AB24-AA24</f>
        <v>0</v>
      </c>
      <c r="AD24" s="22" t="n">
        <v>42000</v>
      </c>
      <c r="AE24" s="22" t="n">
        <v>42000</v>
      </c>
      <c r="AF24" s="70" t="n">
        <f aca="false">AE24-AD24</f>
        <v>0</v>
      </c>
      <c r="AG24" s="22" t="n">
        <v>50000</v>
      </c>
      <c r="AH24" s="22" t="n">
        <f aca="false">50000-10000+8185</f>
        <v>48185</v>
      </c>
      <c r="AI24" s="70" t="n">
        <f aca="false">AH24-AG24</f>
        <v>-1815</v>
      </c>
      <c r="AJ24" s="22" t="n">
        <v>10000</v>
      </c>
      <c r="AK24" s="22" t="n">
        <v>10000</v>
      </c>
      <c r="AL24" s="70" t="n">
        <f aca="false">AK24-AJ24</f>
        <v>0</v>
      </c>
      <c r="AM24" s="22" t="n">
        <v>40000</v>
      </c>
      <c r="AN24" s="22" t="n">
        <v>40000</v>
      </c>
      <c r="AO24" s="70" t="n">
        <f aca="false">AN24-AM24</f>
        <v>0</v>
      </c>
      <c r="AP24" s="22"/>
      <c r="AQ24" s="22"/>
      <c r="AR24" s="70" t="n">
        <f aca="false">AQ24-AP24</f>
        <v>0</v>
      </c>
      <c r="AS24" s="22"/>
      <c r="AT24" s="22"/>
      <c r="AU24" s="70" t="n">
        <f aca="false">AT24-AS24</f>
        <v>0</v>
      </c>
      <c r="AV24" s="22"/>
      <c r="AW24" s="22"/>
      <c r="AX24" s="70" t="n">
        <f aca="false">AW24-AV24</f>
        <v>0</v>
      </c>
      <c r="AY24" s="22"/>
      <c r="AZ24" s="22"/>
      <c r="BA24" s="70" t="n">
        <f aca="false">AZ24-AY24</f>
        <v>0</v>
      </c>
      <c r="BB24" s="22"/>
      <c r="BC24" s="22"/>
      <c r="BD24" s="70" t="n">
        <f aca="false">BC24-BB24</f>
        <v>0</v>
      </c>
      <c r="BE24" s="22"/>
      <c r="BF24" s="22"/>
      <c r="BG24" s="70" t="n">
        <f aca="false">BF24-BE24</f>
        <v>0</v>
      </c>
      <c r="BH24" s="22"/>
      <c r="BI24" s="22"/>
      <c r="BJ24" s="70" t="n">
        <f aca="false">BI24-BH24</f>
        <v>0</v>
      </c>
      <c r="BK24" s="22"/>
      <c r="BL24" s="22"/>
      <c r="BM24" s="70" t="n">
        <f aca="false">BL24-BK24</f>
        <v>0</v>
      </c>
      <c r="BN24" s="22"/>
      <c r="BO24" s="22"/>
      <c r="BP24" s="70" t="n">
        <f aca="false">BO24-BN24</f>
        <v>0</v>
      </c>
      <c r="BQ24" s="22"/>
      <c r="BR24" s="22"/>
      <c r="BS24" s="70" t="n">
        <f aca="false">BR24-BQ24</f>
        <v>0</v>
      </c>
      <c r="BT24" s="22"/>
      <c r="BU24" s="22"/>
      <c r="BV24" s="70" t="n">
        <f aca="false">BU24-BT24</f>
        <v>0</v>
      </c>
      <c r="BW24" s="22"/>
      <c r="BX24" s="22"/>
      <c r="BY24" s="70" t="n">
        <f aca="false">BX24-BW24</f>
        <v>0</v>
      </c>
      <c r="BZ24" s="22"/>
      <c r="CA24" s="22"/>
      <c r="CB24" s="70" t="n">
        <f aca="false">CA24-BZ24</f>
        <v>0</v>
      </c>
      <c r="CC24" s="22"/>
      <c r="CD24" s="22"/>
      <c r="CE24" s="70" t="n">
        <f aca="false">CD24-CC24</f>
        <v>0</v>
      </c>
      <c r="CF24" s="22"/>
      <c r="CG24" s="22"/>
      <c r="CH24" s="70" t="n">
        <f aca="false">CG24-CF24</f>
        <v>0</v>
      </c>
      <c r="CI24" s="22"/>
      <c r="CJ24" s="22"/>
      <c r="CK24" s="70" t="n">
        <f aca="false">CJ24-CI24</f>
        <v>0</v>
      </c>
      <c r="CL24" s="22"/>
      <c r="CM24" s="22"/>
      <c r="CN24" s="70" t="n">
        <f aca="false">CM24-CL24</f>
        <v>0</v>
      </c>
      <c r="CO24" s="22"/>
      <c r="CP24" s="22"/>
      <c r="CQ24" s="70" t="n">
        <f aca="false">CP24-CO24</f>
        <v>0</v>
      </c>
      <c r="CR24" s="22"/>
      <c r="CS24" s="22"/>
      <c r="CT24" s="70" t="n">
        <f aca="false">CS24-CR24</f>
        <v>0</v>
      </c>
      <c r="CU24" s="22"/>
      <c r="CV24" s="22"/>
      <c r="CW24" s="70" t="n">
        <f aca="false">CV24-CU24</f>
        <v>0</v>
      </c>
      <c r="CX24" s="22"/>
      <c r="CY24" s="22"/>
      <c r="CZ24" s="70" t="n">
        <f aca="false">CY24-CX24</f>
        <v>0</v>
      </c>
      <c r="DA24" s="22"/>
      <c r="DB24" s="22"/>
      <c r="DC24" s="70" t="n">
        <f aca="false">DB24-DA24</f>
        <v>0</v>
      </c>
      <c r="DD24" s="22"/>
      <c r="DE24" s="22"/>
      <c r="DF24" s="70" t="n">
        <f aca="false">DE24-DD24</f>
        <v>0</v>
      </c>
      <c r="DG24" s="22"/>
      <c r="DH24" s="22"/>
      <c r="DI24" s="70" t="n">
        <f aca="false">DH24-DG24</f>
        <v>0</v>
      </c>
      <c r="DJ24" s="22"/>
      <c r="DK24" s="22"/>
      <c r="DL24" s="70" t="n">
        <f aca="false">DK24-DJ24</f>
        <v>0</v>
      </c>
      <c r="DM24" s="22"/>
      <c r="DN24" s="22"/>
      <c r="DO24" s="70" t="n">
        <f aca="false">DN24-DM24</f>
        <v>0</v>
      </c>
      <c r="DP24" s="22"/>
      <c r="DQ24" s="22"/>
      <c r="DR24" s="70" t="n">
        <f aca="false">DQ24-DP24</f>
        <v>0</v>
      </c>
      <c r="DS24" s="70" t="n">
        <f aca="false">+C24+F24+I24+L24+O24+R24+U24+X24+AA24+AD24+AG24+AJ24+AM24+AP24+AS24+AV24+AY24+BB24+BE24+BH24+BK24+BN24+BQ24+BT24+BW24+BZ24+CC24+CF24+CI24+CL24+CO24+CR24+CU24+CX24+DA24+DD24+DG24+DJ24+DM24+DP24</f>
        <v>142000</v>
      </c>
      <c r="DT24" s="70" t="n">
        <f aca="false">+D24+G24+J24+M24+P24+S24+V24+Y24+AB24+AE24+AH24+AK24+AN24+AQ24+AT24+AW24+AZ24+BC24+BF24+BI24+BL24+BO24+BR24+BU24+BX24+CA24+CD24+CG24+CJ24+CM24+CP24+CS24+CV24+CY24+DB24+DE24+DH24+DK24+DN24+DQ24</f>
        <v>140185</v>
      </c>
      <c r="DU24" s="70" t="n">
        <f aca="false">DT24-DS24</f>
        <v>-1815</v>
      </c>
      <c r="DV24" s="75"/>
      <c r="DW24" s="74"/>
      <c r="DX24" s="74"/>
      <c r="DY24" s="75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</row>
    <row r="25" customFormat="false" ht="12.75" hidden="false" customHeight="false" outlineLevel="0" collapsed="false">
      <c r="A25" s="69" t="n">
        <f aca="false">+BaseloadMarkets!A25</f>
        <v>36697</v>
      </c>
      <c r="B25" s="69" t="str">
        <f aca="false">+BaseloadMarkets!B25</f>
        <v>Tues</v>
      </c>
      <c r="C25" s="22"/>
      <c r="D25" s="22"/>
      <c r="E25" s="70" t="n">
        <f aca="false">D25-C25</f>
        <v>0</v>
      </c>
      <c r="F25" s="22"/>
      <c r="G25" s="22"/>
      <c r="H25" s="70" t="n">
        <f aca="false">G25-F25</f>
        <v>0</v>
      </c>
      <c r="I25" s="22"/>
      <c r="J25" s="22"/>
      <c r="K25" s="70" t="n">
        <f aca="false">J25-I25</f>
        <v>0</v>
      </c>
      <c r="L25" s="22"/>
      <c r="M25" s="22"/>
      <c r="N25" s="70" t="n">
        <f aca="false">M25-L25</f>
        <v>0</v>
      </c>
      <c r="O25" s="22"/>
      <c r="P25" s="22"/>
      <c r="Q25" s="70" t="n">
        <f aca="false">P25-O25</f>
        <v>0</v>
      </c>
      <c r="R25" s="22"/>
      <c r="S25" s="22"/>
      <c r="T25" s="70" t="n">
        <f aca="false">S25-R25</f>
        <v>0</v>
      </c>
      <c r="U25" s="22"/>
      <c r="V25" s="22"/>
      <c r="W25" s="70" t="n">
        <f aca="false">V25-U25</f>
        <v>0</v>
      </c>
      <c r="X25" s="22"/>
      <c r="Y25" s="22"/>
      <c r="Z25" s="70" t="n">
        <f aca="false">Y25-X25</f>
        <v>0</v>
      </c>
      <c r="AA25" s="22"/>
      <c r="AB25" s="22"/>
      <c r="AC25" s="70" t="n">
        <f aca="false">AB25-AA25</f>
        <v>0</v>
      </c>
      <c r="AD25" s="22" t="n">
        <v>80000</v>
      </c>
      <c r="AE25" s="22" t="n">
        <v>80000</v>
      </c>
      <c r="AF25" s="70" t="n">
        <f aca="false">AE25-AD25</f>
        <v>0</v>
      </c>
      <c r="AG25" s="22"/>
      <c r="AH25" s="22"/>
      <c r="AI25" s="70" t="n">
        <f aca="false">AH25-AG25</f>
        <v>0</v>
      </c>
      <c r="AJ25" s="22"/>
      <c r="AK25" s="22"/>
      <c r="AL25" s="70" t="n">
        <f aca="false">AK25-AJ25</f>
        <v>0</v>
      </c>
      <c r="AM25" s="22" t="n">
        <v>50000</v>
      </c>
      <c r="AN25" s="22" t="n">
        <f aca="false">50000-10000+3500+4954</f>
        <v>48454</v>
      </c>
      <c r="AO25" s="70" t="n">
        <f aca="false">AN25-AM25</f>
        <v>-1546</v>
      </c>
      <c r="AP25" s="22"/>
      <c r="AQ25" s="22"/>
      <c r="AR25" s="70" t="n">
        <f aca="false">AQ25-AP25</f>
        <v>0</v>
      </c>
      <c r="AS25" s="22"/>
      <c r="AT25" s="22"/>
      <c r="AU25" s="70" t="n">
        <f aca="false">AT25-AS25</f>
        <v>0</v>
      </c>
      <c r="AV25" s="22"/>
      <c r="AW25" s="22"/>
      <c r="AX25" s="70" t="n">
        <f aca="false">AW25-AV25</f>
        <v>0</v>
      </c>
      <c r="AY25" s="22"/>
      <c r="AZ25" s="22"/>
      <c r="BA25" s="70" t="n">
        <f aca="false">AZ25-AY25</f>
        <v>0</v>
      </c>
      <c r="BB25" s="22"/>
      <c r="BC25" s="22"/>
      <c r="BD25" s="70" t="n">
        <f aca="false">BC25-BB25</f>
        <v>0</v>
      </c>
      <c r="BE25" s="22"/>
      <c r="BF25" s="22"/>
      <c r="BG25" s="70" t="n">
        <f aca="false">BF25-BE25</f>
        <v>0</v>
      </c>
      <c r="BH25" s="22"/>
      <c r="BI25" s="22"/>
      <c r="BJ25" s="70" t="n">
        <f aca="false">BI25-BH25</f>
        <v>0</v>
      </c>
      <c r="BK25" s="22"/>
      <c r="BL25" s="22"/>
      <c r="BM25" s="70" t="n">
        <f aca="false">BL25-BK25</f>
        <v>0</v>
      </c>
      <c r="BN25" s="22"/>
      <c r="BO25" s="22"/>
      <c r="BP25" s="70" t="n">
        <f aca="false">BO25-BN25</f>
        <v>0</v>
      </c>
      <c r="BQ25" s="22"/>
      <c r="BR25" s="22"/>
      <c r="BS25" s="70" t="n">
        <f aca="false">BR25-BQ25</f>
        <v>0</v>
      </c>
      <c r="BT25" s="22"/>
      <c r="BU25" s="22"/>
      <c r="BV25" s="70" t="n">
        <f aca="false">BU25-BT25</f>
        <v>0</v>
      </c>
      <c r="BW25" s="22"/>
      <c r="BX25" s="22"/>
      <c r="BY25" s="70" t="n">
        <f aca="false">BX25-BW25</f>
        <v>0</v>
      </c>
      <c r="BZ25" s="22"/>
      <c r="CA25" s="22"/>
      <c r="CB25" s="70" t="n">
        <f aca="false">CA25-BZ25</f>
        <v>0</v>
      </c>
      <c r="CC25" s="22"/>
      <c r="CD25" s="22"/>
      <c r="CE25" s="70" t="n">
        <f aca="false">CD25-CC25</f>
        <v>0</v>
      </c>
      <c r="CF25" s="22"/>
      <c r="CG25" s="22"/>
      <c r="CH25" s="70" t="n">
        <f aca="false">CG25-CF25</f>
        <v>0</v>
      </c>
      <c r="CI25" s="22"/>
      <c r="CJ25" s="22"/>
      <c r="CK25" s="70" t="n">
        <f aca="false">CJ25-CI25</f>
        <v>0</v>
      </c>
      <c r="CL25" s="22"/>
      <c r="CM25" s="22"/>
      <c r="CN25" s="70" t="n">
        <f aca="false">CM25-CL25</f>
        <v>0</v>
      </c>
      <c r="CO25" s="22"/>
      <c r="CP25" s="22"/>
      <c r="CQ25" s="70" t="n">
        <f aca="false">CP25-CO25</f>
        <v>0</v>
      </c>
      <c r="CR25" s="22"/>
      <c r="CS25" s="22"/>
      <c r="CT25" s="70" t="n">
        <f aca="false">CS25-CR25</f>
        <v>0</v>
      </c>
      <c r="CU25" s="22"/>
      <c r="CV25" s="22"/>
      <c r="CW25" s="70" t="n">
        <f aca="false">CV25-CU25</f>
        <v>0</v>
      </c>
      <c r="CX25" s="22"/>
      <c r="CY25" s="22"/>
      <c r="CZ25" s="70" t="n">
        <f aca="false">CY25-CX25</f>
        <v>0</v>
      </c>
      <c r="DA25" s="22"/>
      <c r="DB25" s="22"/>
      <c r="DC25" s="70" t="n">
        <f aca="false">DB25-DA25</f>
        <v>0</v>
      </c>
      <c r="DD25" s="22"/>
      <c r="DE25" s="22"/>
      <c r="DF25" s="70" t="n">
        <f aca="false">DE25-DD25</f>
        <v>0</v>
      </c>
      <c r="DG25" s="22"/>
      <c r="DH25" s="22"/>
      <c r="DI25" s="70" t="n">
        <f aca="false">DH25-DG25</f>
        <v>0</v>
      </c>
      <c r="DJ25" s="22"/>
      <c r="DK25" s="22"/>
      <c r="DL25" s="70" t="n">
        <f aca="false">DK25-DJ25</f>
        <v>0</v>
      </c>
      <c r="DM25" s="22"/>
      <c r="DN25" s="22"/>
      <c r="DO25" s="70" t="n">
        <f aca="false">DN25-DM25</f>
        <v>0</v>
      </c>
      <c r="DP25" s="22"/>
      <c r="DQ25" s="22"/>
      <c r="DR25" s="70" t="n">
        <f aca="false">DQ25-DP25</f>
        <v>0</v>
      </c>
      <c r="DS25" s="70" t="n">
        <f aca="false">+C25+F25+I25+L25+O25+R25+U25+X25+AA25+AD25+AG25+AJ25+AM25+AP25+AS25+AV25+AY25+BB25+BE25+BH25+BK25+BN25+BQ25+BT25+BW25+BZ25+CC25+CF25+CI25+CL25+CO25+CR25+CU25+CX25+DA25+DD25+DG25+DJ25+DM25+DP25</f>
        <v>130000</v>
      </c>
      <c r="DT25" s="70" t="n">
        <f aca="false">+D25+G25+J25+M25+P25+S25+V25+Y25+AB25+AE25+AH25+AK25+AN25+AQ25+AT25+AW25+AZ25+BC25+BF25+BI25+BL25+BO25+BR25+BU25+BX25+CA25+CD25+CG25+CJ25+CM25+CP25+CS25+CV25+CY25+DB25+DE25+DH25+DK25+DN25+DQ25</f>
        <v>128454</v>
      </c>
      <c r="DU25" s="70" t="n">
        <f aca="false">DT25-DS25</f>
        <v>-1546</v>
      </c>
      <c r="DV25" s="75"/>
      <c r="DW25" s="74"/>
      <c r="DX25" s="74"/>
      <c r="DY25" s="75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</row>
    <row r="26" customFormat="false" ht="12.75" hidden="false" customHeight="false" outlineLevel="0" collapsed="false">
      <c r="A26" s="69" t="n">
        <f aca="false">+BaseloadMarkets!A26</f>
        <v>36698</v>
      </c>
      <c r="B26" s="69" t="str">
        <f aca="false">+BaseloadMarkets!B26</f>
        <v>Wed</v>
      </c>
      <c r="C26" s="22"/>
      <c r="D26" s="22"/>
      <c r="E26" s="70" t="n">
        <f aca="false">D26-C26</f>
        <v>0</v>
      </c>
      <c r="F26" s="22"/>
      <c r="G26" s="22"/>
      <c r="H26" s="70" t="n">
        <f aca="false">G26-F26</f>
        <v>0</v>
      </c>
      <c r="I26" s="22"/>
      <c r="J26" s="22"/>
      <c r="K26" s="70" t="n">
        <f aca="false">J26-I26</f>
        <v>0</v>
      </c>
      <c r="L26" s="22"/>
      <c r="M26" s="22"/>
      <c r="N26" s="70" t="n">
        <f aca="false">M26-L26</f>
        <v>0</v>
      </c>
      <c r="O26" s="22"/>
      <c r="P26" s="22"/>
      <c r="Q26" s="70" t="n">
        <f aca="false">P26-O26</f>
        <v>0</v>
      </c>
      <c r="R26" s="22"/>
      <c r="S26" s="22"/>
      <c r="T26" s="70" t="n">
        <f aca="false">S26-R26</f>
        <v>0</v>
      </c>
      <c r="U26" s="22"/>
      <c r="V26" s="22"/>
      <c r="W26" s="70" t="n">
        <f aca="false">V26-U26</f>
        <v>0</v>
      </c>
      <c r="X26" s="22"/>
      <c r="Y26" s="22"/>
      <c r="Z26" s="70" t="n">
        <f aca="false">Y26-X26</f>
        <v>0</v>
      </c>
      <c r="AA26" s="22"/>
      <c r="AB26" s="22"/>
      <c r="AC26" s="70" t="n">
        <f aca="false">AB26-AA26</f>
        <v>0</v>
      </c>
      <c r="AD26" s="22" t="n">
        <v>104341</v>
      </c>
      <c r="AE26" s="22" t="n">
        <v>104341</v>
      </c>
      <c r="AF26" s="70" t="n">
        <f aca="false">AE26-AD26</f>
        <v>0</v>
      </c>
      <c r="AG26" s="22" t="n">
        <v>50000</v>
      </c>
      <c r="AH26" s="22" t="n">
        <v>50000</v>
      </c>
      <c r="AI26" s="70" t="n">
        <f aca="false">AH26-AG26</f>
        <v>0</v>
      </c>
      <c r="AJ26" s="22"/>
      <c r="AK26" s="22"/>
      <c r="AL26" s="70" t="n">
        <f aca="false">AK26-AJ26</f>
        <v>0</v>
      </c>
      <c r="AM26" s="22" t="n">
        <v>80000</v>
      </c>
      <c r="AN26" s="22" t="n">
        <f aca="false">80000-10000+7100</f>
        <v>77100</v>
      </c>
      <c r="AO26" s="70" t="n">
        <f aca="false">AN26-AM26</f>
        <v>-2900</v>
      </c>
      <c r="AP26" s="22" t="n">
        <v>10000</v>
      </c>
      <c r="AQ26" s="22" t="n">
        <v>10000</v>
      </c>
      <c r="AR26" s="70" t="n">
        <f aca="false">AQ26-AP26</f>
        <v>0</v>
      </c>
      <c r="AS26" s="22"/>
      <c r="AT26" s="22"/>
      <c r="AU26" s="70" t="n">
        <f aca="false">AT26-AS26</f>
        <v>0</v>
      </c>
      <c r="AV26" s="22"/>
      <c r="AW26" s="22"/>
      <c r="AX26" s="70" t="n">
        <f aca="false">AW26-AV26</f>
        <v>0</v>
      </c>
      <c r="AY26" s="22"/>
      <c r="AZ26" s="22"/>
      <c r="BA26" s="70" t="n">
        <f aca="false">AZ26-AY26</f>
        <v>0</v>
      </c>
      <c r="BB26" s="22"/>
      <c r="BC26" s="22"/>
      <c r="BD26" s="70" t="n">
        <f aca="false">BC26-BB26</f>
        <v>0</v>
      </c>
      <c r="BE26" s="22"/>
      <c r="BF26" s="22"/>
      <c r="BG26" s="70" t="n">
        <f aca="false">BF26-BE26</f>
        <v>0</v>
      </c>
      <c r="BH26" s="22"/>
      <c r="BI26" s="22"/>
      <c r="BJ26" s="70" t="n">
        <f aca="false">BI26-BH26</f>
        <v>0</v>
      </c>
      <c r="BK26" s="22"/>
      <c r="BL26" s="22"/>
      <c r="BM26" s="70" t="n">
        <f aca="false">BL26-BK26</f>
        <v>0</v>
      </c>
      <c r="BN26" s="22"/>
      <c r="BO26" s="22"/>
      <c r="BP26" s="70" t="n">
        <f aca="false">BO26-BN26</f>
        <v>0</v>
      </c>
      <c r="BQ26" s="22"/>
      <c r="BR26" s="22"/>
      <c r="BS26" s="70" t="n">
        <f aca="false">BR26-BQ26</f>
        <v>0</v>
      </c>
      <c r="BT26" s="22"/>
      <c r="BU26" s="22"/>
      <c r="BV26" s="70" t="n">
        <f aca="false">BU26-BT26</f>
        <v>0</v>
      </c>
      <c r="BW26" s="22"/>
      <c r="BX26" s="22"/>
      <c r="BY26" s="70" t="n">
        <f aca="false">BX26-BW26</f>
        <v>0</v>
      </c>
      <c r="BZ26" s="22"/>
      <c r="CA26" s="22"/>
      <c r="CB26" s="70" t="n">
        <f aca="false">CA26-BZ26</f>
        <v>0</v>
      </c>
      <c r="CC26" s="22"/>
      <c r="CD26" s="22"/>
      <c r="CE26" s="70" t="n">
        <f aca="false">CD26-CC26</f>
        <v>0</v>
      </c>
      <c r="CF26" s="22"/>
      <c r="CG26" s="22"/>
      <c r="CH26" s="70" t="n">
        <f aca="false">CG26-CF26</f>
        <v>0</v>
      </c>
      <c r="CI26" s="22"/>
      <c r="CJ26" s="22"/>
      <c r="CK26" s="70" t="n">
        <f aca="false">CJ26-CI26</f>
        <v>0</v>
      </c>
      <c r="CL26" s="22"/>
      <c r="CM26" s="22"/>
      <c r="CN26" s="70" t="n">
        <f aca="false">CM26-CL26</f>
        <v>0</v>
      </c>
      <c r="CO26" s="22"/>
      <c r="CP26" s="22"/>
      <c r="CQ26" s="70" t="n">
        <f aca="false">CP26-CO26</f>
        <v>0</v>
      </c>
      <c r="CR26" s="22"/>
      <c r="CS26" s="22"/>
      <c r="CT26" s="70" t="n">
        <f aca="false">CS26-CR26</f>
        <v>0</v>
      </c>
      <c r="CU26" s="22"/>
      <c r="CV26" s="22"/>
      <c r="CW26" s="70" t="n">
        <f aca="false">CV26-CU26</f>
        <v>0</v>
      </c>
      <c r="CX26" s="22"/>
      <c r="CY26" s="22"/>
      <c r="CZ26" s="70" t="n">
        <f aca="false">CY26-CX26</f>
        <v>0</v>
      </c>
      <c r="DA26" s="22"/>
      <c r="DB26" s="22"/>
      <c r="DC26" s="70" t="n">
        <f aca="false">DB26-DA26</f>
        <v>0</v>
      </c>
      <c r="DD26" s="22"/>
      <c r="DE26" s="22"/>
      <c r="DF26" s="70" t="n">
        <f aca="false">DE26-DD26</f>
        <v>0</v>
      </c>
      <c r="DG26" s="22"/>
      <c r="DH26" s="22"/>
      <c r="DI26" s="70" t="n">
        <f aca="false">DH26-DG26</f>
        <v>0</v>
      </c>
      <c r="DJ26" s="22"/>
      <c r="DK26" s="22"/>
      <c r="DL26" s="70" t="n">
        <f aca="false">DK26-DJ26</f>
        <v>0</v>
      </c>
      <c r="DM26" s="22"/>
      <c r="DN26" s="22"/>
      <c r="DO26" s="70" t="n">
        <f aca="false">DN26-DM26</f>
        <v>0</v>
      </c>
      <c r="DP26" s="22"/>
      <c r="DQ26" s="22"/>
      <c r="DR26" s="70" t="n">
        <f aca="false">DQ26-DP26</f>
        <v>0</v>
      </c>
      <c r="DS26" s="70" t="n">
        <f aca="false">+C26+F26+I26+L26+O26+R26+U26+X26+AA26+AD26+AG26+AJ26+AM26+AP26+AS26+AV26+AY26+BB26+BE26+BH26+BK26+BN26+BQ26+BT26+BW26+BZ26+CC26+CF26+CI26+CL26+CO26+CR26+CU26+CX26+DA26+DD26+DG26+DJ26+DM26+DP26</f>
        <v>244341</v>
      </c>
      <c r="DT26" s="70" t="n">
        <f aca="false">+D26+G26+J26+M26+P26+S26+V26+Y26+AB26+AE26+AH26+AK26+AN26+AQ26+AT26+AW26+AZ26+BC26+BF26+BI26+BL26+BO26+BR26+BU26+BX26+CA26+CD26+CG26+CJ26+CM26+CP26+CS26+CV26+CY26+DB26+DE26+DH26+DK26+DN26+DQ26</f>
        <v>241441</v>
      </c>
      <c r="DU26" s="70" t="n">
        <f aca="false">DT26-DS26</f>
        <v>-2900</v>
      </c>
      <c r="DV26" s="75"/>
      <c r="DW26" s="74"/>
      <c r="DX26" s="74"/>
      <c r="DY26" s="75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</row>
    <row r="27" customFormat="false" ht="12.75" hidden="false" customHeight="false" outlineLevel="0" collapsed="false">
      <c r="A27" s="69" t="n">
        <f aca="false">+BaseloadMarkets!A27</f>
        <v>36699</v>
      </c>
      <c r="B27" s="69" t="str">
        <f aca="false">+BaseloadMarkets!B27</f>
        <v>Thu</v>
      </c>
      <c r="C27" s="22"/>
      <c r="D27" s="22"/>
      <c r="E27" s="70" t="n">
        <f aca="false">D27-C27</f>
        <v>0</v>
      </c>
      <c r="F27" s="22"/>
      <c r="G27" s="22"/>
      <c r="H27" s="70" t="n">
        <f aca="false">G27-F27</f>
        <v>0</v>
      </c>
      <c r="I27" s="22"/>
      <c r="J27" s="22"/>
      <c r="K27" s="70" t="n">
        <f aca="false">J27-I27</f>
        <v>0</v>
      </c>
      <c r="L27" s="22"/>
      <c r="M27" s="22"/>
      <c r="N27" s="70" t="n">
        <f aca="false">M27-L27</f>
        <v>0</v>
      </c>
      <c r="O27" s="22"/>
      <c r="P27" s="22"/>
      <c r="Q27" s="70" t="n">
        <f aca="false">P27-O27</f>
        <v>0</v>
      </c>
      <c r="R27" s="22"/>
      <c r="S27" s="22"/>
      <c r="T27" s="70" t="n">
        <f aca="false">S27-R27</f>
        <v>0</v>
      </c>
      <c r="U27" s="22"/>
      <c r="V27" s="22"/>
      <c r="W27" s="70" t="n">
        <f aca="false">V27-U27</f>
        <v>0</v>
      </c>
      <c r="X27" s="22"/>
      <c r="Y27" s="22"/>
      <c r="Z27" s="70" t="n">
        <f aca="false">Y27-X27</f>
        <v>0</v>
      </c>
      <c r="AA27" s="22"/>
      <c r="AB27" s="22"/>
      <c r="AC27" s="70" t="n">
        <f aca="false">AB27-AA27</f>
        <v>0</v>
      </c>
      <c r="AD27" s="22" t="n">
        <v>62000</v>
      </c>
      <c r="AE27" s="22" t="n">
        <v>62000</v>
      </c>
      <c r="AF27" s="70" t="n">
        <f aca="false">AE27-AD27</f>
        <v>0</v>
      </c>
      <c r="AG27" s="22" t="n">
        <v>90000</v>
      </c>
      <c r="AH27" s="22" t="n">
        <f aca="false">90000-2</f>
        <v>89998</v>
      </c>
      <c r="AI27" s="70" t="n">
        <f aca="false">AH27-AG27</f>
        <v>-2</v>
      </c>
      <c r="AJ27" s="22"/>
      <c r="AK27" s="22"/>
      <c r="AL27" s="70" t="n">
        <f aca="false">AK27-AJ27</f>
        <v>0</v>
      </c>
      <c r="AM27" s="22" t="n">
        <f aca="false">112000+30000+50000</f>
        <v>192000</v>
      </c>
      <c r="AN27" s="22" t="n">
        <f aca="false">192000-10000+6635</f>
        <v>188635</v>
      </c>
      <c r="AO27" s="70" t="n">
        <f aca="false">AN27-AM27</f>
        <v>-3365</v>
      </c>
      <c r="AP27" s="22"/>
      <c r="AQ27" s="22"/>
      <c r="AR27" s="70" t="n">
        <f aca="false">AQ27-AP27</f>
        <v>0</v>
      </c>
      <c r="AS27" s="22" t="n">
        <v>5000</v>
      </c>
      <c r="AT27" s="22" t="n">
        <v>5000</v>
      </c>
      <c r="AU27" s="70" t="n">
        <f aca="false">AT27-AS27</f>
        <v>0</v>
      </c>
      <c r="AV27" s="22" t="n">
        <v>10000</v>
      </c>
      <c r="AW27" s="22" t="n">
        <f aca="false">2732+1821</f>
        <v>4553</v>
      </c>
      <c r="AX27" s="70" t="n">
        <f aca="false">AW27-AV27</f>
        <v>-5447</v>
      </c>
      <c r="AY27" s="22"/>
      <c r="AZ27" s="22"/>
      <c r="BA27" s="70" t="n">
        <f aca="false">AZ27-AY27</f>
        <v>0</v>
      </c>
      <c r="BB27" s="22"/>
      <c r="BC27" s="22"/>
      <c r="BD27" s="70" t="n">
        <f aca="false">BC27-BB27</f>
        <v>0</v>
      </c>
      <c r="BE27" s="22"/>
      <c r="BF27" s="22"/>
      <c r="BG27" s="70" t="n">
        <f aca="false">BF27-BE27</f>
        <v>0</v>
      </c>
      <c r="BH27" s="22"/>
      <c r="BI27" s="22"/>
      <c r="BJ27" s="70" t="n">
        <f aca="false">BI27-BH27</f>
        <v>0</v>
      </c>
      <c r="BK27" s="22"/>
      <c r="BL27" s="22"/>
      <c r="BM27" s="70" t="n">
        <f aca="false">BL27-BK27</f>
        <v>0</v>
      </c>
      <c r="BN27" s="22"/>
      <c r="BO27" s="22"/>
      <c r="BP27" s="70" t="n">
        <f aca="false">BO27-BN27</f>
        <v>0</v>
      </c>
      <c r="BQ27" s="22"/>
      <c r="BR27" s="22"/>
      <c r="BS27" s="70" t="n">
        <f aca="false">BR27-BQ27</f>
        <v>0</v>
      </c>
      <c r="BT27" s="22"/>
      <c r="BU27" s="22"/>
      <c r="BV27" s="70" t="n">
        <f aca="false">BU27-BT27</f>
        <v>0</v>
      </c>
      <c r="BW27" s="22"/>
      <c r="BX27" s="22"/>
      <c r="BY27" s="70" t="n">
        <f aca="false">BX27-BW27</f>
        <v>0</v>
      </c>
      <c r="BZ27" s="22"/>
      <c r="CA27" s="22"/>
      <c r="CB27" s="70" t="n">
        <f aca="false">CA27-BZ27</f>
        <v>0</v>
      </c>
      <c r="CC27" s="22"/>
      <c r="CD27" s="22"/>
      <c r="CE27" s="70" t="n">
        <f aca="false">CD27-CC27</f>
        <v>0</v>
      </c>
      <c r="CF27" s="22"/>
      <c r="CG27" s="22"/>
      <c r="CH27" s="70" t="n">
        <f aca="false">CG27-CF27</f>
        <v>0</v>
      </c>
      <c r="CI27" s="22"/>
      <c r="CJ27" s="22"/>
      <c r="CK27" s="70" t="n">
        <f aca="false">CJ27-CI27</f>
        <v>0</v>
      </c>
      <c r="CL27" s="22"/>
      <c r="CM27" s="22"/>
      <c r="CN27" s="70" t="n">
        <f aca="false">CM27-CL27</f>
        <v>0</v>
      </c>
      <c r="CO27" s="22"/>
      <c r="CP27" s="22"/>
      <c r="CQ27" s="70" t="n">
        <f aca="false">CP27-CO27</f>
        <v>0</v>
      </c>
      <c r="CR27" s="22"/>
      <c r="CS27" s="22"/>
      <c r="CT27" s="70" t="n">
        <f aca="false">CS27-CR27</f>
        <v>0</v>
      </c>
      <c r="CU27" s="22"/>
      <c r="CV27" s="22"/>
      <c r="CW27" s="70" t="n">
        <f aca="false">CV27-CU27</f>
        <v>0</v>
      </c>
      <c r="CX27" s="22"/>
      <c r="CY27" s="22"/>
      <c r="CZ27" s="70" t="n">
        <f aca="false">CY27-CX27</f>
        <v>0</v>
      </c>
      <c r="DA27" s="22"/>
      <c r="DB27" s="22"/>
      <c r="DC27" s="70" t="n">
        <f aca="false">DB27-DA27</f>
        <v>0</v>
      </c>
      <c r="DD27" s="22"/>
      <c r="DE27" s="22"/>
      <c r="DF27" s="70" t="n">
        <f aca="false">DE27-DD27</f>
        <v>0</v>
      </c>
      <c r="DG27" s="22"/>
      <c r="DH27" s="22"/>
      <c r="DI27" s="70" t="n">
        <f aca="false">DH27-DG27</f>
        <v>0</v>
      </c>
      <c r="DJ27" s="22"/>
      <c r="DK27" s="22"/>
      <c r="DL27" s="70" t="n">
        <f aca="false">DK27-DJ27</f>
        <v>0</v>
      </c>
      <c r="DM27" s="22"/>
      <c r="DN27" s="22"/>
      <c r="DO27" s="70" t="n">
        <f aca="false">DN27-DM27</f>
        <v>0</v>
      </c>
      <c r="DP27" s="22"/>
      <c r="DQ27" s="22"/>
      <c r="DR27" s="70" t="n">
        <f aca="false">DQ27-DP27</f>
        <v>0</v>
      </c>
      <c r="DS27" s="70" t="n">
        <f aca="false">+C27+F27+I27+L27+O27+R27+U27+X27+AA27+AD27+AG27+AJ27+AM27+AP27+AS27+AV27+AY27+BB27+BE27+BH27+BK27+BN27+BQ27+BT27+BW27+BZ27+CC27+CF27+CI27+CL27+CO27+CR27+CU27+CX27+DA27+DD27+DG27+DJ27+DM27+DP27</f>
        <v>359000</v>
      </c>
      <c r="DT27" s="70" t="n">
        <f aca="false">+D27+G27+J27+M27+P27+S27+V27+Y27+AB27+AE27+AH27+AK27+AN27+AQ27+AT27+AW27+AZ27+BC27+BF27+BI27+BL27+BO27+BR27+BU27+BX27+CA27+CD27+CG27+CJ27+CM27+CP27+CS27+CV27+CY27+DB27+DE27+DH27+DK27+DN27+DQ27</f>
        <v>350186</v>
      </c>
      <c r="DU27" s="70" t="n">
        <f aca="false">DT27-DS27</f>
        <v>-8814</v>
      </c>
      <c r="DV27" s="75"/>
      <c r="DW27" s="74"/>
      <c r="DX27" s="74"/>
      <c r="DY27" s="75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</row>
    <row r="28" customFormat="false" ht="12.75" hidden="false" customHeight="false" outlineLevel="0" collapsed="false">
      <c r="A28" s="69" t="n">
        <f aca="false">+BaseloadMarkets!A28</f>
        <v>36700</v>
      </c>
      <c r="B28" s="69" t="str">
        <f aca="false">+BaseloadMarkets!B28</f>
        <v>Fri</v>
      </c>
      <c r="C28" s="22"/>
      <c r="D28" s="22"/>
      <c r="E28" s="70" t="n">
        <f aca="false">D28-C28</f>
        <v>0</v>
      </c>
      <c r="F28" s="22"/>
      <c r="G28" s="22"/>
      <c r="H28" s="70" t="n">
        <f aca="false">G28-F28</f>
        <v>0</v>
      </c>
      <c r="I28" s="22"/>
      <c r="J28" s="22"/>
      <c r="K28" s="70" t="n">
        <f aca="false">J28-I28</f>
        <v>0</v>
      </c>
      <c r="L28" s="22"/>
      <c r="M28" s="22"/>
      <c r="N28" s="70" t="n">
        <f aca="false">M28-L28</f>
        <v>0</v>
      </c>
      <c r="O28" s="22"/>
      <c r="P28" s="22"/>
      <c r="Q28" s="70" t="n">
        <f aca="false">P28-O28</f>
        <v>0</v>
      </c>
      <c r="R28" s="22"/>
      <c r="S28" s="22"/>
      <c r="T28" s="70" t="n">
        <f aca="false">S28-R28</f>
        <v>0</v>
      </c>
      <c r="U28" s="22"/>
      <c r="V28" s="22"/>
      <c r="W28" s="70" t="n">
        <f aca="false">V28-U28</f>
        <v>0</v>
      </c>
      <c r="X28" s="22"/>
      <c r="Y28" s="22"/>
      <c r="Z28" s="70" t="n">
        <f aca="false">Y28-X28</f>
        <v>0</v>
      </c>
      <c r="AA28" s="22"/>
      <c r="AB28" s="22"/>
      <c r="AC28" s="70" t="n">
        <f aca="false">AB28-AA28</f>
        <v>0</v>
      </c>
      <c r="AD28" s="22" t="n">
        <v>35000</v>
      </c>
      <c r="AE28" s="22" t="n">
        <v>35000</v>
      </c>
      <c r="AF28" s="70" t="n">
        <f aca="false">AE28-AD28</f>
        <v>0</v>
      </c>
      <c r="AG28" s="22"/>
      <c r="AH28" s="22"/>
      <c r="AI28" s="70" t="n">
        <f aca="false">AH28-AG28</f>
        <v>0</v>
      </c>
      <c r="AJ28" s="22"/>
      <c r="AK28" s="22"/>
      <c r="AL28" s="70" t="n">
        <f aca="false">AK28-AJ28</f>
        <v>0</v>
      </c>
      <c r="AM28" s="22" t="n">
        <f aca="false">145000+80000</f>
        <v>225000</v>
      </c>
      <c r="AN28" s="22" t="n">
        <f aca="false">225000-10000+6251</f>
        <v>221251</v>
      </c>
      <c r="AO28" s="70" t="n">
        <f aca="false">AN28-AM28</f>
        <v>-3749</v>
      </c>
      <c r="AP28" s="22"/>
      <c r="AQ28" s="22"/>
      <c r="AR28" s="70" t="n">
        <f aca="false">AQ28-AP28</f>
        <v>0</v>
      </c>
      <c r="AS28" s="22" t="n">
        <v>15000</v>
      </c>
      <c r="AT28" s="22" t="n">
        <v>15000</v>
      </c>
      <c r="AU28" s="70" t="n">
        <f aca="false">AT28-AS28</f>
        <v>0</v>
      </c>
      <c r="AV28" s="22"/>
      <c r="AW28" s="22"/>
      <c r="AX28" s="70" t="n">
        <f aca="false">AW28-AV28</f>
        <v>0</v>
      </c>
      <c r="AY28" s="22"/>
      <c r="AZ28" s="22"/>
      <c r="BA28" s="70" t="n">
        <f aca="false">AZ28-AY28</f>
        <v>0</v>
      </c>
      <c r="BB28" s="22"/>
      <c r="BC28" s="22"/>
      <c r="BD28" s="70" t="n">
        <f aca="false">BC28-BB28</f>
        <v>0</v>
      </c>
      <c r="BE28" s="22"/>
      <c r="BF28" s="22"/>
      <c r="BG28" s="70" t="n">
        <f aca="false">BF28-BE28</f>
        <v>0</v>
      </c>
      <c r="BH28" s="22"/>
      <c r="BI28" s="22"/>
      <c r="BJ28" s="70" t="n">
        <f aca="false">BI28-BH28</f>
        <v>0</v>
      </c>
      <c r="BK28" s="22"/>
      <c r="BL28" s="22"/>
      <c r="BM28" s="70" t="n">
        <f aca="false">BL28-BK28</f>
        <v>0</v>
      </c>
      <c r="BN28" s="22"/>
      <c r="BO28" s="22"/>
      <c r="BP28" s="70" t="n">
        <f aca="false">BO28-BN28</f>
        <v>0</v>
      </c>
      <c r="BQ28" s="22"/>
      <c r="BR28" s="22"/>
      <c r="BS28" s="70" t="n">
        <f aca="false">BR28-BQ28</f>
        <v>0</v>
      </c>
      <c r="BT28" s="22"/>
      <c r="BU28" s="22"/>
      <c r="BV28" s="70" t="n">
        <f aca="false">BU28-BT28</f>
        <v>0</v>
      </c>
      <c r="BW28" s="22"/>
      <c r="BX28" s="22"/>
      <c r="BY28" s="70" t="n">
        <f aca="false">BX28-BW28</f>
        <v>0</v>
      </c>
      <c r="BZ28" s="22"/>
      <c r="CA28" s="22"/>
      <c r="CB28" s="70" t="n">
        <f aca="false">CA28-BZ28</f>
        <v>0</v>
      </c>
      <c r="CC28" s="22"/>
      <c r="CD28" s="22"/>
      <c r="CE28" s="70" t="n">
        <f aca="false">CD28-CC28</f>
        <v>0</v>
      </c>
      <c r="CF28" s="22"/>
      <c r="CG28" s="22"/>
      <c r="CH28" s="70" t="n">
        <f aca="false">CG28-CF28</f>
        <v>0</v>
      </c>
      <c r="CI28" s="22"/>
      <c r="CJ28" s="22"/>
      <c r="CK28" s="70" t="n">
        <f aca="false">CJ28-CI28</f>
        <v>0</v>
      </c>
      <c r="CL28" s="22"/>
      <c r="CM28" s="22"/>
      <c r="CN28" s="70" t="n">
        <f aca="false">CM28-CL28</f>
        <v>0</v>
      </c>
      <c r="CO28" s="22"/>
      <c r="CP28" s="22"/>
      <c r="CQ28" s="70" t="n">
        <f aca="false">CP28-CO28</f>
        <v>0</v>
      </c>
      <c r="CR28" s="22"/>
      <c r="CS28" s="22"/>
      <c r="CT28" s="70" t="n">
        <f aca="false">CS28-CR28</f>
        <v>0</v>
      </c>
      <c r="CU28" s="22"/>
      <c r="CV28" s="22"/>
      <c r="CW28" s="70" t="n">
        <f aca="false">CV28-CU28</f>
        <v>0</v>
      </c>
      <c r="CX28" s="22"/>
      <c r="CY28" s="22"/>
      <c r="CZ28" s="70" t="n">
        <f aca="false">CY28-CX28</f>
        <v>0</v>
      </c>
      <c r="DA28" s="22"/>
      <c r="DB28" s="22"/>
      <c r="DC28" s="70" t="n">
        <f aca="false">DB28-DA28</f>
        <v>0</v>
      </c>
      <c r="DD28" s="22"/>
      <c r="DE28" s="22"/>
      <c r="DF28" s="70" t="n">
        <f aca="false">DE28-DD28</f>
        <v>0</v>
      </c>
      <c r="DG28" s="22"/>
      <c r="DH28" s="22"/>
      <c r="DI28" s="70" t="n">
        <f aca="false">DH28-DG28</f>
        <v>0</v>
      </c>
      <c r="DJ28" s="22"/>
      <c r="DK28" s="22"/>
      <c r="DL28" s="70" t="n">
        <f aca="false">DK28-DJ28</f>
        <v>0</v>
      </c>
      <c r="DM28" s="22"/>
      <c r="DN28" s="22"/>
      <c r="DO28" s="70" t="n">
        <f aca="false">DN28-DM28</f>
        <v>0</v>
      </c>
      <c r="DP28" s="22"/>
      <c r="DQ28" s="22"/>
      <c r="DR28" s="70" t="n">
        <f aca="false">DQ28-DP28</f>
        <v>0</v>
      </c>
      <c r="DS28" s="70" t="n">
        <f aca="false">+C28+F28+I28+L28+O28+R28+U28+X28+AA28+AD28+AG28+AJ28+AM28+AP28+AS28+AV28+AY28+BB28+BE28+BH28+BK28+BN28+BQ28+BT28+BW28+BZ28+CC28+CF28+CI28+CL28+CO28+CR28+CU28+CX28+DA28+DD28+DG28+DJ28+DM28+DP28</f>
        <v>275000</v>
      </c>
      <c r="DT28" s="70" t="n">
        <f aca="false">+D28+G28+J28+M28+P28+S28+V28+Y28+AB28+AE28+AH28+AK28+AN28+AQ28+AT28+AW28+AZ28+BC28+BF28+BI28+BL28+BO28+BR28+BU28+BX28+CA28+CD28+CG28+CJ28+CM28+CP28+CS28+CV28+CY28+DB28+DE28+DH28+DK28+DN28+DQ28</f>
        <v>271251</v>
      </c>
      <c r="DU28" s="70" t="n">
        <f aca="false">DT28-DS28</f>
        <v>-3749</v>
      </c>
      <c r="DV28" s="75"/>
      <c r="DW28" s="74"/>
      <c r="DX28" s="74"/>
      <c r="DY28" s="75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</row>
    <row r="29" customFormat="false" ht="12.75" hidden="false" customHeight="false" outlineLevel="0" collapsed="false">
      <c r="A29" s="69" t="n">
        <f aca="false">+BaseloadMarkets!A29</f>
        <v>36701</v>
      </c>
      <c r="B29" s="69" t="str">
        <f aca="false">+BaseloadMarkets!B29</f>
        <v>Sat</v>
      </c>
      <c r="C29" s="22"/>
      <c r="D29" s="22"/>
      <c r="E29" s="70" t="n">
        <f aca="false">D29-C29</f>
        <v>0</v>
      </c>
      <c r="F29" s="22"/>
      <c r="G29" s="22"/>
      <c r="H29" s="70" t="n">
        <f aca="false">G29-F29</f>
        <v>0</v>
      </c>
      <c r="I29" s="22"/>
      <c r="J29" s="22"/>
      <c r="K29" s="70" t="n">
        <f aca="false">J29-I29</f>
        <v>0</v>
      </c>
      <c r="L29" s="22"/>
      <c r="M29" s="22"/>
      <c r="N29" s="70" t="n">
        <f aca="false">M29-L29</f>
        <v>0</v>
      </c>
      <c r="O29" s="22"/>
      <c r="P29" s="22"/>
      <c r="Q29" s="70" t="n">
        <f aca="false">P29-O29</f>
        <v>0</v>
      </c>
      <c r="R29" s="22"/>
      <c r="S29" s="22"/>
      <c r="T29" s="70" t="n">
        <f aca="false">S29-R29</f>
        <v>0</v>
      </c>
      <c r="U29" s="22"/>
      <c r="V29" s="22"/>
      <c r="W29" s="70" t="n">
        <f aca="false">V29-U29</f>
        <v>0</v>
      </c>
      <c r="X29" s="22"/>
      <c r="Y29" s="22"/>
      <c r="Z29" s="70" t="n">
        <f aca="false">Y29-X29</f>
        <v>0</v>
      </c>
      <c r="AA29" s="22"/>
      <c r="AB29" s="22"/>
      <c r="AC29" s="70" t="n">
        <f aca="false">AB29-AA29</f>
        <v>0</v>
      </c>
      <c r="AD29" s="22"/>
      <c r="AE29" s="22"/>
      <c r="AF29" s="70" t="n">
        <f aca="false">AE29-AD29</f>
        <v>0</v>
      </c>
      <c r="AG29" s="22" t="n">
        <v>50000</v>
      </c>
      <c r="AH29" s="22" t="n">
        <v>50000</v>
      </c>
      <c r="AI29" s="70" t="n">
        <f aca="false">AH29-AG29</f>
        <v>0</v>
      </c>
      <c r="AJ29" s="22"/>
      <c r="AK29" s="22"/>
      <c r="AL29" s="70" t="n">
        <f aca="false">AK29-AJ29</f>
        <v>0</v>
      </c>
      <c r="AM29" s="22" t="n">
        <f aca="false">15000+59000</f>
        <v>74000</v>
      </c>
      <c r="AN29" s="22" t="n">
        <f aca="false">74000-10000+6111</f>
        <v>70111</v>
      </c>
      <c r="AO29" s="70" t="n">
        <f aca="false">AN29-AM29</f>
        <v>-3889</v>
      </c>
      <c r="AP29" s="22"/>
      <c r="AQ29" s="22"/>
      <c r="AR29" s="70" t="n">
        <f aca="false">AQ29-AP29</f>
        <v>0</v>
      </c>
      <c r="AS29" s="22" t="n">
        <v>15000</v>
      </c>
      <c r="AT29" s="22" t="n">
        <v>15000</v>
      </c>
      <c r="AU29" s="70" t="n">
        <f aca="false">AT29-AS29</f>
        <v>0</v>
      </c>
      <c r="AV29" s="22" t="n">
        <v>1815</v>
      </c>
      <c r="AW29" s="22" t="n">
        <v>1815</v>
      </c>
      <c r="AX29" s="70" t="n">
        <f aca="false">AW29-AV29</f>
        <v>0</v>
      </c>
      <c r="AY29" s="22"/>
      <c r="AZ29" s="22"/>
      <c r="BA29" s="70" t="n">
        <f aca="false">AZ29-AY29</f>
        <v>0</v>
      </c>
      <c r="BB29" s="22"/>
      <c r="BC29" s="22"/>
      <c r="BD29" s="70" t="n">
        <f aca="false">BC29-BB29</f>
        <v>0</v>
      </c>
      <c r="BE29" s="22"/>
      <c r="BF29" s="22"/>
      <c r="BG29" s="70" t="n">
        <f aca="false">BF29-BE29</f>
        <v>0</v>
      </c>
      <c r="BH29" s="22"/>
      <c r="BI29" s="22"/>
      <c r="BJ29" s="70" t="n">
        <f aca="false">BI29-BH29</f>
        <v>0</v>
      </c>
      <c r="BK29" s="22"/>
      <c r="BL29" s="22"/>
      <c r="BM29" s="70" t="n">
        <f aca="false">BL29-BK29</f>
        <v>0</v>
      </c>
      <c r="BN29" s="22"/>
      <c r="BO29" s="22"/>
      <c r="BP29" s="70" t="n">
        <f aca="false">BO29-BN29</f>
        <v>0</v>
      </c>
      <c r="BQ29" s="22"/>
      <c r="BR29" s="22"/>
      <c r="BS29" s="70" t="n">
        <f aca="false">BR29-BQ29</f>
        <v>0</v>
      </c>
      <c r="BT29" s="22"/>
      <c r="BU29" s="22"/>
      <c r="BV29" s="70" t="n">
        <f aca="false">BU29-BT29</f>
        <v>0</v>
      </c>
      <c r="BW29" s="22"/>
      <c r="BX29" s="22"/>
      <c r="BY29" s="70" t="n">
        <f aca="false">BX29-BW29</f>
        <v>0</v>
      </c>
      <c r="BZ29" s="22"/>
      <c r="CA29" s="22"/>
      <c r="CB29" s="70" t="n">
        <f aca="false">CA29-BZ29</f>
        <v>0</v>
      </c>
      <c r="CC29" s="22"/>
      <c r="CD29" s="22"/>
      <c r="CE29" s="70" t="n">
        <f aca="false">CD29-CC29</f>
        <v>0</v>
      </c>
      <c r="CF29" s="22"/>
      <c r="CG29" s="22"/>
      <c r="CH29" s="70" t="n">
        <f aca="false">CG29-CF29</f>
        <v>0</v>
      </c>
      <c r="CI29" s="22"/>
      <c r="CJ29" s="22"/>
      <c r="CK29" s="70" t="n">
        <f aca="false">CJ29-CI29</f>
        <v>0</v>
      </c>
      <c r="CL29" s="22"/>
      <c r="CM29" s="22"/>
      <c r="CN29" s="70" t="n">
        <f aca="false">CM29-CL29</f>
        <v>0</v>
      </c>
      <c r="CO29" s="22"/>
      <c r="CP29" s="22"/>
      <c r="CQ29" s="70" t="n">
        <f aca="false">CP29-CO29</f>
        <v>0</v>
      </c>
      <c r="CR29" s="22"/>
      <c r="CS29" s="22"/>
      <c r="CT29" s="70" t="n">
        <f aca="false">CS29-CR29</f>
        <v>0</v>
      </c>
      <c r="CU29" s="22"/>
      <c r="CV29" s="22"/>
      <c r="CW29" s="70" t="n">
        <f aca="false">CV29-CU29</f>
        <v>0</v>
      </c>
      <c r="CX29" s="22"/>
      <c r="CY29" s="22"/>
      <c r="CZ29" s="70" t="n">
        <f aca="false">CY29-CX29</f>
        <v>0</v>
      </c>
      <c r="DA29" s="22"/>
      <c r="DB29" s="22"/>
      <c r="DC29" s="70" t="n">
        <f aca="false">DB29-DA29</f>
        <v>0</v>
      </c>
      <c r="DD29" s="22"/>
      <c r="DE29" s="22"/>
      <c r="DF29" s="70" t="n">
        <f aca="false">DE29-DD29</f>
        <v>0</v>
      </c>
      <c r="DG29" s="22"/>
      <c r="DH29" s="22"/>
      <c r="DI29" s="70" t="n">
        <f aca="false">DH29-DG29</f>
        <v>0</v>
      </c>
      <c r="DJ29" s="22"/>
      <c r="DK29" s="22"/>
      <c r="DL29" s="70" t="n">
        <f aca="false">DK29-DJ29</f>
        <v>0</v>
      </c>
      <c r="DM29" s="22"/>
      <c r="DN29" s="22"/>
      <c r="DO29" s="70" t="n">
        <f aca="false">DN29-DM29</f>
        <v>0</v>
      </c>
      <c r="DP29" s="22"/>
      <c r="DQ29" s="22"/>
      <c r="DR29" s="70" t="n">
        <f aca="false">DQ29-DP29</f>
        <v>0</v>
      </c>
      <c r="DS29" s="70" t="n">
        <f aca="false">+C29+F29+I29+L29+O29+R29+U29+X29+AA29+AD29+AG29+AJ29+AM29+AP29+AS29+AV29+AY29+BB29+BE29+BH29+BK29+BN29+BQ29+BT29+BW29+BZ29+CC29+CF29+CI29+CL29+CO29+CR29+CU29+CX29+DA29+DD29+DG29+DJ29+DM29+DP29</f>
        <v>140815</v>
      </c>
      <c r="DT29" s="70" t="n">
        <f aca="false">+D29+G29+J29+M29+P29+S29+V29+Y29+AB29+AE29+AH29+AK29+AN29+AQ29+AT29+AW29+AZ29+BC29+BF29+BI29+BL29+BO29+BR29+BU29+BX29+CA29+CD29+CG29+CJ29+CM29+CP29+CS29+CV29+CY29+DB29+DE29+DH29+DK29+DN29+DQ29</f>
        <v>136926</v>
      </c>
      <c r="DU29" s="70" t="n">
        <f aca="false">DT29-DS29</f>
        <v>-3889</v>
      </c>
      <c r="DV29" s="75"/>
      <c r="DW29" s="74"/>
      <c r="DX29" s="74"/>
      <c r="DY29" s="75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</row>
    <row r="30" customFormat="false" ht="12.75" hidden="false" customHeight="false" outlineLevel="0" collapsed="false">
      <c r="A30" s="69" t="n">
        <f aca="false">+BaseloadMarkets!A30</f>
        <v>36702</v>
      </c>
      <c r="B30" s="69" t="str">
        <f aca="false">+BaseloadMarkets!B30</f>
        <v>Sun</v>
      </c>
      <c r="C30" s="22"/>
      <c r="D30" s="22"/>
      <c r="E30" s="70" t="n">
        <f aca="false">D30-C30</f>
        <v>0</v>
      </c>
      <c r="F30" s="22"/>
      <c r="G30" s="22"/>
      <c r="H30" s="70" t="n">
        <f aca="false">G30-F30</f>
        <v>0</v>
      </c>
      <c r="I30" s="22"/>
      <c r="J30" s="22"/>
      <c r="K30" s="70" t="n">
        <f aca="false">J30-I30</f>
        <v>0</v>
      </c>
      <c r="L30" s="22"/>
      <c r="M30" s="22"/>
      <c r="N30" s="70" t="n">
        <f aca="false">M30-L30</f>
        <v>0</v>
      </c>
      <c r="O30" s="22"/>
      <c r="P30" s="22"/>
      <c r="Q30" s="70" t="n">
        <f aca="false">P30-O30</f>
        <v>0</v>
      </c>
      <c r="R30" s="22"/>
      <c r="S30" s="22"/>
      <c r="T30" s="70" t="n">
        <f aca="false">S30-R30</f>
        <v>0</v>
      </c>
      <c r="U30" s="22"/>
      <c r="V30" s="22"/>
      <c r="W30" s="70" t="n">
        <f aca="false">V30-U30</f>
        <v>0</v>
      </c>
      <c r="X30" s="22"/>
      <c r="Y30" s="22"/>
      <c r="Z30" s="70" t="n">
        <f aca="false">Y30-X30</f>
        <v>0</v>
      </c>
      <c r="AA30" s="22"/>
      <c r="AB30" s="22"/>
      <c r="AC30" s="70" t="n">
        <f aca="false">AB30-AA30</f>
        <v>0</v>
      </c>
      <c r="AD30" s="22"/>
      <c r="AE30" s="22"/>
      <c r="AF30" s="70" t="n">
        <f aca="false">AE30-AD30</f>
        <v>0</v>
      </c>
      <c r="AG30" s="22" t="n">
        <v>50000</v>
      </c>
      <c r="AH30" s="22" t="n">
        <v>50000</v>
      </c>
      <c r="AI30" s="70" t="n">
        <f aca="false">AH30-AG30</f>
        <v>0</v>
      </c>
      <c r="AJ30" s="22"/>
      <c r="AK30" s="22"/>
      <c r="AL30" s="70" t="n">
        <f aca="false">AK30-AJ30</f>
        <v>0</v>
      </c>
      <c r="AM30" s="22" t="n">
        <f aca="false">15000+59000</f>
        <v>74000</v>
      </c>
      <c r="AN30" s="22" t="n">
        <f aca="false">74000-10000+6000</f>
        <v>70000</v>
      </c>
      <c r="AO30" s="70" t="n">
        <f aca="false">AN30-AM30</f>
        <v>-4000</v>
      </c>
      <c r="AP30" s="22"/>
      <c r="AQ30" s="22"/>
      <c r="AR30" s="70" t="n">
        <f aca="false">AQ30-AP30</f>
        <v>0</v>
      </c>
      <c r="AS30" s="22" t="n">
        <v>15000</v>
      </c>
      <c r="AT30" s="22" t="n">
        <v>15000</v>
      </c>
      <c r="AU30" s="70" t="n">
        <f aca="false">AT30-AS30</f>
        <v>0</v>
      </c>
      <c r="AV30" s="22" t="n">
        <v>1815</v>
      </c>
      <c r="AW30" s="22" t="n">
        <v>1815</v>
      </c>
      <c r="AX30" s="70" t="n">
        <f aca="false">AW30-AV30</f>
        <v>0</v>
      </c>
      <c r="AY30" s="22"/>
      <c r="AZ30" s="22"/>
      <c r="BA30" s="70" t="n">
        <f aca="false">AZ30-AY30</f>
        <v>0</v>
      </c>
      <c r="BB30" s="22"/>
      <c r="BC30" s="22"/>
      <c r="BD30" s="70" t="n">
        <f aca="false">BC30-BB30</f>
        <v>0</v>
      </c>
      <c r="BE30" s="22"/>
      <c r="BF30" s="22"/>
      <c r="BG30" s="70" t="n">
        <f aca="false">BF30-BE30</f>
        <v>0</v>
      </c>
      <c r="BH30" s="22"/>
      <c r="BI30" s="22"/>
      <c r="BJ30" s="70" t="n">
        <f aca="false">BI30-BH30</f>
        <v>0</v>
      </c>
      <c r="BK30" s="22"/>
      <c r="BL30" s="22"/>
      <c r="BM30" s="70" t="n">
        <f aca="false">BL30-BK30</f>
        <v>0</v>
      </c>
      <c r="BN30" s="22"/>
      <c r="BO30" s="22"/>
      <c r="BP30" s="70" t="n">
        <f aca="false">BO30-BN30</f>
        <v>0</v>
      </c>
      <c r="BQ30" s="22"/>
      <c r="BR30" s="22"/>
      <c r="BS30" s="70" t="n">
        <f aca="false">BR30-BQ30</f>
        <v>0</v>
      </c>
      <c r="BT30" s="22"/>
      <c r="BU30" s="22"/>
      <c r="BV30" s="70" t="n">
        <f aca="false">BU30-BT30</f>
        <v>0</v>
      </c>
      <c r="BW30" s="22"/>
      <c r="BX30" s="22"/>
      <c r="BY30" s="70" t="n">
        <f aca="false">BX30-BW30</f>
        <v>0</v>
      </c>
      <c r="BZ30" s="22"/>
      <c r="CA30" s="22"/>
      <c r="CB30" s="70" t="n">
        <f aca="false">CA30-BZ30</f>
        <v>0</v>
      </c>
      <c r="CC30" s="22"/>
      <c r="CD30" s="22"/>
      <c r="CE30" s="70" t="n">
        <f aca="false">CD30-CC30</f>
        <v>0</v>
      </c>
      <c r="CF30" s="22"/>
      <c r="CG30" s="22"/>
      <c r="CH30" s="70" t="n">
        <f aca="false">CG30-CF30</f>
        <v>0</v>
      </c>
      <c r="CI30" s="22"/>
      <c r="CJ30" s="22"/>
      <c r="CK30" s="70" t="n">
        <f aca="false">CJ30-CI30</f>
        <v>0</v>
      </c>
      <c r="CL30" s="22"/>
      <c r="CM30" s="22"/>
      <c r="CN30" s="70" t="n">
        <f aca="false">CM30-CL30</f>
        <v>0</v>
      </c>
      <c r="CO30" s="22"/>
      <c r="CP30" s="22"/>
      <c r="CQ30" s="70" t="n">
        <f aca="false">CP30-CO30</f>
        <v>0</v>
      </c>
      <c r="CR30" s="22"/>
      <c r="CS30" s="22"/>
      <c r="CT30" s="70" t="n">
        <f aca="false">CS30-CR30</f>
        <v>0</v>
      </c>
      <c r="CU30" s="22"/>
      <c r="CV30" s="22"/>
      <c r="CW30" s="70" t="n">
        <f aca="false">CV30-CU30</f>
        <v>0</v>
      </c>
      <c r="CX30" s="22"/>
      <c r="CY30" s="22"/>
      <c r="CZ30" s="70" t="n">
        <f aca="false">CY30-CX30</f>
        <v>0</v>
      </c>
      <c r="DA30" s="22"/>
      <c r="DB30" s="22"/>
      <c r="DC30" s="70" t="n">
        <f aca="false">DB30-DA30</f>
        <v>0</v>
      </c>
      <c r="DD30" s="22"/>
      <c r="DE30" s="22"/>
      <c r="DF30" s="70" t="n">
        <f aca="false">DE30-DD30</f>
        <v>0</v>
      </c>
      <c r="DG30" s="22"/>
      <c r="DH30" s="22"/>
      <c r="DI30" s="70" t="n">
        <f aca="false">DH30-DG30</f>
        <v>0</v>
      </c>
      <c r="DJ30" s="22"/>
      <c r="DK30" s="22"/>
      <c r="DL30" s="70" t="n">
        <f aca="false">DK30-DJ30</f>
        <v>0</v>
      </c>
      <c r="DM30" s="22"/>
      <c r="DN30" s="22"/>
      <c r="DO30" s="70" t="n">
        <f aca="false">DN30-DM30</f>
        <v>0</v>
      </c>
      <c r="DP30" s="22"/>
      <c r="DQ30" s="22"/>
      <c r="DR30" s="70" t="n">
        <f aca="false">DQ30-DP30</f>
        <v>0</v>
      </c>
      <c r="DS30" s="70" t="n">
        <f aca="false">+C30+F30+I30+L30+O30+R30+U30+X30+AA30+AD30+AG30+AJ30+AM30+AP30+AS30+AV30+AY30+BB30+BE30+BH30+BK30+BN30+BQ30+BT30+BW30+BZ30+CC30+CF30+CI30+CL30+CO30+CR30+CU30+CX30+DA30+DD30+DG30+DJ30+DM30+DP30</f>
        <v>140815</v>
      </c>
      <c r="DT30" s="70" t="n">
        <f aca="false">+D30+G30+J30+M30+P30+S30+V30+Y30+AB30+AE30+AH30+AK30+AN30+AQ30+AT30+AW30+AZ30+BC30+BF30+BI30+BL30+BO30+BR30+BU30+BX30+CA30+CD30+CG30+CJ30+CM30+CP30+CS30+CV30+CY30+DB30+DE30+DH30+DK30+DN30+DQ30</f>
        <v>136815</v>
      </c>
      <c r="DU30" s="70" t="n">
        <f aca="false">DT30-DS30</f>
        <v>-4000</v>
      </c>
      <c r="DV30" s="75"/>
      <c r="DW30" s="74"/>
      <c r="DX30" s="74"/>
      <c r="DY30" s="75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</row>
    <row r="31" customFormat="false" ht="12.75" hidden="false" customHeight="false" outlineLevel="0" collapsed="false">
      <c r="A31" s="69" t="n">
        <f aca="false">+BaseloadMarkets!A31</f>
        <v>36703</v>
      </c>
      <c r="B31" s="69" t="str">
        <f aca="false">+BaseloadMarkets!B31</f>
        <v>Mon</v>
      </c>
      <c r="C31" s="22"/>
      <c r="D31" s="22"/>
      <c r="E31" s="70" t="n">
        <f aca="false">D31-C31</f>
        <v>0</v>
      </c>
      <c r="F31" s="22"/>
      <c r="G31" s="22"/>
      <c r="H31" s="70" t="n">
        <f aca="false">G31-F31</f>
        <v>0</v>
      </c>
      <c r="I31" s="22"/>
      <c r="J31" s="22"/>
      <c r="K31" s="70" t="n">
        <f aca="false">J31-I31</f>
        <v>0</v>
      </c>
      <c r="L31" s="22"/>
      <c r="M31" s="22"/>
      <c r="N31" s="70" t="n">
        <f aca="false">M31-L31</f>
        <v>0</v>
      </c>
      <c r="O31" s="22"/>
      <c r="P31" s="22"/>
      <c r="Q31" s="70" t="n">
        <f aca="false">P31-O31</f>
        <v>0</v>
      </c>
      <c r="R31" s="22"/>
      <c r="S31" s="22"/>
      <c r="T31" s="70" t="n">
        <f aca="false">S31-R31</f>
        <v>0</v>
      </c>
      <c r="U31" s="22"/>
      <c r="V31" s="22"/>
      <c r="W31" s="70" t="n">
        <f aca="false">V31-U31</f>
        <v>0</v>
      </c>
      <c r="X31" s="22"/>
      <c r="Y31" s="22"/>
      <c r="Z31" s="70" t="n">
        <f aca="false">Y31-X31</f>
        <v>0</v>
      </c>
      <c r="AA31" s="22"/>
      <c r="AB31" s="22"/>
      <c r="AC31" s="70" t="n">
        <f aca="false">AB31-AA31</f>
        <v>0</v>
      </c>
      <c r="AD31" s="22"/>
      <c r="AE31" s="22"/>
      <c r="AF31" s="70" t="n">
        <f aca="false">AE31-AD31</f>
        <v>0</v>
      </c>
      <c r="AG31" s="22" t="n">
        <v>50000</v>
      </c>
      <c r="AH31" s="22" t="n">
        <v>50000</v>
      </c>
      <c r="AI31" s="70" t="n">
        <f aca="false">AH31-AG31</f>
        <v>0</v>
      </c>
      <c r="AJ31" s="22"/>
      <c r="AK31" s="22"/>
      <c r="AL31" s="70" t="n">
        <f aca="false">AK31-AJ31</f>
        <v>0</v>
      </c>
      <c r="AM31" s="22" t="n">
        <f aca="false">15000+59000</f>
        <v>74000</v>
      </c>
      <c r="AN31" s="22" t="n">
        <f aca="false">74000-10000+5634</f>
        <v>69634</v>
      </c>
      <c r="AO31" s="70" t="n">
        <f aca="false">AN31-AM31</f>
        <v>-4366</v>
      </c>
      <c r="AP31" s="22"/>
      <c r="AQ31" s="22"/>
      <c r="AR31" s="70" t="n">
        <f aca="false">AQ31-AP31</f>
        <v>0</v>
      </c>
      <c r="AS31" s="22" t="n">
        <v>15000</v>
      </c>
      <c r="AT31" s="22" t="n">
        <v>15000</v>
      </c>
      <c r="AU31" s="70" t="n">
        <f aca="false">AT31-AS31</f>
        <v>0</v>
      </c>
      <c r="AV31" s="22" t="n">
        <v>1815</v>
      </c>
      <c r="AW31" s="22" t="n">
        <v>1815</v>
      </c>
      <c r="AX31" s="70" t="n">
        <f aca="false">AW31-AV31</f>
        <v>0</v>
      </c>
      <c r="AY31" s="22"/>
      <c r="AZ31" s="22"/>
      <c r="BA31" s="70" t="n">
        <f aca="false">AZ31-AY31</f>
        <v>0</v>
      </c>
      <c r="BB31" s="22"/>
      <c r="BC31" s="22"/>
      <c r="BD31" s="70" t="n">
        <f aca="false">BC31-BB31</f>
        <v>0</v>
      </c>
      <c r="BE31" s="22"/>
      <c r="BF31" s="22"/>
      <c r="BG31" s="70" t="n">
        <f aca="false">BF31-BE31</f>
        <v>0</v>
      </c>
      <c r="BH31" s="22"/>
      <c r="BI31" s="22"/>
      <c r="BJ31" s="70" t="n">
        <f aca="false">BI31-BH31</f>
        <v>0</v>
      </c>
      <c r="BK31" s="22"/>
      <c r="BL31" s="22"/>
      <c r="BM31" s="70" t="n">
        <f aca="false">BL31-BK31</f>
        <v>0</v>
      </c>
      <c r="BN31" s="22"/>
      <c r="BO31" s="22"/>
      <c r="BP31" s="70" t="n">
        <f aca="false">BO31-BN31</f>
        <v>0</v>
      </c>
      <c r="BQ31" s="22"/>
      <c r="BR31" s="22"/>
      <c r="BS31" s="70" t="n">
        <f aca="false">BR31-BQ31</f>
        <v>0</v>
      </c>
      <c r="BT31" s="22"/>
      <c r="BU31" s="22"/>
      <c r="BV31" s="70" t="n">
        <f aca="false">BU31-BT31</f>
        <v>0</v>
      </c>
      <c r="BW31" s="22"/>
      <c r="BX31" s="22"/>
      <c r="BY31" s="70" t="n">
        <f aca="false">BX31-BW31</f>
        <v>0</v>
      </c>
      <c r="BZ31" s="22"/>
      <c r="CA31" s="22"/>
      <c r="CB31" s="70" t="n">
        <f aca="false">CA31-BZ31</f>
        <v>0</v>
      </c>
      <c r="CC31" s="22"/>
      <c r="CD31" s="22"/>
      <c r="CE31" s="70" t="n">
        <f aca="false">CD31-CC31</f>
        <v>0</v>
      </c>
      <c r="CF31" s="22"/>
      <c r="CG31" s="22"/>
      <c r="CH31" s="70" t="n">
        <f aca="false">CG31-CF31</f>
        <v>0</v>
      </c>
      <c r="CI31" s="22"/>
      <c r="CJ31" s="22"/>
      <c r="CK31" s="70" t="n">
        <f aca="false">CJ31-CI31</f>
        <v>0</v>
      </c>
      <c r="CL31" s="22"/>
      <c r="CM31" s="22"/>
      <c r="CN31" s="70" t="n">
        <f aca="false">CM31-CL31</f>
        <v>0</v>
      </c>
      <c r="CO31" s="22"/>
      <c r="CP31" s="22"/>
      <c r="CQ31" s="70" t="n">
        <f aca="false">CP31-CO31</f>
        <v>0</v>
      </c>
      <c r="CR31" s="22"/>
      <c r="CS31" s="22"/>
      <c r="CT31" s="70" t="n">
        <f aca="false">CS31-CR31</f>
        <v>0</v>
      </c>
      <c r="CU31" s="22"/>
      <c r="CV31" s="22"/>
      <c r="CW31" s="70" t="n">
        <f aca="false">CV31-CU31</f>
        <v>0</v>
      </c>
      <c r="CX31" s="22"/>
      <c r="CY31" s="22"/>
      <c r="CZ31" s="70" t="n">
        <f aca="false">CY31-CX31</f>
        <v>0</v>
      </c>
      <c r="DA31" s="22"/>
      <c r="DB31" s="22"/>
      <c r="DC31" s="70" t="n">
        <f aca="false">DB31-DA31</f>
        <v>0</v>
      </c>
      <c r="DD31" s="22"/>
      <c r="DE31" s="22"/>
      <c r="DF31" s="70" t="n">
        <f aca="false">DE31-DD31</f>
        <v>0</v>
      </c>
      <c r="DG31" s="22"/>
      <c r="DH31" s="22"/>
      <c r="DI31" s="70" t="n">
        <f aca="false">DH31-DG31</f>
        <v>0</v>
      </c>
      <c r="DJ31" s="22"/>
      <c r="DK31" s="22"/>
      <c r="DL31" s="70" t="n">
        <f aca="false">DK31-DJ31</f>
        <v>0</v>
      </c>
      <c r="DM31" s="22"/>
      <c r="DN31" s="22"/>
      <c r="DO31" s="70" t="n">
        <f aca="false">DN31-DM31</f>
        <v>0</v>
      </c>
      <c r="DP31" s="22"/>
      <c r="DQ31" s="22"/>
      <c r="DR31" s="70" t="n">
        <f aca="false">DQ31-DP31</f>
        <v>0</v>
      </c>
      <c r="DS31" s="70" t="n">
        <f aca="false">+C31+F31+I31+L31+O31+R31+U31+X31+AA31+AD31+AG31+AJ31+AM31+AP31+AS31+AV31+AY31+BB31+BE31+BH31+BK31+BN31+BQ31+BT31+BW31+BZ31+CC31+CF31+CI31+CL31+CO31+CR31+CU31+CX31+DA31+DD31+DG31+DJ31+DM31+DP31</f>
        <v>140815</v>
      </c>
      <c r="DT31" s="70" t="n">
        <f aca="false">+D31+G31+J31+M31+P31+S31+V31+Y31+AB31+AE31+AH31+AK31+AN31+AQ31+AT31+AW31+AZ31+BC31+BF31+BI31+BL31+BO31+BR31+BU31+BX31+CA31+CD31+CG31+CJ31+CM31+CP31+CS31+CV31+CY31+DB31+DE31+DH31+DK31+DN31+DQ31</f>
        <v>136449</v>
      </c>
      <c r="DU31" s="70" t="n">
        <f aca="false">DT31-DS31</f>
        <v>-4366</v>
      </c>
      <c r="DV31" s="75"/>
      <c r="DW31" s="74"/>
      <c r="DX31" s="74"/>
      <c r="DY31" s="75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</row>
    <row r="32" customFormat="false" ht="12.75" hidden="false" customHeight="false" outlineLevel="0" collapsed="false">
      <c r="A32" s="69" t="n">
        <f aca="false">+BaseloadMarkets!A32</f>
        <v>36704</v>
      </c>
      <c r="B32" s="69" t="str">
        <f aca="false">+BaseloadMarkets!B32</f>
        <v>Tues</v>
      </c>
      <c r="C32" s="22"/>
      <c r="D32" s="22"/>
      <c r="E32" s="70" t="n">
        <f aca="false">D32-C32</f>
        <v>0</v>
      </c>
      <c r="F32" s="22"/>
      <c r="G32" s="22"/>
      <c r="H32" s="70" t="n">
        <f aca="false">G32-F32</f>
        <v>0</v>
      </c>
      <c r="I32" s="22"/>
      <c r="J32" s="22"/>
      <c r="K32" s="70" t="n">
        <f aca="false">J32-I32</f>
        <v>0</v>
      </c>
      <c r="L32" s="22"/>
      <c r="M32" s="22"/>
      <c r="N32" s="70" t="n">
        <f aca="false">M32-L32</f>
        <v>0</v>
      </c>
      <c r="O32" s="22"/>
      <c r="P32" s="22"/>
      <c r="Q32" s="70" t="n">
        <f aca="false">P32-O32</f>
        <v>0</v>
      </c>
      <c r="R32" s="22"/>
      <c r="S32" s="22"/>
      <c r="T32" s="70" t="n">
        <f aca="false">S32-R32</f>
        <v>0</v>
      </c>
      <c r="U32" s="22"/>
      <c r="V32" s="22"/>
      <c r="W32" s="70" t="n">
        <f aca="false">V32-U32</f>
        <v>0</v>
      </c>
      <c r="X32" s="22"/>
      <c r="Y32" s="22"/>
      <c r="Z32" s="70" t="n">
        <f aca="false">Y32-X32</f>
        <v>0</v>
      </c>
      <c r="AA32" s="22"/>
      <c r="AB32" s="22"/>
      <c r="AC32" s="70" t="n">
        <f aca="false">AB32-AA32</f>
        <v>0</v>
      </c>
      <c r="AD32" s="22"/>
      <c r="AE32" s="22"/>
      <c r="AF32" s="70" t="n">
        <f aca="false">AE32-AD32</f>
        <v>0</v>
      </c>
      <c r="AG32" s="22"/>
      <c r="AH32" s="22"/>
      <c r="AI32" s="70" t="n">
        <f aca="false">AH32-AG32</f>
        <v>0</v>
      </c>
      <c r="AJ32" s="22"/>
      <c r="AK32" s="22"/>
      <c r="AL32" s="70" t="n">
        <f aca="false">AK32-AJ32</f>
        <v>0</v>
      </c>
      <c r="AM32" s="22" t="n">
        <f aca="false">135000+50000+15000</f>
        <v>200000</v>
      </c>
      <c r="AN32" s="22" t="n">
        <f aca="false">200000-10000+5451+4549</f>
        <v>200000</v>
      </c>
      <c r="AO32" s="70" t="n">
        <f aca="false">AN32-AM32</f>
        <v>0</v>
      </c>
      <c r="AP32" s="22"/>
      <c r="AQ32" s="22"/>
      <c r="AR32" s="70" t="n">
        <f aca="false">AQ32-AP32</f>
        <v>0</v>
      </c>
      <c r="AS32" s="22" t="n">
        <v>15000</v>
      </c>
      <c r="AT32" s="22" t="n">
        <v>15000</v>
      </c>
      <c r="AU32" s="70" t="n">
        <f aca="false">AT32-AS32</f>
        <v>0</v>
      </c>
      <c r="AV32" s="22"/>
      <c r="AW32" s="22"/>
      <c r="AX32" s="70" t="n">
        <f aca="false">AW32-AV32</f>
        <v>0</v>
      </c>
      <c r="AY32" s="22"/>
      <c r="AZ32" s="22"/>
      <c r="BA32" s="70" t="n">
        <f aca="false">AZ32-AY32</f>
        <v>0</v>
      </c>
      <c r="BB32" s="22"/>
      <c r="BC32" s="22"/>
      <c r="BD32" s="70" t="n">
        <f aca="false">BC32-BB32</f>
        <v>0</v>
      </c>
      <c r="BE32" s="22"/>
      <c r="BF32" s="22"/>
      <c r="BG32" s="70" t="n">
        <f aca="false">BF32-BE32</f>
        <v>0</v>
      </c>
      <c r="BH32" s="22"/>
      <c r="BI32" s="22"/>
      <c r="BJ32" s="70" t="n">
        <f aca="false">BI32-BH32</f>
        <v>0</v>
      </c>
      <c r="BK32" s="22"/>
      <c r="BL32" s="22"/>
      <c r="BM32" s="70" t="n">
        <f aca="false">BL32-BK32</f>
        <v>0</v>
      </c>
      <c r="BN32" s="22"/>
      <c r="BO32" s="22"/>
      <c r="BP32" s="70" t="n">
        <f aca="false">BO32-BN32</f>
        <v>0</v>
      </c>
      <c r="BQ32" s="22"/>
      <c r="BR32" s="22"/>
      <c r="BS32" s="70" t="n">
        <f aca="false">BR32-BQ32</f>
        <v>0</v>
      </c>
      <c r="BT32" s="22"/>
      <c r="BU32" s="22"/>
      <c r="BV32" s="70" t="n">
        <f aca="false">BU32-BT32</f>
        <v>0</v>
      </c>
      <c r="BW32" s="22"/>
      <c r="BX32" s="22"/>
      <c r="BY32" s="70" t="n">
        <f aca="false">BX32-BW32</f>
        <v>0</v>
      </c>
      <c r="BZ32" s="22"/>
      <c r="CA32" s="22"/>
      <c r="CB32" s="70" t="n">
        <f aca="false">CA32-BZ32</f>
        <v>0</v>
      </c>
      <c r="CC32" s="22"/>
      <c r="CD32" s="22"/>
      <c r="CE32" s="70" t="n">
        <f aca="false">CD32-CC32</f>
        <v>0</v>
      </c>
      <c r="CF32" s="22"/>
      <c r="CG32" s="22"/>
      <c r="CH32" s="70" t="n">
        <f aca="false">CG32-CF32</f>
        <v>0</v>
      </c>
      <c r="CI32" s="22"/>
      <c r="CJ32" s="22"/>
      <c r="CK32" s="70" t="n">
        <f aca="false">CJ32-CI32</f>
        <v>0</v>
      </c>
      <c r="CL32" s="22"/>
      <c r="CM32" s="22"/>
      <c r="CN32" s="70" t="n">
        <f aca="false">CM32-CL32</f>
        <v>0</v>
      </c>
      <c r="CO32" s="22"/>
      <c r="CP32" s="22"/>
      <c r="CQ32" s="70" t="n">
        <f aca="false">CP32-CO32</f>
        <v>0</v>
      </c>
      <c r="CR32" s="22"/>
      <c r="CS32" s="22"/>
      <c r="CT32" s="70" t="n">
        <f aca="false">CS32-CR32</f>
        <v>0</v>
      </c>
      <c r="CU32" s="22"/>
      <c r="CV32" s="22"/>
      <c r="CW32" s="70" t="n">
        <f aca="false">CV32-CU32</f>
        <v>0</v>
      </c>
      <c r="CX32" s="22"/>
      <c r="CY32" s="22"/>
      <c r="CZ32" s="70" t="n">
        <f aca="false">CY32-CX32</f>
        <v>0</v>
      </c>
      <c r="DA32" s="22"/>
      <c r="DB32" s="22"/>
      <c r="DC32" s="70" t="n">
        <f aca="false">DB32-DA32</f>
        <v>0</v>
      </c>
      <c r="DD32" s="22"/>
      <c r="DE32" s="22"/>
      <c r="DF32" s="70" t="n">
        <f aca="false">DE32-DD32</f>
        <v>0</v>
      </c>
      <c r="DG32" s="22"/>
      <c r="DH32" s="22"/>
      <c r="DI32" s="70" t="n">
        <f aca="false">DH32-DG32</f>
        <v>0</v>
      </c>
      <c r="DJ32" s="22"/>
      <c r="DK32" s="22"/>
      <c r="DL32" s="70" t="n">
        <f aca="false">DK32-DJ32</f>
        <v>0</v>
      </c>
      <c r="DM32" s="22"/>
      <c r="DN32" s="22"/>
      <c r="DO32" s="70" t="n">
        <f aca="false">DN32-DM32</f>
        <v>0</v>
      </c>
      <c r="DP32" s="22"/>
      <c r="DQ32" s="22"/>
      <c r="DR32" s="70" t="n">
        <f aca="false">DQ32-DP32</f>
        <v>0</v>
      </c>
      <c r="DS32" s="70" t="n">
        <f aca="false">+C32+F32+I32+L32+O32+R32+U32+X32+AA32+AD32+AG32+AJ32+AM32+AP32+AS32+AV32+AY32+BB32+BE32+BH32+BK32+BN32+BQ32+BT32+BW32+BZ32+CC32+CF32+CI32+CL32+CO32+CR32+CU32+CX32+DA32+DD32+DG32+DJ32+DM32+DP32</f>
        <v>215000</v>
      </c>
      <c r="DT32" s="70" t="n">
        <f aca="false">+D32+G32+J32+M32+P32+S32+V32+Y32+AB32+AE32+AH32+AK32+AN32+AQ32+AT32+AW32+AZ32+BC32+BF32+BI32+BL32+BO32+BR32+BU32+BX32+CA32+CD32+CG32+CJ32+CM32+CP32+CS32+CV32+CY32+DB32+DE32+DH32+DK32+DN32+DQ32</f>
        <v>215000</v>
      </c>
      <c r="DU32" s="70" t="n">
        <f aca="false">DT32-DS32</f>
        <v>0</v>
      </c>
      <c r="DV32" s="75"/>
      <c r="DW32" s="74"/>
      <c r="DX32" s="74"/>
      <c r="DY32" s="75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</row>
    <row r="33" customFormat="false" ht="12.75" hidden="false" customHeight="false" outlineLevel="0" collapsed="false">
      <c r="A33" s="69" t="n">
        <f aca="false">+BaseloadMarkets!A33</f>
        <v>36705</v>
      </c>
      <c r="B33" s="69" t="str">
        <f aca="false">+BaseloadMarkets!B33</f>
        <v>Wed</v>
      </c>
      <c r="C33" s="22"/>
      <c r="D33" s="22"/>
      <c r="E33" s="70" t="n">
        <f aca="false">D33-C33</f>
        <v>0</v>
      </c>
      <c r="F33" s="22"/>
      <c r="G33" s="22"/>
      <c r="H33" s="70" t="n">
        <f aca="false">G33-F33</f>
        <v>0</v>
      </c>
      <c r="I33" s="22"/>
      <c r="J33" s="22"/>
      <c r="K33" s="70" t="n">
        <f aca="false">J33-I33</f>
        <v>0</v>
      </c>
      <c r="L33" s="22"/>
      <c r="M33" s="22"/>
      <c r="N33" s="70" t="n">
        <f aca="false">M33-L33</f>
        <v>0</v>
      </c>
      <c r="O33" s="22"/>
      <c r="P33" s="22"/>
      <c r="Q33" s="70" t="n">
        <f aca="false">P33-O33</f>
        <v>0</v>
      </c>
      <c r="R33" s="22"/>
      <c r="S33" s="22"/>
      <c r="T33" s="70" t="n">
        <f aca="false">S33-R33</f>
        <v>0</v>
      </c>
      <c r="U33" s="22"/>
      <c r="V33" s="22"/>
      <c r="W33" s="70" t="n">
        <f aca="false">V33-U33</f>
        <v>0</v>
      </c>
      <c r="X33" s="22"/>
      <c r="Y33" s="22"/>
      <c r="Z33" s="70" t="n">
        <f aca="false">Y33-X33</f>
        <v>0</v>
      </c>
      <c r="AA33" s="22"/>
      <c r="AB33" s="22"/>
      <c r="AC33" s="70" t="n">
        <f aca="false">AB33-AA33</f>
        <v>0</v>
      </c>
      <c r="AD33" s="22"/>
      <c r="AE33" s="22"/>
      <c r="AF33" s="70" t="n">
        <f aca="false">AE33-AD33</f>
        <v>0</v>
      </c>
      <c r="AG33" s="22"/>
      <c r="AH33" s="22"/>
      <c r="AI33" s="70" t="n">
        <f aca="false">AH33-AG33</f>
        <v>0</v>
      </c>
      <c r="AJ33" s="22"/>
      <c r="AK33" s="22"/>
      <c r="AL33" s="70" t="n">
        <f aca="false">AK33-AJ33</f>
        <v>0</v>
      </c>
      <c r="AM33" s="22" t="n">
        <f aca="false">19585+30000+50000</f>
        <v>99585</v>
      </c>
      <c r="AN33" s="22" t="n">
        <f aca="false">99585</f>
        <v>99585</v>
      </c>
      <c r="AO33" s="70" t="n">
        <f aca="false">AN33-AM33</f>
        <v>0</v>
      </c>
      <c r="AP33" s="22"/>
      <c r="AQ33" s="22"/>
      <c r="AR33" s="70" t="n">
        <f aca="false">AQ33-AP33</f>
        <v>0</v>
      </c>
      <c r="AS33" s="22" t="n">
        <v>15000</v>
      </c>
      <c r="AT33" s="22" t="n">
        <v>15000</v>
      </c>
      <c r="AU33" s="70" t="n">
        <f aca="false">AT33-AS33</f>
        <v>0</v>
      </c>
      <c r="AV33" s="22"/>
      <c r="AW33" s="22"/>
      <c r="AX33" s="70" t="n">
        <f aca="false">AW33-AV33</f>
        <v>0</v>
      </c>
      <c r="AY33" s="22"/>
      <c r="AZ33" s="22"/>
      <c r="BA33" s="70" t="n">
        <f aca="false">AZ33-AY33</f>
        <v>0</v>
      </c>
      <c r="BB33" s="22"/>
      <c r="BC33" s="22"/>
      <c r="BD33" s="70" t="n">
        <f aca="false">BC33-BB33</f>
        <v>0</v>
      </c>
      <c r="BE33" s="22"/>
      <c r="BF33" s="22"/>
      <c r="BG33" s="70" t="n">
        <f aca="false">BF33-BE33</f>
        <v>0</v>
      </c>
      <c r="BH33" s="22"/>
      <c r="BI33" s="22"/>
      <c r="BJ33" s="70" t="n">
        <f aca="false">BI33-BH33</f>
        <v>0</v>
      </c>
      <c r="BK33" s="22"/>
      <c r="BL33" s="22"/>
      <c r="BM33" s="70" t="n">
        <f aca="false">BL33-BK33</f>
        <v>0</v>
      </c>
      <c r="BN33" s="22"/>
      <c r="BO33" s="22"/>
      <c r="BP33" s="70" t="n">
        <f aca="false">BO33-BN33</f>
        <v>0</v>
      </c>
      <c r="BQ33" s="22"/>
      <c r="BR33" s="22"/>
      <c r="BS33" s="70" t="n">
        <f aca="false">BR33-BQ33</f>
        <v>0</v>
      </c>
      <c r="BT33" s="22"/>
      <c r="BU33" s="22"/>
      <c r="BV33" s="70" t="n">
        <f aca="false">BU33-BT33</f>
        <v>0</v>
      </c>
      <c r="BW33" s="22"/>
      <c r="BX33" s="22"/>
      <c r="BY33" s="70" t="n">
        <f aca="false">BX33-BW33</f>
        <v>0</v>
      </c>
      <c r="BZ33" s="22"/>
      <c r="CA33" s="22"/>
      <c r="CB33" s="70" t="n">
        <f aca="false">CA33-BZ33</f>
        <v>0</v>
      </c>
      <c r="CC33" s="22"/>
      <c r="CD33" s="22"/>
      <c r="CE33" s="70" t="n">
        <f aca="false">CD33-CC33</f>
        <v>0</v>
      </c>
      <c r="CF33" s="22"/>
      <c r="CG33" s="22"/>
      <c r="CH33" s="70" t="n">
        <f aca="false">CG33-CF33</f>
        <v>0</v>
      </c>
      <c r="CI33" s="22"/>
      <c r="CJ33" s="22"/>
      <c r="CK33" s="70" t="n">
        <f aca="false">CJ33-CI33</f>
        <v>0</v>
      </c>
      <c r="CL33" s="22"/>
      <c r="CM33" s="22"/>
      <c r="CN33" s="70" t="n">
        <f aca="false">CM33-CL33</f>
        <v>0</v>
      </c>
      <c r="CO33" s="22"/>
      <c r="CP33" s="22"/>
      <c r="CQ33" s="70" t="n">
        <f aca="false">CP33-CO33</f>
        <v>0</v>
      </c>
      <c r="CR33" s="22"/>
      <c r="CS33" s="22"/>
      <c r="CT33" s="70" t="n">
        <f aca="false">CS33-CR33</f>
        <v>0</v>
      </c>
      <c r="CU33" s="22"/>
      <c r="CV33" s="22"/>
      <c r="CW33" s="70" t="n">
        <f aca="false">CV33-CU33</f>
        <v>0</v>
      </c>
      <c r="CX33" s="22"/>
      <c r="CY33" s="22"/>
      <c r="CZ33" s="70" t="n">
        <f aca="false">CY33-CX33</f>
        <v>0</v>
      </c>
      <c r="DA33" s="22"/>
      <c r="DB33" s="22"/>
      <c r="DC33" s="70" t="n">
        <f aca="false">DB33-DA33</f>
        <v>0</v>
      </c>
      <c r="DD33" s="22"/>
      <c r="DE33" s="22"/>
      <c r="DF33" s="70" t="n">
        <f aca="false">DE33-DD33</f>
        <v>0</v>
      </c>
      <c r="DG33" s="22"/>
      <c r="DH33" s="22"/>
      <c r="DI33" s="70" t="n">
        <f aca="false">DH33-DG33</f>
        <v>0</v>
      </c>
      <c r="DJ33" s="22"/>
      <c r="DK33" s="22"/>
      <c r="DL33" s="70" t="n">
        <f aca="false">DK33-DJ33</f>
        <v>0</v>
      </c>
      <c r="DM33" s="22"/>
      <c r="DN33" s="22"/>
      <c r="DO33" s="70" t="n">
        <f aca="false">DN33-DM33</f>
        <v>0</v>
      </c>
      <c r="DP33" s="22"/>
      <c r="DQ33" s="22"/>
      <c r="DR33" s="70" t="n">
        <f aca="false">DQ33-DP33</f>
        <v>0</v>
      </c>
      <c r="DS33" s="70" t="n">
        <f aca="false">+C33+F33+I33+L33+O33+R33+U33+X33+AA33+AD33+AG33+AJ33+AM33+AP33+AS33+AV33+AY33+BB33+BE33+BH33+BK33+BN33+BQ33+BT33+BW33+BZ33+CC33+CF33+CI33+CL33+CO33+CR33+CU33+CX33+DA33+DD33+DG33+DJ33+DM33+DP33</f>
        <v>114585</v>
      </c>
      <c r="DT33" s="70" t="n">
        <f aca="false">+D33+G33+J33+M33+P33+S33+V33+Y33+AB33+AE33+AH33+AK33+AN33+AQ33+AT33+AW33+AZ33+BC33+BF33+BI33+BL33+BO33+BR33+BU33+BX33+CA33+CD33+CG33+CJ33+CM33+CP33+CS33+CV33+CY33+DB33+DE33+DH33+DK33+DN33+DQ33</f>
        <v>114585</v>
      </c>
      <c r="DU33" s="70" t="n">
        <f aca="false">DT33-DS33</f>
        <v>0</v>
      </c>
      <c r="DV33" s="75"/>
      <c r="DW33" s="74"/>
      <c r="DX33" s="74"/>
      <c r="DY33" s="75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</row>
    <row r="34" customFormat="false" ht="12.75" hidden="false" customHeight="false" outlineLevel="0" collapsed="false">
      <c r="A34" s="69" t="n">
        <f aca="false">+BaseloadMarkets!A34</f>
        <v>36706</v>
      </c>
      <c r="B34" s="69" t="str">
        <f aca="false">+BaseloadMarkets!B34</f>
        <v>Thu</v>
      </c>
      <c r="C34" s="22"/>
      <c r="D34" s="22"/>
      <c r="E34" s="70" t="n">
        <f aca="false">D34-C34</f>
        <v>0</v>
      </c>
      <c r="F34" s="22"/>
      <c r="G34" s="22"/>
      <c r="H34" s="70" t="n">
        <f aca="false">G34-F34</f>
        <v>0</v>
      </c>
      <c r="I34" s="22"/>
      <c r="J34" s="22"/>
      <c r="K34" s="70" t="n">
        <f aca="false">J34-I34</f>
        <v>0</v>
      </c>
      <c r="L34" s="22"/>
      <c r="M34" s="22"/>
      <c r="N34" s="70" t="n">
        <f aca="false">M34-L34</f>
        <v>0</v>
      </c>
      <c r="O34" s="22"/>
      <c r="P34" s="22"/>
      <c r="Q34" s="70" t="n">
        <f aca="false">P34-O34</f>
        <v>0</v>
      </c>
      <c r="R34" s="22"/>
      <c r="S34" s="22"/>
      <c r="T34" s="70" t="n">
        <f aca="false">S34-R34</f>
        <v>0</v>
      </c>
      <c r="U34" s="22"/>
      <c r="V34" s="22"/>
      <c r="W34" s="70" t="n">
        <f aca="false">V34-U34</f>
        <v>0</v>
      </c>
      <c r="X34" s="22"/>
      <c r="Y34" s="22"/>
      <c r="Z34" s="70" t="n">
        <f aca="false">Y34-X34</f>
        <v>0</v>
      </c>
      <c r="AA34" s="22"/>
      <c r="AB34" s="22"/>
      <c r="AC34" s="70" t="n">
        <f aca="false">AB34-AA34</f>
        <v>0</v>
      </c>
      <c r="AD34" s="22"/>
      <c r="AE34" s="22"/>
      <c r="AF34" s="70" t="n">
        <f aca="false">AE34-AD34</f>
        <v>0</v>
      </c>
      <c r="AG34" s="22" t="n">
        <v>100000</v>
      </c>
      <c r="AH34" s="22" t="n">
        <v>100000</v>
      </c>
      <c r="AI34" s="70" t="n">
        <f aca="false">AH34-AG34</f>
        <v>0</v>
      </c>
      <c r="AJ34" s="22"/>
      <c r="AK34" s="22"/>
      <c r="AL34" s="70" t="n">
        <f aca="false">AK34-AJ34</f>
        <v>0</v>
      </c>
      <c r="AM34" s="22" t="n">
        <f aca="false">50000+15000+12000+19000</f>
        <v>96000</v>
      </c>
      <c r="AN34" s="22" t="n">
        <v>96000</v>
      </c>
      <c r="AO34" s="70" t="n">
        <f aca="false">AN34-AM34</f>
        <v>0</v>
      </c>
      <c r="AP34" s="22"/>
      <c r="AQ34" s="22"/>
      <c r="AR34" s="70" t="n">
        <f aca="false">AQ34-AP34</f>
        <v>0</v>
      </c>
      <c r="AS34" s="22" t="n">
        <v>15000</v>
      </c>
      <c r="AT34" s="22" t="n">
        <v>15000</v>
      </c>
      <c r="AU34" s="70" t="n">
        <f aca="false">AT34-AS34</f>
        <v>0</v>
      </c>
      <c r="AV34" s="22"/>
      <c r="AW34" s="22"/>
      <c r="AX34" s="70" t="n">
        <f aca="false">AW34-AV34</f>
        <v>0</v>
      </c>
      <c r="AY34" s="22" t="n">
        <v>10000</v>
      </c>
      <c r="AZ34" s="22" t="n">
        <v>10000</v>
      </c>
      <c r="BA34" s="70" t="n">
        <f aca="false">AZ34-AY34</f>
        <v>0</v>
      </c>
      <c r="BB34" s="22"/>
      <c r="BC34" s="22"/>
      <c r="BD34" s="70" t="n">
        <f aca="false">BC34-BB34</f>
        <v>0</v>
      </c>
      <c r="BE34" s="22"/>
      <c r="BF34" s="22"/>
      <c r="BG34" s="70" t="n">
        <f aca="false">BF34-BE34</f>
        <v>0</v>
      </c>
      <c r="BH34" s="22"/>
      <c r="BI34" s="22"/>
      <c r="BJ34" s="70" t="n">
        <f aca="false">BI34-BH34</f>
        <v>0</v>
      </c>
      <c r="BK34" s="22"/>
      <c r="BL34" s="22"/>
      <c r="BM34" s="70" t="n">
        <f aca="false">BL34-BK34</f>
        <v>0</v>
      </c>
      <c r="BN34" s="22"/>
      <c r="BO34" s="22"/>
      <c r="BP34" s="70" t="n">
        <f aca="false">BO34-BN34</f>
        <v>0</v>
      </c>
      <c r="BQ34" s="22"/>
      <c r="BR34" s="22"/>
      <c r="BS34" s="70" t="n">
        <f aca="false">BR34-BQ34</f>
        <v>0</v>
      </c>
      <c r="BT34" s="22"/>
      <c r="BU34" s="22"/>
      <c r="BV34" s="70" t="n">
        <f aca="false">BU34-BT34</f>
        <v>0</v>
      </c>
      <c r="BW34" s="22"/>
      <c r="BX34" s="22"/>
      <c r="BY34" s="70" t="n">
        <f aca="false">BX34-BW34</f>
        <v>0</v>
      </c>
      <c r="BZ34" s="22"/>
      <c r="CA34" s="22"/>
      <c r="CB34" s="70" t="n">
        <f aca="false">CA34-BZ34</f>
        <v>0</v>
      </c>
      <c r="CC34" s="22"/>
      <c r="CD34" s="22"/>
      <c r="CE34" s="70" t="n">
        <f aca="false">CD34-CC34</f>
        <v>0</v>
      </c>
      <c r="CF34" s="22"/>
      <c r="CG34" s="22"/>
      <c r="CH34" s="70" t="n">
        <f aca="false">CG34-CF34</f>
        <v>0</v>
      </c>
      <c r="CI34" s="22"/>
      <c r="CJ34" s="22"/>
      <c r="CK34" s="70" t="n">
        <f aca="false">CJ34-CI34</f>
        <v>0</v>
      </c>
      <c r="CL34" s="22"/>
      <c r="CM34" s="22"/>
      <c r="CN34" s="70" t="n">
        <f aca="false">CM34-CL34</f>
        <v>0</v>
      </c>
      <c r="CO34" s="22"/>
      <c r="CP34" s="22"/>
      <c r="CQ34" s="70" t="n">
        <f aca="false">CP34-CO34</f>
        <v>0</v>
      </c>
      <c r="CR34" s="22"/>
      <c r="CS34" s="22"/>
      <c r="CT34" s="70" t="n">
        <f aca="false">CS34-CR34</f>
        <v>0</v>
      </c>
      <c r="CU34" s="22"/>
      <c r="CV34" s="22"/>
      <c r="CW34" s="70" t="n">
        <f aca="false">CV34-CU34</f>
        <v>0</v>
      </c>
      <c r="CX34" s="22"/>
      <c r="CY34" s="22"/>
      <c r="CZ34" s="70" t="n">
        <f aca="false">CY34-CX34</f>
        <v>0</v>
      </c>
      <c r="DA34" s="22"/>
      <c r="DB34" s="22"/>
      <c r="DC34" s="70" t="n">
        <f aca="false">DB34-DA34</f>
        <v>0</v>
      </c>
      <c r="DD34" s="22"/>
      <c r="DE34" s="22"/>
      <c r="DF34" s="70" t="n">
        <f aca="false">DE34-DD34</f>
        <v>0</v>
      </c>
      <c r="DG34" s="22"/>
      <c r="DH34" s="22"/>
      <c r="DI34" s="70" t="n">
        <f aca="false">DH34-DG34</f>
        <v>0</v>
      </c>
      <c r="DJ34" s="22"/>
      <c r="DK34" s="22"/>
      <c r="DL34" s="70" t="n">
        <f aca="false">DK34-DJ34</f>
        <v>0</v>
      </c>
      <c r="DM34" s="22"/>
      <c r="DN34" s="22"/>
      <c r="DO34" s="70" t="n">
        <f aca="false">DN34-DM34</f>
        <v>0</v>
      </c>
      <c r="DP34" s="22"/>
      <c r="DQ34" s="22"/>
      <c r="DR34" s="70" t="n">
        <f aca="false">DQ34-DP34</f>
        <v>0</v>
      </c>
      <c r="DS34" s="70" t="n">
        <f aca="false">+C34+F34+I34+L34+O34+R34+U34+X34+AA34+AD34+AG34+AJ34+AM34+AP34+AS34+AV34+AY34+BB34+BE34+BH34+BK34+BN34+BQ34+BT34+BW34+BZ34+CC34+CF34+CI34+CL34+CO34+CR34+CU34+CX34+DA34+DD34+DG34+DJ34+DM34+DP34</f>
        <v>221000</v>
      </c>
      <c r="DT34" s="70" t="n">
        <f aca="false">+D34+G34+J34+M34+P34+S34+V34+Y34+AB34+AE34+AH34+AK34+AN34+AQ34+AT34+AW34+AZ34+BC34+BF34+BI34+BL34+BO34+BR34+BU34+BX34+CA34+CD34+CG34+CJ34+CM34+CP34+CS34+CV34+CY34+DB34+DE34+DH34+DK34+DN34+DQ34</f>
        <v>221000</v>
      </c>
      <c r="DU34" s="70" t="n">
        <f aca="false">DT34-DS34</f>
        <v>0</v>
      </c>
      <c r="DV34" s="75"/>
      <c r="DW34" s="74"/>
      <c r="DX34" s="74"/>
      <c r="DY34" s="75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</row>
    <row r="35" customFormat="false" ht="12.75" hidden="false" customHeight="false" outlineLevel="0" collapsed="false">
      <c r="A35" s="69" t="n">
        <f aca="false">+BaseloadMarkets!A35</f>
        <v>36707</v>
      </c>
      <c r="B35" s="69" t="str">
        <f aca="false">+BaseloadMarkets!B35</f>
        <v>Fri</v>
      </c>
      <c r="C35" s="22"/>
      <c r="D35" s="22"/>
      <c r="E35" s="70" t="n">
        <f aca="false">D35-C35</f>
        <v>0</v>
      </c>
      <c r="F35" s="22"/>
      <c r="G35" s="22"/>
      <c r="H35" s="70" t="n">
        <f aca="false">G35-F35</f>
        <v>0</v>
      </c>
      <c r="I35" s="22"/>
      <c r="J35" s="22"/>
      <c r="K35" s="70" t="n">
        <f aca="false">J35-I35</f>
        <v>0</v>
      </c>
      <c r="L35" s="22"/>
      <c r="M35" s="22"/>
      <c r="N35" s="70" t="n">
        <f aca="false">M35-L35</f>
        <v>0</v>
      </c>
      <c r="O35" s="22"/>
      <c r="P35" s="22"/>
      <c r="Q35" s="70" t="n">
        <f aca="false">P35-O35</f>
        <v>0</v>
      </c>
      <c r="R35" s="22"/>
      <c r="S35" s="22"/>
      <c r="T35" s="70" t="n">
        <f aca="false">S35-R35</f>
        <v>0</v>
      </c>
      <c r="U35" s="22"/>
      <c r="V35" s="22"/>
      <c r="W35" s="70" t="n">
        <f aca="false">V35-U35</f>
        <v>0</v>
      </c>
      <c r="X35" s="22"/>
      <c r="Y35" s="22"/>
      <c r="Z35" s="70" t="n">
        <f aca="false">Y35-X35</f>
        <v>0</v>
      </c>
      <c r="AA35" s="22"/>
      <c r="AB35" s="22"/>
      <c r="AC35" s="70" t="n">
        <f aca="false">AB35-AA35</f>
        <v>0</v>
      </c>
      <c r="AD35" s="22"/>
      <c r="AE35" s="22"/>
      <c r="AF35" s="70" t="n">
        <f aca="false">AE35-AD35</f>
        <v>0</v>
      </c>
      <c r="AG35" s="22" t="n">
        <v>20000</v>
      </c>
      <c r="AH35" s="22" t="n">
        <v>20000</v>
      </c>
      <c r="AI35" s="70" t="n">
        <f aca="false">AH35-AG35</f>
        <v>0</v>
      </c>
      <c r="AJ35" s="22"/>
      <c r="AK35" s="22"/>
      <c r="AL35" s="70" t="n">
        <f aca="false">AK35-AJ35</f>
        <v>0</v>
      </c>
      <c r="AM35" s="22" t="n">
        <f aca="false">50000+15000+19000</f>
        <v>84000</v>
      </c>
      <c r="AN35" s="22" t="n">
        <f aca="false">47160+15000+19000</f>
        <v>81160</v>
      </c>
      <c r="AO35" s="70" t="n">
        <f aca="false">AN35-AM35</f>
        <v>-2840</v>
      </c>
      <c r="AP35" s="22"/>
      <c r="AQ35" s="22"/>
      <c r="AR35" s="70" t="n">
        <f aca="false">AQ35-AP35</f>
        <v>0</v>
      </c>
      <c r="AS35" s="22" t="n">
        <v>15000</v>
      </c>
      <c r="AT35" s="22" t="n">
        <v>15000</v>
      </c>
      <c r="AU35" s="70" t="n">
        <f aca="false">AT35-AS35</f>
        <v>0</v>
      </c>
      <c r="AV35" s="22"/>
      <c r="AW35" s="22"/>
      <c r="AX35" s="70" t="n">
        <f aca="false">AW35-AV35</f>
        <v>0</v>
      </c>
      <c r="AY35" s="22"/>
      <c r="AZ35" s="22"/>
      <c r="BA35" s="70" t="n">
        <f aca="false">AZ35-AY35</f>
        <v>0</v>
      </c>
      <c r="BB35" s="22"/>
      <c r="BC35" s="22"/>
      <c r="BD35" s="70" t="n">
        <f aca="false">BC35-BB35</f>
        <v>0</v>
      </c>
      <c r="BE35" s="22"/>
      <c r="BF35" s="22"/>
      <c r="BG35" s="70" t="n">
        <f aca="false">BF35-BE35</f>
        <v>0</v>
      </c>
      <c r="BH35" s="22"/>
      <c r="BI35" s="22"/>
      <c r="BJ35" s="70" t="n">
        <f aca="false">BI35-BH35</f>
        <v>0</v>
      </c>
      <c r="BK35" s="22"/>
      <c r="BL35" s="22"/>
      <c r="BM35" s="70" t="n">
        <f aca="false">BL35-BK35</f>
        <v>0</v>
      </c>
      <c r="BN35" s="22"/>
      <c r="BO35" s="22"/>
      <c r="BP35" s="70" t="n">
        <f aca="false">BO35-BN35</f>
        <v>0</v>
      </c>
      <c r="BQ35" s="22"/>
      <c r="BR35" s="22"/>
      <c r="BS35" s="70" t="n">
        <f aca="false">BR35-BQ35</f>
        <v>0</v>
      </c>
      <c r="BT35" s="22"/>
      <c r="BU35" s="22"/>
      <c r="BV35" s="70" t="n">
        <f aca="false">BU35-BT35</f>
        <v>0</v>
      </c>
      <c r="BW35" s="22"/>
      <c r="BX35" s="22"/>
      <c r="BY35" s="70" t="n">
        <f aca="false">BX35-BW35</f>
        <v>0</v>
      </c>
      <c r="BZ35" s="22"/>
      <c r="CA35" s="22"/>
      <c r="CB35" s="70" t="n">
        <f aca="false">CA35-BZ35</f>
        <v>0</v>
      </c>
      <c r="CC35" s="22"/>
      <c r="CD35" s="22"/>
      <c r="CE35" s="70" t="n">
        <f aca="false">CD35-CC35</f>
        <v>0</v>
      </c>
      <c r="CF35" s="22"/>
      <c r="CG35" s="22"/>
      <c r="CH35" s="70" t="n">
        <f aca="false">CG35-CF35</f>
        <v>0</v>
      </c>
      <c r="CI35" s="22"/>
      <c r="CJ35" s="22"/>
      <c r="CK35" s="70" t="n">
        <f aca="false">CJ35-CI35</f>
        <v>0</v>
      </c>
      <c r="CL35" s="22"/>
      <c r="CM35" s="22"/>
      <c r="CN35" s="70" t="n">
        <f aca="false">CM35-CL35</f>
        <v>0</v>
      </c>
      <c r="CO35" s="22"/>
      <c r="CP35" s="22"/>
      <c r="CQ35" s="70" t="n">
        <f aca="false">CP35-CO35</f>
        <v>0</v>
      </c>
      <c r="CR35" s="22"/>
      <c r="CS35" s="22"/>
      <c r="CT35" s="70" t="n">
        <f aca="false">CS35-CR35</f>
        <v>0</v>
      </c>
      <c r="CU35" s="22"/>
      <c r="CV35" s="22"/>
      <c r="CW35" s="70" t="n">
        <f aca="false">CV35-CU35</f>
        <v>0</v>
      </c>
      <c r="CX35" s="22"/>
      <c r="CY35" s="22"/>
      <c r="CZ35" s="70" t="n">
        <f aca="false">CY35-CX35</f>
        <v>0</v>
      </c>
      <c r="DA35" s="22"/>
      <c r="DB35" s="22"/>
      <c r="DC35" s="70" t="n">
        <f aca="false">DB35-DA35</f>
        <v>0</v>
      </c>
      <c r="DD35" s="22"/>
      <c r="DE35" s="22"/>
      <c r="DF35" s="70" t="n">
        <f aca="false">DE35-DD35</f>
        <v>0</v>
      </c>
      <c r="DG35" s="22"/>
      <c r="DH35" s="22"/>
      <c r="DI35" s="70" t="n">
        <f aca="false">DH35-DG35</f>
        <v>0</v>
      </c>
      <c r="DJ35" s="22"/>
      <c r="DK35" s="22"/>
      <c r="DL35" s="70" t="n">
        <f aca="false">DK35-DJ35</f>
        <v>0</v>
      </c>
      <c r="DM35" s="22"/>
      <c r="DN35" s="22"/>
      <c r="DO35" s="70" t="n">
        <f aca="false">DN35-DM35</f>
        <v>0</v>
      </c>
      <c r="DP35" s="22"/>
      <c r="DQ35" s="22"/>
      <c r="DR35" s="70" t="n">
        <f aca="false">DQ35-DP35</f>
        <v>0</v>
      </c>
      <c r="DS35" s="70" t="n">
        <f aca="false">+C35+F35+I35+L35+O35+R35+U35+X35+AA35+AD35+AG35+AJ35+AM35+AP35+AS35+AV35+AY35+BB35+BE35+BH35+BK35+BN35+BQ35+BT35+BW35+BZ35+CC35+CF35+CI35+CL35+CO35+CR35+CU35+CX35+DA35+DD35+DG35+DJ35+DM35+DP35</f>
        <v>119000</v>
      </c>
      <c r="DT35" s="70" t="n">
        <f aca="false">+D35+G35+J35+M35+P35+S35+V35+Y35+AB35+AE35+AH35+AK35+AN35+AQ35+AT35+AW35+AZ35+BC35+BF35+BI35+BL35+BO35+BR35+BU35+BX35+CA35+CD35+CG35+CJ35+CM35+CP35+CS35+CV35+CY35+DB35+DE35+DH35+DK35+DN35+DQ35</f>
        <v>116160</v>
      </c>
      <c r="DU35" s="70" t="n">
        <f aca="false">DT35-DS35</f>
        <v>-2840</v>
      </c>
      <c r="DV35" s="75"/>
      <c r="DW35" s="74"/>
      <c r="DX35" s="74"/>
      <c r="DY35" s="75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</row>
    <row r="36" customFormat="false" ht="12.75" hidden="false" customHeight="false" outlineLevel="0" collapsed="false">
      <c r="A36" s="69"/>
      <c r="B36" s="69"/>
      <c r="C36" s="22"/>
      <c r="D36" s="22"/>
      <c r="E36" s="70"/>
      <c r="F36" s="22"/>
      <c r="G36" s="22"/>
      <c r="H36" s="70"/>
      <c r="I36" s="22"/>
      <c r="J36" s="22"/>
      <c r="K36" s="70"/>
      <c r="L36" s="22"/>
      <c r="M36" s="22"/>
      <c r="N36" s="70"/>
      <c r="O36" s="22"/>
      <c r="P36" s="22"/>
      <c r="Q36" s="70"/>
      <c r="R36" s="22"/>
      <c r="S36" s="22"/>
      <c r="T36" s="70"/>
      <c r="U36" s="22"/>
      <c r="V36" s="22"/>
      <c r="W36" s="70"/>
      <c r="X36" s="22"/>
      <c r="Y36" s="22"/>
      <c r="Z36" s="70"/>
      <c r="AA36" s="22"/>
      <c r="AB36" s="22"/>
      <c r="AC36" s="70"/>
      <c r="AD36" s="22"/>
      <c r="AE36" s="22"/>
      <c r="AF36" s="70"/>
      <c r="AG36" s="22"/>
      <c r="AH36" s="22"/>
      <c r="AI36" s="70"/>
      <c r="AJ36" s="22"/>
      <c r="AK36" s="22"/>
      <c r="AL36" s="70"/>
      <c r="AM36" s="22"/>
      <c r="AN36" s="22"/>
      <c r="AO36" s="70"/>
      <c r="AP36" s="22"/>
      <c r="AQ36" s="22"/>
      <c r="AR36" s="70"/>
      <c r="AS36" s="22"/>
      <c r="AT36" s="22"/>
      <c r="AU36" s="70"/>
      <c r="AV36" s="22"/>
      <c r="AW36" s="22"/>
      <c r="AX36" s="70"/>
      <c r="AY36" s="22"/>
      <c r="AZ36" s="22"/>
      <c r="BA36" s="70"/>
      <c r="BB36" s="22"/>
      <c r="BC36" s="22"/>
      <c r="BD36" s="70"/>
      <c r="BE36" s="22"/>
      <c r="BF36" s="22"/>
      <c r="BG36" s="70"/>
      <c r="BH36" s="22"/>
      <c r="BI36" s="22"/>
      <c r="BJ36" s="70"/>
      <c r="BK36" s="22"/>
      <c r="BL36" s="22"/>
      <c r="BM36" s="70"/>
      <c r="BN36" s="22"/>
      <c r="BO36" s="22"/>
      <c r="BP36" s="70"/>
      <c r="BQ36" s="22"/>
      <c r="BR36" s="22"/>
      <c r="BS36" s="70"/>
      <c r="BT36" s="22"/>
      <c r="BU36" s="22"/>
      <c r="BV36" s="70"/>
      <c r="BW36" s="22"/>
      <c r="BX36" s="22"/>
      <c r="BY36" s="70"/>
      <c r="BZ36" s="22"/>
      <c r="CA36" s="22"/>
      <c r="CB36" s="70"/>
      <c r="CC36" s="22"/>
      <c r="CD36" s="22"/>
      <c r="CE36" s="70"/>
      <c r="CF36" s="22"/>
      <c r="CG36" s="22"/>
      <c r="CH36" s="70"/>
      <c r="CI36" s="22"/>
      <c r="CJ36" s="22"/>
      <c r="CK36" s="70"/>
      <c r="CL36" s="22"/>
      <c r="CM36" s="22"/>
      <c r="CN36" s="70"/>
      <c r="CO36" s="22"/>
      <c r="CP36" s="22"/>
      <c r="CQ36" s="70"/>
      <c r="CR36" s="22"/>
      <c r="CS36" s="22"/>
      <c r="CT36" s="70"/>
      <c r="CU36" s="22"/>
      <c r="CV36" s="22"/>
      <c r="CW36" s="70"/>
      <c r="CX36" s="22"/>
      <c r="CY36" s="22"/>
      <c r="CZ36" s="70"/>
      <c r="DA36" s="22"/>
      <c r="DB36" s="22"/>
      <c r="DC36" s="70"/>
      <c r="DD36" s="22"/>
      <c r="DE36" s="22"/>
      <c r="DF36" s="70"/>
      <c r="DG36" s="22"/>
      <c r="DH36" s="22"/>
      <c r="DI36" s="70"/>
      <c r="DJ36" s="22"/>
      <c r="DK36" s="22"/>
      <c r="DL36" s="70"/>
      <c r="DM36" s="22"/>
      <c r="DN36" s="22"/>
      <c r="DO36" s="70"/>
      <c r="DP36" s="22"/>
      <c r="DQ36" s="22"/>
      <c r="DR36" s="70"/>
      <c r="DS36" s="70"/>
      <c r="DT36" s="70"/>
      <c r="DU36" s="70"/>
      <c r="DV36" s="75"/>
      <c r="DW36" s="74"/>
      <c r="DX36" s="74"/>
      <c r="DY36" s="75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</row>
    <row r="37" customFormat="false" ht="12.75" hidden="false" customHeight="false" outlineLevel="0" collapsed="false">
      <c r="A37" s="76" t="s">
        <v>72</v>
      </c>
      <c r="C37" s="28" t="n">
        <f aca="false">SUM(C6:C36)</f>
        <v>4989</v>
      </c>
      <c r="D37" s="28" t="n">
        <f aca="false">SUM(D6:D36)</f>
        <v>4989</v>
      </c>
      <c r="E37" s="28" t="n">
        <f aca="false">SUM(E6:E36)</f>
        <v>0</v>
      </c>
      <c r="F37" s="28" t="n">
        <f aca="false">SUM(F6:F36)</f>
        <v>22000</v>
      </c>
      <c r="G37" s="28" t="n">
        <f aca="false">SUM(G6:G36)</f>
        <v>22000</v>
      </c>
      <c r="H37" s="28" t="n">
        <f aca="false">SUM(H6:H36)</f>
        <v>0</v>
      </c>
      <c r="I37" s="28" t="n">
        <f aca="false">SUM(I6:I36)</f>
        <v>120000</v>
      </c>
      <c r="J37" s="28" t="n">
        <f aca="false">SUM(J6:J36)</f>
        <v>120000</v>
      </c>
      <c r="K37" s="77" t="n">
        <f aca="false">SUM(K10:K36)</f>
        <v>0</v>
      </c>
      <c r="L37" s="28" t="n">
        <f aca="false">SUM(L6:L36)</f>
        <v>168000</v>
      </c>
      <c r="M37" s="28" t="n">
        <f aca="false">SUM(M6:M36)</f>
        <v>168000</v>
      </c>
      <c r="N37" s="77" t="n">
        <f aca="false">SUM(N6:N36)</f>
        <v>0</v>
      </c>
      <c r="O37" s="28" t="n">
        <f aca="false">SUM(O6:O36)</f>
        <v>10000</v>
      </c>
      <c r="P37" s="28" t="n">
        <f aca="false">SUM(P6:P36)</f>
        <v>10000</v>
      </c>
      <c r="Q37" s="77" t="n">
        <f aca="false">SUM(Q6:Q36)</f>
        <v>0</v>
      </c>
      <c r="R37" s="28" t="n">
        <f aca="false">SUM(R6:R36)</f>
        <v>8723</v>
      </c>
      <c r="S37" s="28" t="n">
        <f aca="false">SUM(S6:S36)</f>
        <v>8723</v>
      </c>
      <c r="T37" s="77" t="n">
        <f aca="false">SUM(T6:T36)</f>
        <v>0</v>
      </c>
      <c r="U37" s="28" t="n">
        <f aca="false">SUM(U6:U36)</f>
        <v>6000</v>
      </c>
      <c r="V37" s="28" t="n">
        <f aca="false">SUM(V6:V36)</f>
        <v>6000</v>
      </c>
      <c r="W37" s="77" t="n">
        <f aca="false">SUM(W6:W36)</f>
        <v>0</v>
      </c>
      <c r="X37" s="28" t="n">
        <f aca="false">SUM(X6:X36)</f>
        <v>20000</v>
      </c>
      <c r="Y37" s="28" t="n">
        <f aca="false">SUM(Y6:Y36)</f>
        <v>20000</v>
      </c>
      <c r="Z37" s="77" t="n">
        <f aca="false">SUM(Z6:Z36)</f>
        <v>0</v>
      </c>
      <c r="AA37" s="28" t="n">
        <f aca="false">SUM(AA6:AA36)</f>
        <v>14000</v>
      </c>
      <c r="AB37" s="28" t="n">
        <f aca="false">SUM(AB6:AB36)</f>
        <v>14000</v>
      </c>
      <c r="AC37" s="77" t="n">
        <f aca="false">SUM(AC6:AC36)</f>
        <v>0</v>
      </c>
      <c r="AD37" s="28" t="n">
        <f aca="false">SUM(AD6:AD36)</f>
        <v>647341</v>
      </c>
      <c r="AE37" s="28" t="n">
        <f aca="false">SUM(AE6:AE36)</f>
        <v>647341</v>
      </c>
      <c r="AF37" s="77" t="n">
        <f aca="false">SUM(AF6:AF36)</f>
        <v>0</v>
      </c>
      <c r="AG37" s="28" t="n">
        <f aca="false">SUM(AG6:AG36)</f>
        <v>708137</v>
      </c>
      <c r="AH37" s="28" t="n">
        <f aca="false">SUM(AH6:AH36)</f>
        <v>703957</v>
      </c>
      <c r="AI37" s="77" t="n">
        <f aca="false">SUM(AI6:AI36)</f>
        <v>-4180</v>
      </c>
      <c r="AJ37" s="28" t="n">
        <f aca="false">SUM(AJ6:AJ36)</f>
        <v>30000</v>
      </c>
      <c r="AK37" s="28" t="n">
        <f aca="false">SUM(AK6:AK36)</f>
        <v>30000</v>
      </c>
      <c r="AL37" s="77" t="n">
        <f aca="false">SUM(AL6:AL36)</f>
        <v>0</v>
      </c>
      <c r="AM37" s="28" t="n">
        <f aca="false">SUM(AM6:AM36)</f>
        <v>1368585</v>
      </c>
      <c r="AN37" s="28" t="n">
        <f aca="false">SUM(AN6:AN36)</f>
        <v>1341930</v>
      </c>
      <c r="AO37" s="77" t="n">
        <f aca="false">SUM(AO6:AO36)</f>
        <v>-26655</v>
      </c>
      <c r="AP37" s="28" t="n">
        <f aca="false">SUM(AP6:AP36)</f>
        <v>10000</v>
      </c>
      <c r="AQ37" s="28" t="n">
        <f aca="false">SUM(AQ6:AQ36)</f>
        <v>10000</v>
      </c>
      <c r="AR37" s="77" t="n">
        <f aca="false">SUM(AR6:AR36)</f>
        <v>0</v>
      </c>
      <c r="AS37" s="28" t="n">
        <f aca="false">SUM(AS6:AS36)</f>
        <v>125000</v>
      </c>
      <c r="AT37" s="28" t="n">
        <f aca="false">SUM(AT6:AT36)</f>
        <v>125000</v>
      </c>
      <c r="AU37" s="77" t="n">
        <f aca="false">SUM(AU6:AU36)</f>
        <v>0</v>
      </c>
      <c r="AV37" s="28" t="n">
        <f aca="false">SUM(AV6:AV36)</f>
        <v>15445</v>
      </c>
      <c r="AW37" s="28" t="n">
        <f aca="false">SUM(AW6:AW36)</f>
        <v>9998</v>
      </c>
      <c r="AX37" s="77" t="n">
        <f aca="false">SUM(AX6:AX36)</f>
        <v>-5447</v>
      </c>
      <c r="AY37" s="28" t="n">
        <f aca="false">SUM(AY6:AY36)</f>
        <v>10000</v>
      </c>
      <c r="AZ37" s="28" t="n">
        <f aca="false">SUM(AZ6:AZ36)</f>
        <v>10000</v>
      </c>
      <c r="BA37" s="77" t="n">
        <f aca="false">SUM(BA6:BA36)</f>
        <v>0</v>
      </c>
      <c r="BB37" s="28" t="n">
        <f aca="false">SUM(BB6:BB36)</f>
        <v>0</v>
      </c>
      <c r="BC37" s="28" t="n">
        <f aca="false">SUM(BC6:BC36)</f>
        <v>0</v>
      </c>
      <c r="BD37" s="77" t="n">
        <f aca="false">SUM(BD6:BD36)</f>
        <v>0</v>
      </c>
      <c r="BE37" s="28" t="n">
        <f aca="false">SUM(BE6:BE36)</f>
        <v>0</v>
      </c>
      <c r="BF37" s="28" t="n">
        <f aca="false">SUM(BF6:BF36)</f>
        <v>0</v>
      </c>
      <c r="BG37" s="28" t="n">
        <f aca="false">SUM(BG6:BG36)</f>
        <v>0</v>
      </c>
      <c r="BH37" s="28" t="n">
        <f aca="false">SUM(BH6:BH36)</f>
        <v>0</v>
      </c>
      <c r="BI37" s="28" t="n">
        <f aca="false">SUM(BI6:BI36)</f>
        <v>0</v>
      </c>
      <c r="BJ37" s="77" t="n">
        <f aca="false">SUM(BJ6:BJ36)</f>
        <v>0</v>
      </c>
      <c r="BK37" s="28" t="n">
        <f aca="false">SUM(BK6:BK36)</f>
        <v>0</v>
      </c>
      <c r="BL37" s="28" t="n">
        <f aca="false">SUM(BL6:BL36)</f>
        <v>0</v>
      </c>
      <c r="BM37" s="77" t="n">
        <f aca="false">SUM(BM6:BM36)</f>
        <v>0</v>
      </c>
      <c r="BN37" s="28" t="n">
        <f aca="false">SUM(BN6:BN36)</f>
        <v>0</v>
      </c>
      <c r="BO37" s="28" t="n">
        <f aca="false">SUM(BO6:BO36)</f>
        <v>0</v>
      </c>
      <c r="BP37" s="77" t="n">
        <f aca="false">SUM(BP6:BP36)</f>
        <v>0</v>
      </c>
      <c r="BQ37" s="28" t="n">
        <f aca="false">SUM(BQ6:BQ36)</f>
        <v>0</v>
      </c>
      <c r="BR37" s="28" t="n">
        <f aca="false">SUM(BR6:BR36)</f>
        <v>0</v>
      </c>
      <c r="BS37" s="77" t="n">
        <f aca="false">SUM(BS6:BS36)</f>
        <v>0</v>
      </c>
      <c r="BT37" s="28" t="n">
        <f aca="false">SUM(BT6:BT36)</f>
        <v>0</v>
      </c>
      <c r="BU37" s="28" t="n">
        <f aca="false">SUM(BU6:BU36)</f>
        <v>0</v>
      </c>
      <c r="BV37" s="77" t="n">
        <f aca="false">SUM(BV6:BV36)</f>
        <v>0</v>
      </c>
      <c r="BW37" s="28" t="n">
        <f aca="false">SUM(BW6:BW36)</f>
        <v>0</v>
      </c>
      <c r="BX37" s="28" t="n">
        <f aca="false">SUM(BX6:BX36)</f>
        <v>0</v>
      </c>
      <c r="BY37" s="77" t="n">
        <f aca="false">SUM(BY6:BY36)</f>
        <v>0</v>
      </c>
      <c r="BZ37" s="28" t="n">
        <f aca="false">SUM(BZ6:BZ36)</f>
        <v>0</v>
      </c>
      <c r="CA37" s="28" t="n">
        <f aca="false">SUM(CA6:CA36)</f>
        <v>0</v>
      </c>
      <c r="CB37" s="77" t="n">
        <f aca="false">SUM(CB6:CB36)</f>
        <v>0</v>
      </c>
      <c r="CC37" s="28" t="n">
        <f aca="false">SUM(CC6:CC36)</f>
        <v>0</v>
      </c>
      <c r="CD37" s="28" t="n">
        <f aca="false">SUM(CD6:CD36)</f>
        <v>0</v>
      </c>
      <c r="CE37" s="77" t="n">
        <f aca="false">SUM(CE6:CE36)</f>
        <v>0</v>
      </c>
      <c r="CF37" s="28" t="n">
        <f aca="false">SUM(CF6:CF36)</f>
        <v>0</v>
      </c>
      <c r="CG37" s="28" t="n">
        <f aca="false">SUM(CG6:CG36)</f>
        <v>0</v>
      </c>
      <c r="CH37" s="77" t="n">
        <f aca="false">SUM(CH6:CH36)</f>
        <v>0</v>
      </c>
      <c r="CI37" s="28" t="n">
        <f aca="false">SUM(CI6:CI36)</f>
        <v>0</v>
      </c>
      <c r="CJ37" s="28" t="n">
        <f aca="false">SUM(CJ6:CJ36)</f>
        <v>0</v>
      </c>
      <c r="CK37" s="77" t="n">
        <f aca="false">SUM(CK6:CK36)</f>
        <v>0</v>
      </c>
      <c r="CL37" s="28" t="n">
        <f aca="false">SUM(CL6:CL36)</f>
        <v>0</v>
      </c>
      <c r="CM37" s="28" t="n">
        <f aca="false">SUM(CM6:CM36)</f>
        <v>0</v>
      </c>
      <c r="CN37" s="77" t="n">
        <f aca="false">SUM(CN6:CN36)</f>
        <v>0</v>
      </c>
      <c r="CO37" s="28" t="n">
        <f aca="false">SUM(CO6:CO36)</f>
        <v>0</v>
      </c>
      <c r="CP37" s="28" t="n">
        <f aca="false">SUM(CP6:CP36)</f>
        <v>0</v>
      </c>
      <c r="CQ37" s="77" t="n">
        <f aca="false">SUM(CQ6:CQ36)</f>
        <v>0</v>
      </c>
      <c r="CR37" s="28" t="n">
        <f aca="false">SUM(CR6:CR36)</f>
        <v>0</v>
      </c>
      <c r="CS37" s="28" t="n">
        <f aca="false">SUM(CS6:CS36)</f>
        <v>0</v>
      </c>
      <c r="CT37" s="77" t="n">
        <f aca="false">SUM(CT6:CT36)</f>
        <v>0</v>
      </c>
      <c r="CU37" s="28" t="n">
        <f aca="false">SUM(CU6:CU36)</f>
        <v>0</v>
      </c>
      <c r="CV37" s="28" t="n">
        <f aca="false">SUM(CV6:CV36)</f>
        <v>0</v>
      </c>
      <c r="CW37" s="77" t="n">
        <f aca="false">SUM(CW6:CW36)</f>
        <v>0</v>
      </c>
      <c r="CX37" s="28" t="n">
        <f aca="false">SUM(CX6:CX36)</f>
        <v>0</v>
      </c>
      <c r="CY37" s="28" t="n">
        <f aca="false">SUM(CY6:CY36)</f>
        <v>0</v>
      </c>
      <c r="CZ37" s="77" t="n">
        <f aca="false">SUM(CZ6:CZ36)</f>
        <v>0</v>
      </c>
      <c r="DA37" s="28" t="n">
        <f aca="false">SUM(DA6:DA36)</f>
        <v>0</v>
      </c>
      <c r="DB37" s="28" t="n">
        <f aca="false">SUM(DB6:DB36)</f>
        <v>0</v>
      </c>
      <c r="DC37" s="77" t="n">
        <f aca="false">SUM(DC6:DC36)</f>
        <v>0</v>
      </c>
      <c r="DD37" s="28" t="n">
        <f aca="false">SUM(DD6:DD36)</f>
        <v>0</v>
      </c>
      <c r="DE37" s="28" t="n">
        <f aca="false">SUM(DE6:DE36)</f>
        <v>0</v>
      </c>
      <c r="DF37" s="77" t="n">
        <f aca="false">SUM(DF6:DF36)</f>
        <v>0</v>
      </c>
      <c r="DG37" s="28" t="n">
        <f aca="false">SUM(DG6:DG36)</f>
        <v>0</v>
      </c>
      <c r="DH37" s="28" t="n">
        <f aca="false">SUM(DH6:DH36)</f>
        <v>0</v>
      </c>
      <c r="DI37" s="77" t="n">
        <f aca="false">SUM(DI6:DI36)</f>
        <v>0</v>
      </c>
      <c r="DJ37" s="28" t="n">
        <f aca="false">SUM(DJ6:DJ36)</f>
        <v>0</v>
      </c>
      <c r="DK37" s="28" t="n">
        <f aca="false">SUM(DK6:DK36)</f>
        <v>0</v>
      </c>
      <c r="DL37" s="77" t="n">
        <f aca="false">SUM(DL6:DL36)</f>
        <v>0</v>
      </c>
      <c r="DM37" s="28" t="n">
        <f aca="false">SUM(DM6:DM36)</f>
        <v>0</v>
      </c>
      <c r="DN37" s="28" t="n">
        <f aca="false">SUM(DN6:DN36)</f>
        <v>0</v>
      </c>
      <c r="DO37" s="77" t="n">
        <f aca="false">SUM(DO6:DO36)</f>
        <v>0</v>
      </c>
      <c r="DP37" s="28" t="n">
        <f aca="false">SUM(DP6:DP36)</f>
        <v>0</v>
      </c>
      <c r="DQ37" s="28" t="n">
        <f aca="false">SUM(DQ6:DQ36)</f>
        <v>0</v>
      </c>
      <c r="DR37" s="77" t="n">
        <f aca="false">SUM(DR6:DR36)</f>
        <v>0</v>
      </c>
      <c r="DS37" s="78" t="n">
        <f aca="false">SUM(DS6:DS36)</f>
        <v>3288220</v>
      </c>
      <c r="DT37" s="77" t="n">
        <f aca="false">SUM(DT6:DT36)</f>
        <v>3251938</v>
      </c>
      <c r="DU37" s="77" t="n">
        <f aca="false">SUM(DU6:DU36)</f>
        <v>-36282</v>
      </c>
      <c r="DV37" s="28"/>
      <c r="DW37" s="28"/>
      <c r="DX37" s="28"/>
      <c r="DY37" s="79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80"/>
      <c r="EM37" s="80"/>
      <c r="EN37" s="80"/>
      <c r="EO37" s="80"/>
      <c r="EP37" s="80"/>
      <c r="EQ37" s="80"/>
      <c r="ER37" s="80"/>
      <c r="ES37" s="80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2"/>
      <c r="FQ37" s="82"/>
      <c r="FR37" s="82"/>
      <c r="FS37" s="82"/>
      <c r="FT37" s="82"/>
      <c r="FU37" s="82"/>
      <c r="FV37" s="82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40"/>
      <c r="AD38" s="31"/>
      <c r="AE38" s="31"/>
      <c r="AF38" s="40"/>
      <c r="AG38" s="31"/>
      <c r="AH38" s="31"/>
      <c r="AI38" s="40"/>
      <c r="AJ38" s="31"/>
      <c r="AK38" s="31"/>
      <c r="AL38" s="40"/>
      <c r="AM38" s="31"/>
      <c r="AN38" s="31"/>
      <c r="AO38" s="40"/>
      <c r="AP38" s="31"/>
      <c r="AQ38" s="31"/>
      <c r="AR38" s="40"/>
      <c r="AS38" s="31"/>
      <c r="AT38" s="31"/>
      <c r="AU38" s="40"/>
      <c r="AV38" s="31"/>
      <c r="AW38" s="31"/>
      <c r="AX38" s="31"/>
      <c r="AY38" s="31"/>
      <c r="AZ38" s="31"/>
      <c r="BA38" s="40"/>
      <c r="BB38" s="31"/>
      <c r="BC38" s="31"/>
      <c r="BD38" s="40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40"/>
      <c r="BZ38" s="31"/>
      <c r="CA38" s="31"/>
      <c r="CB38" s="40"/>
      <c r="CC38" s="31"/>
      <c r="CD38" s="31"/>
      <c r="CE38" s="40"/>
      <c r="CF38" s="31"/>
      <c r="CG38" s="31"/>
      <c r="CH38" s="40"/>
      <c r="CI38" s="31"/>
      <c r="CJ38" s="31"/>
      <c r="CK38" s="40"/>
      <c r="CL38" s="31"/>
      <c r="CM38" s="31"/>
      <c r="CN38" s="40"/>
      <c r="CO38" s="31"/>
      <c r="CP38" s="31"/>
      <c r="CQ38" s="40"/>
      <c r="CR38" s="31"/>
      <c r="CS38" s="31"/>
      <c r="CT38" s="40"/>
      <c r="CU38" s="31"/>
      <c r="CV38" s="31"/>
      <c r="CW38" s="40"/>
      <c r="CX38" s="31"/>
      <c r="CY38" s="31"/>
      <c r="CZ38" s="40"/>
      <c r="DA38" s="31"/>
      <c r="DB38" s="31"/>
      <c r="DC38" s="40"/>
      <c r="DD38" s="31"/>
      <c r="DE38" s="31"/>
      <c r="DF38" s="40"/>
      <c r="DG38" s="31"/>
      <c r="DH38" s="31"/>
      <c r="DI38" s="31"/>
      <c r="DJ38" s="31"/>
      <c r="DK38" s="31"/>
      <c r="DL38" s="40"/>
      <c r="DM38" s="31"/>
      <c r="DN38" s="31"/>
      <c r="DO38" s="40"/>
      <c r="DP38" s="31"/>
      <c r="DQ38" s="31"/>
      <c r="DR38" s="40"/>
      <c r="DS38" s="40"/>
      <c r="DT38" s="31"/>
      <c r="DU38" s="31"/>
      <c r="DV38" s="31"/>
      <c r="DW38" s="31"/>
      <c r="DX38" s="31"/>
      <c r="DY38" s="85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86"/>
      <c r="EM38" s="86"/>
      <c r="EN38" s="86"/>
      <c r="EO38" s="86"/>
      <c r="EP38" s="86"/>
      <c r="EQ38" s="86"/>
      <c r="ER38" s="86"/>
      <c r="ES38" s="86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8"/>
      <c r="FQ38" s="88"/>
      <c r="FR38" s="88"/>
      <c r="FS38" s="88"/>
      <c r="FT38" s="88"/>
      <c r="FU38" s="88"/>
      <c r="FV38" s="88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42"/>
      <c r="C39" s="37"/>
      <c r="F39" s="37"/>
      <c r="I39" s="37"/>
      <c r="L39" s="37"/>
      <c r="O39" s="37"/>
      <c r="R39" s="37"/>
      <c r="U39" s="37"/>
      <c r="X39" s="37"/>
      <c r="AA39" s="37"/>
      <c r="AD39" s="37"/>
      <c r="AG39" s="37"/>
      <c r="AJ39" s="37"/>
      <c r="AM39" s="37"/>
      <c r="AP39" s="37"/>
      <c r="AS39" s="37"/>
      <c r="AV39" s="37"/>
      <c r="AY39" s="37"/>
      <c r="BB39" s="37"/>
      <c r="BE39" s="37"/>
      <c r="BH39" s="37"/>
      <c r="BK39" s="37"/>
      <c r="BN39" s="37"/>
      <c r="BQ39" s="37"/>
      <c r="BT39" s="37"/>
      <c r="BW39" s="37"/>
      <c r="BZ39" s="37"/>
      <c r="CC39" s="37"/>
      <c r="CF39" s="37"/>
      <c r="CI39" s="37"/>
      <c r="CL39" s="37"/>
      <c r="CO39" s="37"/>
      <c r="CR39" s="37"/>
      <c r="CU39" s="37"/>
      <c r="CX39" s="37"/>
      <c r="DA39" s="37"/>
      <c r="DD39" s="37"/>
      <c r="DG39" s="37"/>
      <c r="DJ39" s="37"/>
      <c r="DM39" s="37"/>
      <c r="DP39" s="37"/>
      <c r="DS39" s="40"/>
    </row>
    <row r="40" customFormat="false" ht="12.75" hidden="false" customHeight="false" outlineLevel="0" collapsed="false">
      <c r="A40" s="42"/>
      <c r="C40" s="37"/>
      <c r="F40" s="37"/>
      <c r="I40" s="37"/>
      <c r="L40" s="37"/>
      <c r="O40" s="37"/>
      <c r="R40" s="37"/>
      <c r="U40" s="37"/>
      <c r="X40" s="37"/>
      <c r="AA40" s="37"/>
      <c r="AD40" s="37"/>
      <c r="AG40" s="37"/>
      <c r="AJ40" s="37"/>
      <c r="AM40" s="37"/>
      <c r="AP40" s="37"/>
      <c r="AS40" s="37"/>
      <c r="AV40" s="37"/>
      <c r="AY40" s="37"/>
      <c r="BB40" s="37"/>
      <c r="BE40" s="37"/>
      <c r="BH40" s="37"/>
      <c r="BK40" s="37"/>
      <c r="BN40" s="37"/>
      <c r="BQ40" s="37"/>
      <c r="BT40" s="37"/>
      <c r="BW40" s="37"/>
      <c r="BZ40" s="37"/>
      <c r="CC40" s="37"/>
      <c r="CF40" s="37"/>
      <c r="CI40" s="37"/>
      <c r="CL40" s="37"/>
      <c r="CO40" s="37"/>
      <c r="CR40" s="37"/>
      <c r="CU40" s="37"/>
      <c r="CX40" s="37"/>
      <c r="DA40" s="37"/>
      <c r="DD40" s="37"/>
      <c r="DG40" s="37"/>
      <c r="DJ40" s="37"/>
      <c r="DM40" s="37"/>
      <c r="DP40" s="37"/>
      <c r="DS40" s="40"/>
    </row>
    <row r="41" customFormat="false" ht="12.75" hidden="false" customHeight="false" outlineLevel="0" collapsed="false">
      <c r="A41" s="42"/>
      <c r="C41" s="37"/>
      <c r="F41" s="37"/>
      <c r="I41" s="37"/>
      <c r="L41" s="37"/>
      <c r="O41" s="37"/>
      <c r="R41" s="37"/>
      <c r="U41" s="37"/>
      <c r="X41" s="37"/>
      <c r="AA41" s="37"/>
      <c r="AD41" s="37"/>
      <c r="AG41" s="37"/>
      <c r="AJ41" s="37"/>
      <c r="AM41" s="37"/>
      <c r="AP41" s="37"/>
      <c r="AS41" s="37"/>
      <c r="AV41" s="37"/>
      <c r="AY41" s="37"/>
      <c r="BB41" s="37"/>
      <c r="BE41" s="37"/>
      <c r="BH41" s="37"/>
      <c r="BK41" s="37"/>
      <c r="BN41" s="37"/>
      <c r="BQ41" s="37"/>
      <c r="BT41" s="37"/>
      <c r="BW41" s="37"/>
      <c r="BZ41" s="37"/>
      <c r="CC41" s="37"/>
      <c r="CF41" s="37"/>
      <c r="CI41" s="37"/>
      <c r="CL41" s="37"/>
      <c r="CO41" s="37"/>
      <c r="CR41" s="37"/>
      <c r="CU41" s="37"/>
      <c r="CX41" s="37"/>
      <c r="DA41" s="37"/>
      <c r="DD41" s="37"/>
      <c r="DG41" s="37"/>
      <c r="DJ41" s="37"/>
      <c r="DM41" s="37"/>
      <c r="DP41" s="37"/>
    </row>
    <row r="42" customFormat="false" ht="12.75" hidden="false" customHeight="false" outlineLevel="0" collapsed="false">
      <c r="A42" s="42"/>
      <c r="C42" s="37"/>
      <c r="F42" s="37"/>
      <c r="I42" s="37"/>
      <c r="L42" s="37"/>
      <c r="O42" s="37"/>
      <c r="R42" s="37"/>
      <c r="U42" s="37"/>
      <c r="X42" s="37"/>
      <c r="AA42" s="37"/>
      <c r="AD42" s="37"/>
      <c r="AG42" s="37"/>
      <c r="AJ42" s="37"/>
      <c r="AM42" s="37"/>
      <c r="AP42" s="37"/>
      <c r="AS42" s="37"/>
      <c r="AV42" s="37"/>
      <c r="AY42" s="37"/>
      <c r="BB42" s="37"/>
      <c r="BE42" s="37"/>
      <c r="BH42" s="37"/>
      <c r="BK42" s="37"/>
      <c r="BN42" s="37"/>
      <c r="BQ42" s="37"/>
      <c r="BT42" s="37"/>
      <c r="BW42" s="37"/>
      <c r="BZ42" s="37"/>
      <c r="CC42" s="37"/>
      <c r="CF42" s="37"/>
      <c r="CI42" s="37"/>
      <c r="CL42" s="37"/>
      <c r="CO42" s="37"/>
      <c r="CR42" s="37"/>
      <c r="CU42" s="37"/>
      <c r="CX42" s="37"/>
      <c r="DA42" s="37"/>
      <c r="DD42" s="37"/>
      <c r="DG42" s="37"/>
      <c r="DJ42" s="37"/>
      <c r="DM42" s="37"/>
      <c r="DP42" s="37"/>
    </row>
    <row r="43" customFormat="false" ht="12.75" hidden="false" customHeight="false" outlineLevel="0" collapsed="false">
      <c r="A43" s="42"/>
      <c r="C43" s="37"/>
      <c r="F43" s="37"/>
      <c r="I43" s="37"/>
      <c r="L43" s="37"/>
      <c r="O43" s="37"/>
      <c r="R43" s="37"/>
      <c r="U43" s="37"/>
      <c r="X43" s="37"/>
      <c r="AA43" s="37"/>
      <c r="AD43" s="37"/>
      <c r="AG43" s="37"/>
      <c r="AJ43" s="37"/>
      <c r="AM43" s="37"/>
      <c r="AP43" s="37"/>
      <c r="AS43" s="37"/>
      <c r="AV43" s="37"/>
      <c r="AY43" s="37"/>
      <c r="BB43" s="37"/>
      <c r="BE43" s="37"/>
      <c r="BH43" s="37"/>
      <c r="BK43" s="37"/>
      <c r="BN43" s="37"/>
      <c r="BQ43" s="37"/>
      <c r="BT43" s="37"/>
      <c r="BW43" s="37"/>
      <c r="BZ43" s="37"/>
      <c r="CC43" s="37"/>
      <c r="CF43" s="37"/>
      <c r="CI43" s="37"/>
      <c r="CL43" s="37"/>
      <c r="CO43" s="37"/>
      <c r="CR43" s="37"/>
      <c r="CU43" s="37"/>
      <c r="CX43" s="37"/>
      <c r="DA43" s="37"/>
      <c r="DD43" s="37"/>
      <c r="DG43" s="37"/>
      <c r="DJ43" s="37"/>
      <c r="DM43" s="37"/>
      <c r="DP43" s="37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2"/>
    </row>
    <row r="46" customFormat="false" ht="12.75" hidden="false" customHeight="false" outlineLevel="0" collapsed="false">
      <c r="A46" s="42"/>
    </row>
    <row r="47" customFormat="false" ht="12.75" hidden="false" customHeight="false" outlineLevel="0" collapsed="false">
      <c r="A47" s="42"/>
    </row>
    <row r="48" customFormat="false" ht="12.75" hidden="false" customHeight="false" outlineLevel="0" collapsed="false">
      <c r="A48" s="42"/>
    </row>
    <row r="49" customFormat="false" ht="12.75" hidden="false" customHeight="false" outlineLevel="0" collapsed="false">
      <c r="A49" s="42"/>
    </row>
    <row r="50" customFormat="false" ht="12.75" hidden="false" customHeight="false" outlineLevel="0" collapsed="false">
      <c r="A50" s="42"/>
    </row>
    <row r="51" customFormat="false" ht="12.75" hidden="false" customHeight="false" outlineLevel="0" collapsed="false">
      <c r="A51" s="42"/>
    </row>
    <row r="52" customFormat="false" ht="12.75" hidden="false" customHeight="false" outlineLevel="0" collapsed="false">
      <c r="A52" s="42"/>
    </row>
    <row r="53" customFormat="false" ht="12.75" hidden="false" customHeight="false" outlineLevel="0" collapsed="false">
      <c r="A53" s="42"/>
    </row>
    <row r="54" customFormat="false" ht="12.75" hidden="false" customHeight="false" outlineLevel="0" collapsed="false">
      <c r="A54" s="42"/>
    </row>
    <row r="55" customFormat="false" ht="12.75" hidden="false" customHeight="false" outlineLevel="0" collapsed="false">
      <c r="A55" s="42"/>
    </row>
    <row r="56" customFormat="false" ht="12.75" hidden="false" customHeight="false" outlineLevel="0" collapsed="false">
      <c r="A56" s="42"/>
    </row>
    <row r="57" customFormat="false" ht="12.75" hidden="false" customHeight="false" outlineLevel="0" collapsed="false">
      <c r="A57" s="42"/>
    </row>
    <row r="58" customFormat="false" ht="12.75" hidden="false" customHeight="false" outlineLevel="0" collapsed="false">
      <c r="A58" s="42"/>
    </row>
    <row r="59" customFormat="false" ht="12.75" hidden="false" customHeight="false" outlineLevel="0" collapsed="false">
      <c r="A59" s="42"/>
    </row>
    <row r="60" customFormat="false" ht="12.75" hidden="false" customHeight="false" outlineLevel="0" collapsed="false">
      <c r="A60" s="42"/>
    </row>
    <row r="61" customFormat="false" ht="12.75" hidden="false" customHeight="false" outlineLevel="0" collapsed="false">
      <c r="A61" s="42"/>
    </row>
    <row r="62" customFormat="false" ht="12.75" hidden="false" customHeight="false" outlineLevel="0" collapsed="false">
      <c r="A62" s="42"/>
    </row>
    <row r="63" customFormat="false" ht="12.75" hidden="false" customHeight="false" outlineLevel="0" collapsed="false">
      <c r="A63" s="42"/>
    </row>
    <row r="64" customFormat="false" ht="12.75" hidden="false" customHeight="false" outlineLevel="0" collapsed="false">
      <c r="A64" s="42"/>
    </row>
    <row r="65" customFormat="false" ht="12.75" hidden="false" customHeight="false" outlineLevel="0" collapsed="false">
      <c r="A65" s="42"/>
    </row>
    <row r="66" customFormat="false" ht="12.75" hidden="false" customHeight="false" outlineLevel="0" collapsed="false">
      <c r="A66" s="42"/>
    </row>
    <row r="67" customFormat="false" ht="12.75" hidden="false" customHeight="false" outlineLevel="0" collapsed="false">
      <c r="A67" s="42"/>
    </row>
    <row r="68" customFormat="false" ht="12.75" hidden="false" customHeight="false" outlineLevel="0" collapsed="false">
      <c r="A68" s="42"/>
    </row>
    <row r="69" customFormat="false" ht="12.75" hidden="false" customHeight="false" outlineLevel="0" collapsed="false">
      <c r="A69" s="42"/>
    </row>
    <row r="70" customFormat="false" ht="12.75" hidden="false" customHeight="false" outlineLevel="0" collapsed="false">
      <c r="A70" s="42"/>
    </row>
    <row r="71" customFormat="false" ht="12.75" hidden="false" customHeight="false" outlineLevel="0" collapsed="false">
      <c r="A71" s="42"/>
    </row>
    <row r="72" customFormat="false" ht="12.75" hidden="false" customHeight="false" outlineLevel="0" collapsed="false">
      <c r="A72" s="42"/>
    </row>
    <row r="73" customFormat="false" ht="12.75" hidden="false" customHeight="false" outlineLevel="0" collapsed="false">
      <c r="A73" s="42"/>
    </row>
    <row r="74" customFormat="false" ht="12.75" hidden="false" customHeight="false" outlineLevel="0" collapsed="false">
      <c r="A74" s="42"/>
    </row>
    <row r="75" customFormat="false" ht="12.75" hidden="false" customHeight="false" outlineLevel="0" collapsed="false">
      <c r="A75" s="42"/>
    </row>
    <row r="76" customFormat="false" ht="12.75" hidden="false" customHeight="false" outlineLevel="0" collapsed="false">
      <c r="A76" s="42"/>
    </row>
    <row r="77" customFormat="false" ht="12.75" hidden="false" customHeight="false" outlineLevel="0" collapsed="false">
      <c r="A77" s="42"/>
    </row>
    <row r="78" customFormat="false" ht="12.75" hidden="false" customHeight="false" outlineLevel="0" collapsed="false">
      <c r="A78" s="42"/>
    </row>
    <row r="79" customFormat="false" ht="12.75" hidden="false" customHeight="false" outlineLevel="0" collapsed="false">
      <c r="A79" s="42"/>
    </row>
    <row r="80" customFormat="false" ht="12.75" hidden="false" customHeight="false" outlineLevel="0" collapsed="false">
      <c r="A80" s="42"/>
    </row>
    <row r="81" customFormat="false" ht="12.75" hidden="false" customHeight="false" outlineLevel="0" collapsed="false">
      <c r="A81" s="42"/>
    </row>
    <row r="82" customFormat="false" ht="12.75" hidden="false" customHeight="false" outlineLevel="0" collapsed="false">
      <c r="A82" s="42"/>
    </row>
    <row r="83" customFormat="false" ht="12.75" hidden="false" customHeight="false" outlineLevel="0" collapsed="false">
      <c r="A83" s="42"/>
    </row>
    <row r="84" customFormat="false" ht="12.75" hidden="false" customHeight="false" outlineLevel="0" collapsed="false">
      <c r="A84" s="42"/>
    </row>
    <row r="85" customFormat="false" ht="12.75" hidden="false" customHeight="false" outlineLevel="0" collapsed="false">
      <c r="A85" s="42"/>
    </row>
    <row r="86" customFormat="false" ht="12.75" hidden="false" customHeight="false" outlineLevel="0" collapsed="false">
      <c r="A86" s="42"/>
    </row>
    <row r="87" customFormat="false" ht="12.75" hidden="false" customHeight="false" outlineLevel="0" collapsed="false">
      <c r="A87" s="42"/>
    </row>
    <row r="88" customFormat="false" ht="12.75" hidden="false" customHeight="false" outlineLevel="0" collapsed="false">
      <c r="A88" s="42"/>
    </row>
    <row r="89" customFormat="false" ht="12.75" hidden="false" customHeight="false" outlineLevel="0" collapsed="false">
      <c r="A89" s="42"/>
    </row>
    <row r="90" customFormat="false" ht="12.75" hidden="false" customHeight="false" outlineLevel="0" collapsed="false">
      <c r="A90" s="42"/>
    </row>
    <row r="91" customFormat="false" ht="12.75" hidden="false" customHeight="false" outlineLevel="0" collapsed="false">
      <c r="A91" s="42"/>
    </row>
    <row r="92" customFormat="false" ht="12.75" hidden="false" customHeight="false" outlineLevel="0" collapsed="false">
      <c r="A92" s="42"/>
    </row>
    <row r="93" customFormat="false" ht="12.75" hidden="false" customHeight="false" outlineLevel="0" collapsed="false">
      <c r="A93" s="42"/>
    </row>
    <row r="94" customFormat="false" ht="12.75" hidden="false" customHeight="false" outlineLevel="0" collapsed="false">
      <c r="A94" s="42"/>
    </row>
    <row r="95" customFormat="false" ht="12.75" hidden="false" customHeight="false" outlineLevel="0" collapsed="false">
      <c r="A95" s="42"/>
    </row>
    <row r="96" customFormat="false" ht="12.75" hidden="false" customHeight="false" outlineLevel="0" collapsed="false">
      <c r="A96" s="42"/>
    </row>
    <row r="97" customFormat="false" ht="12.75" hidden="false" customHeight="false" outlineLevel="0" collapsed="false">
      <c r="A97" s="42"/>
    </row>
    <row r="98" customFormat="false" ht="12.75" hidden="false" customHeight="false" outlineLevel="0" collapsed="false">
      <c r="A98" s="42"/>
    </row>
    <row r="99" customFormat="false" ht="12.75" hidden="false" customHeight="false" outlineLevel="0" collapsed="false">
      <c r="A99" s="42"/>
    </row>
    <row r="100" customFormat="false" ht="12.75" hidden="false" customHeight="false" outlineLevel="0" collapsed="false">
      <c r="A100" s="42"/>
    </row>
    <row r="101" customFormat="false" ht="12.75" hidden="false" customHeight="false" outlineLevel="0" collapsed="false">
      <c r="A101" s="42"/>
    </row>
    <row r="102" customFormat="false" ht="12.75" hidden="false" customHeight="false" outlineLevel="0" collapsed="false">
      <c r="A102" s="42"/>
    </row>
    <row r="103" customFormat="false" ht="12.75" hidden="false" customHeight="false" outlineLevel="0" collapsed="false">
      <c r="A103" s="42"/>
    </row>
    <row r="104" customFormat="false" ht="12.75" hidden="false" customHeight="false" outlineLevel="0" collapsed="false">
      <c r="A104" s="42"/>
    </row>
    <row r="105" customFormat="false" ht="12.75" hidden="false" customHeight="false" outlineLevel="0" collapsed="false">
      <c r="A105" s="42"/>
    </row>
    <row r="106" customFormat="false" ht="12.75" hidden="false" customHeight="false" outlineLevel="0" collapsed="false">
      <c r="A106" s="42"/>
    </row>
    <row r="107" customFormat="false" ht="12.75" hidden="false" customHeight="false" outlineLevel="0" collapsed="false">
      <c r="A107" s="42"/>
    </row>
    <row r="108" customFormat="false" ht="12.75" hidden="false" customHeight="false" outlineLevel="0" collapsed="false">
      <c r="A108" s="42"/>
    </row>
    <row r="109" customFormat="false" ht="12.75" hidden="false" customHeight="false" outlineLevel="0" collapsed="false">
      <c r="A109" s="42"/>
    </row>
    <row r="110" customFormat="false" ht="12.75" hidden="false" customHeight="false" outlineLevel="0" collapsed="false">
      <c r="A110" s="42"/>
    </row>
    <row r="111" customFormat="false" ht="12.75" hidden="false" customHeight="false" outlineLevel="0" collapsed="false">
      <c r="A111" s="42"/>
    </row>
    <row r="112" customFormat="false" ht="12.75" hidden="false" customHeight="false" outlineLevel="0" collapsed="false">
      <c r="A112" s="42"/>
    </row>
    <row r="113" customFormat="false" ht="12.75" hidden="false" customHeight="false" outlineLevel="0" collapsed="false">
      <c r="A113" s="42"/>
    </row>
    <row r="114" customFormat="false" ht="12.75" hidden="false" customHeight="false" outlineLevel="0" collapsed="false">
      <c r="A114" s="42"/>
    </row>
    <row r="115" customFormat="false" ht="12.75" hidden="false" customHeight="false" outlineLevel="0" collapsed="false">
      <c r="A115" s="42"/>
    </row>
    <row r="116" customFormat="false" ht="12.75" hidden="false" customHeight="false" outlineLevel="0" collapsed="false">
      <c r="A116" s="42"/>
    </row>
    <row r="117" customFormat="false" ht="12.75" hidden="false" customHeight="false" outlineLevel="0" collapsed="false">
      <c r="A117" s="42"/>
    </row>
    <row r="118" customFormat="false" ht="12.75" hidden="false" customHeight="false" outlineLevel="0" collapsed="false">
      <c r="A118" s="42"/>
    </row>
    <row r="119" customFormat="false" ht="12.75" hidden="false" customHeight="false" outlineLevel="0" collapsed="false">
      <c r="A119" s="42"/>
    </row>
    <row r="120" customFormat="false" ht="12.75" hidden="false" customHeight="false" outlineLevel="0" collapsed="false">
      <c r="A120" s="42"/>
    </row>
    <row r="121" customFormat="false" ht="12.75" hidden="false" customHeight="false" outlineLevel="0" collapsed="false">
      <c r="A121" s="42"/>
    </row>
    <row r="122" customFormat="false" ht="12.75" hidden="false" customHeight="false" outlineLevel="0" collapsed="false">
      <c r="A122" s="42"/>
    </row>
    <row r="123" customFormat="false" ht="12.75" hidden="false" customHeight="false" outlineLevel="0" collapsed="false">
      <c r="A123" s="42"/>
    </row>
    <row r="124" customFormat="false" ht="12.75" hidden="false" customHeight="false" outlineLevel="0" collapsed="false">
      <c r="A124" s="42"/>
    </row>
    <row r="125" customFormat="false" ht="12.75" hidden="false" customHeight="false" outlineLevel="0" collapsed="false">
      <c r="A125" s="42"/>
    </row>
    <row r="126" customFormat="false" ht="12.75" hidden="false" customHeight="false" outlineLevel="0" collapsed="false">
      <c r="A126" s="42"/>
    </row>
    <row r="127" customFormat="false" ht="12.75" hidden="false" customHeight="false" outlineLevel="0" collapsed="false">
      <c r="A127" s="42"/>
    </row>
    <row r="128" customFormat="false" ht="12.75" hidden="false" customHeight="false" outlineLevel="0" collapsed="false">
      <c r="A128" s="42"/>
    </row>
    <row r="129" customFormat="false" ht="12.75" hidden="false" customHeight="false" outlineLevel="0" collapsed="false">
      <c r="A129" s="42"/>
    </row>
    <row r="130" customFormat="false" ht="12.75" hidden="false" customHeight="false" outlineLevel="0" collapsed="false">
      <c r="A130" s="42"/>
    </row>
    <row r="131" customFormat="false" ht="12.75" hidden="false" customHeight="false" outlineLevel="0" collapsed="false">
      <c r="A131" s="42"/>
    </row>
    <row r="132" customFormat="false" ht="12.75" hidden="false" customHeight="false" outlineLevel="0" collapsed="false">
      <c r="A132" s="42"/>
    </row>
    <row r="133" customFormat="false" ht="12.75" hidden="false" customHeight="false" outlineLevel="0" collapsed="false">
      <c r="A133" s="42"/>
    </row>
    <row r="134" customFormat="false" ht="12.75" hidden="false" customHeight="false" outlineLevel="0" collapsed="false">
      <c r="A134" s="42"/>
    </row>
    <row r="135" customFormat="false" ht="12.75" hidden="false" customHeight="false" outlineLevel="0" collapsed="false">
      <c r="A135" s="42"/>
    </row>
    <row r="136" customFormat="false" ht="12.75" hidden="false" customHeight="false" outlineLevel="0" collapsed="false">
      <c r="A136" s="42"/>
    </row>
    <row r="137" customFormat="false" ht="12.75" hidden="false" customHeight="false" outlineLevel="0" collapsed="false">
      <c r="A137" s="42"/>
    </row>
    <row r="138" customFormat="false" ht="12.75" hidden="false" customHeight="false" outlineLevel="0" collapsed="false">
      <c r="A138" s="42"/>
    </row>
    <row r="139" customFormat="false" ht="12.75" hidden="false" customHeight="false" outlineLevel="0" collapsed="false">
      <c r="A139" s="42"/>
    </row>
    <row r="140" customFormat="false" ht="12.75" hidden="false" customHeight="false" outlineLevel="0" collapsed="false">
      <c r="A140" s="42"/>
    </row>
    <row r="141" customFormat="false" ht="12.75" hidden="false" customHeight="false" outlineLevel="0" collapsed="false">
      <c r="A141" s="42"/>
    </row>
    <row r="142" customFormat="false" ht="12.75" hidden="false" customHeight="false" outlineLevel="0" collapsed="false">
      <c r="A142" s="42"/>
    </row>
    <row r="143" customFormat="false" ht="12.75" hidden="false" customHeight="false" outlineLevel="0" collapsed="false">
      <c r="A143" s="42"/>
    </row>
    <row r="144" customFormat="false" ht="12.75" hidden="false" customHeight="false" outlineLevel="0" collapsed="false">
      <c r="A144" s="42"/>
    </row>
    <row r="145" customFormat="false" ht="12.75" hidden="false" customHeight="false" outlineLevel="0" collapsed="false">
      <c r="A145" s="42"/>
    </row>
    <row r="146" customFormat="false" ht="12.75" hidden="false" customHeight="false" outlineLevel="0" collapsed="false">
      <c r="A146" s="42"/>
    </row>
    <row r="147" customFormat="false" ht="12.75" hidden="false" customHeight="false" outlineLevel="0" collapsed="false">
      <c r="A147" s="42"/>
    </row>
    <row r="148" customFormat="false" ht="12.75" hidden="false" customHeight="false" outlineLevel="0" collapsed="false">
      <c r="A148" s="42"/>
    </row>
    <row r="149" customFormat="false" ht="12.75" hidden="false" customHeight="false" outlineLevel="0" collapsed="false">
      <c r="A149" s="42"/>
    </row>
    <row r="150" customFormat="false" ht="12.75" hidden="false" customHeight="false" outlineLevel="0" collapsed="false">
      <c r="A150" s="42"/>
    </row>
    <row r="151" customFormat="false" ht="12.75" hidden="false" customHeight="false" outlineLevel="0" collapsed="false">
      <c r="A151" s="42"/>
    </row>
    <row r="152" customFormat="false" ht="12.75" hidden="false" customHeight="false" outlineLevel="0" collapsed="false">
      <c r="A152" s="42"/>
    </row>
    <row r="153" customFormat="false" ht="12.75" hidden="false" customHeight="false" outlineLevel="0" collapsed="false">
      <c r="A153" s="42"/>
    </row>
    <row r="154" customFormat="false" ht="12.75" hidden="false" customHeight="false" outlineLevel="0" collapsed="false">
      <c r="A154" s="42"/>
    </row>
    <row r="155" customFormat="false" ht="12.75" hidden="false" customHeight="false" outlineLevel="0" collapsed="false">
      <c r="A155" s="42"/>
    </row>
    <row r="156" customFormat="false" ht="12.75" hidden="false" customHeight="false" outlineLevel="0" collapsed="false">
      <c r="A156" s="42"/>
    </row>
    <row r="157" customFormat="false" ht="12.75" hidden="false" customHeight="false" outlineLevel="0" collapsed="false">
      <c r="A157" s="42"/>
    </row>
    <row r="158" customFormat="false" ht="12.75" hidden="false" customHeight="false" outlineLevel="0" collapsed="false">
      <c r="A158" s="42"/>
    </row>
    <row r="159" customFormat="false" ht="12.75" hidden="false" customHeight="false" outlineLevel="0" collapsed="false">
      <c r="A159" s="42"/>
    </row>
    <row r="160" customFormat="false" ht="12.75" hidden="false" customHeight="false" outlineLevel="0" collapsed="false">
      <c r="A160" s="42"/>
    </row>
    <row r="161" customFormat="false" ht="12.75" hidden="false" customHeight="false" outlineLevel="0" collapsed="false">
      <c r="A161" s="42"/>
    </row>
    <row r="162" customFormat="false" ht="12.75" hidden="false" customHeight="false" outlineLevel="0" collapsed="false">
      <c r="A162" s="42"/>
    </row>
    <row r="163" customFormat="false" ht="12.75" hidden="false" customHeight="false" outlineLevel="0" collapsed="false">
      <c r="A163" s="42"/>
    </row>
    <row r="164" customFormat="false" ht="12.75" hidden="false" customHeight="false" outlineLevel="0" collapsed="false">
      <c r="A164" s="42"/>
    </row>
    <row r="165" customFormat="false" ht="12.75" hidden="false" customHeight="false" outlineLevel="0" collapsed="false">
      <c r="A165" s="42"/>
    </row>
    <row r="166" customFormat="false" ht="12.75" hidden="false" customHeight="false" outlineLevel="0" collapsed="false">
      <c r="A166" s="42"/>
    </row>
    <row r="167" customFormat="false" ht="12.75" hidden="false" customHeight="false" outlineLevel="0" collapsed="false">
      <c r="A167" s="42"/>
    </row>
    <row r="168" customFormat="false" ht="12.75" hidden="false" customHeight="false" outlineLevel="0" collapsed="false">
      <c r="A168" s="42"/>
    </row>
    <row r="169" customFormat="false" ht="12.75" hidden="false" customHeight="false" outlineLevel="0" collapsed="false">
      <c r="A169" s="42"/>
    </row>
    <row r="170" customFormat="false" ht="12.75" hidden="false" customHeight="false" outlineLevel="0" collapsed="false">
      <c r="A170" s="42"/>
    </row>
    <row r="171" customFormat="false" ht="12.75" hidden="false" customHeight="false" outlineLevel="0" collapsed="false">
      <c r="A171" s="42"/>
    </row>
    <row r="172" customFormat="false" ht="12.75" hidden="false" customHeight="false" outlineLevel="0" collapsed="false">
      <c r="A172" s="42"/>
    </row>
    <row r="173" customFormat="false" ht="12.75" hidden="false" customHeight="false" outlineLevel="0" collapsed="false">
      <c r="A173" s="42"/>
    </row>
    <row r="174" customFormat="false" ht="12.75" hidden="false" customHeight="false" outlineLevel="0" collapsed="false">
      <c r="A174" s="42"/>
    </row>
    <row r="175" customFormat="false" ht="12.75" hidden="false" customHeight="false" outlineLevel="0" collapsed="false">
      <c r="A175" s="42"/>
    </row>
    <row r="176" customFormat="false" ht="12.75" hidden="false" customHeight="false" outlineLevel="0" collapsed="false">
      <c r="A176" s="42"/>
    </row>
    <row r="177" customFormat="false" ht="12.75" hidden="false" customHeight="false" outlineLevel="0" collapsed="false">
      <c r="A177" s="42"/>
    </row>
    <row r="178" customFormat="false" ht="12.75" hidden="false" customHeight="false" outlineLevel="0" collapsed="false">
      <c r="A178" s="42"/>
    </row>
    <row r="179" customFormat="false" ht="12.75" hidden="false" customHeight="false" outlineLevel="0" collapsed="false">
      <c r="A179" s="42"/>
    </row>
    <row r="180" customFormat="false" ht="12.75" hidden="false" customHeight="false" outlineLevel="0" collapsed="false">
      <c r="A180" s="42"/>
    </row>
    <row r="181" customFormat="false" ht="12.75" hidden="false" customHeight="false" outlineLevel="0" collapsed="false">
      <c r="A181" s="42"/>
    </row>
    <row r="182" customFormat="false" ht="12.75" hidden="false" customHeight="false" outlineLevel="0" collapsed="false">
      <c r="A182" s="42"/>
    </row>
    <row r="183" customFormat="false" ht="12.75" hidden="false" customHeight="false" outlineLevel="0" collapsed="false">
      <c r="A183" s="42"/>
    </row>
    <row r="184" customFormat="false" ht="12.75" hidden="false" customHeight="false" outlineLevel="0" collapsed="false">
      <c r="A184" s="42"/>
    </row>
    <row r="185" customFormat="false" ht="12.75" hidden="false" customHeight="false" outlineLevel="0" collapsed="false">
      <c r="A185" s="42"/>
    </row>
    <row r="186" customFormat="false" ht="12.75" hidden="false" customHeight="false" outlineLevel="0" collapsed="false">
      <c r="A186" s="42"/>
    </row>
    <row r="187" customFormat="false" ht="12.75" hidden="false" customHeight="false" outlineLevel="0" collapsed="false">
      <c r="A187" s="42"/>
    </row>
    <row r="188" customFormat="false" ht="12.75" hidden="false" customHeight="false" outlineLevel="0" collapsed="false">
      <c r="A188" s="42"/>
    </row>
    <row r="189" customFormat="false" ht="12.75" hidden="false" customHeight="false" outlineLevel="0" collapsed="false">
      <c r="A189" s="42"/>
    </row>
    <row r="190" customFormat="false" ht="12.75" hidden="false" customHeight="false" outlineLevel="0" collapsed="false">
      <c r="A190" s="42"/>
    </row>
    <row r="191" customFormat="false" ht="12.75" hidden="false" customHeight="false" outlineLevel="0" collapsed="false">
      <c r="A191" s="42"/>
    </row>
    <row r="192" customFormat="false" ht="12.75" hidden="false" customHeight="false" outlineLevel="0" collapsed="false">
      <c r="A192" s="42"/>
    </row>
    <row r="193" customFormat="false" ht="12.75" hidden="false" customHeight="false" outlineLevel="0" collapsed="false">
      <c r="A193" s="42"/>
    </row>
    <row r="194" customFormat="false" ht="12.75" hidden="false" customHeight="false" outlineLevel="0" collapsed="false">
      <c r="A194" s="42"/>
    </row>
    <row r="195" customFormat="false" ht="12.75" hidden="false" customHeight="false" outlineLevel="0" collapsed="false">
      <c r="A195" s="42"/>
    </row>
    <row r="196" customFormat="false" ht="12.75" hidden="false" customHeight="false" outlineLevel="0" collapsed="false">
      <c r="A196" s="42"/>
    </row>
    <row r="197" customFormat="false" ht="12.75" hidden="false" customHeight="false" outlineLevel="0" collapsed="false">
      <c r="A197" s="42"/>
    </row>
    <row r="198" customFormat="false" ht="12.75" hidden="false" customHeight="false" outlineLevel="0" collapsed="false">
      <c r="A198" s="42"/>
    </row>
    <row r="199" customFormat="false" ht="12.75" hidden="false" customHeight="false" outlineLevel="0" collapsed="false">
      <c r="A199" s="42"/>
    </row>
    <row r="200" customFormat="false" ht="12.75" hidden="false" customHeight="false" outlineLevel="0" collapsed="false">
      <c r="A200" s="42"/>
    </row>
    <row r="201" customFormat="false" ht="12.75" hidden="false" customHeight="false" outlineLevel="0" collapsed="false">
      <c r="A201" s="42"/>
    </row>
    <row r="202" customFormat="false" ht="12.75" hidden="false" customHeight="false" outlineLevel="0" collapsed="false">
      <c r="A202" s="42"/>
    </row>
    <row r="203" customFormat="false" ht="12.75" hidden="false" customHeight="false" outlineLevel="0" collapsed="false">
      <c r="A203" s="42"/>
    </row>
    <row r="204" customFormat="false" ht="12.75" hidden="false" customHeight="false" outlineLevel="0" collapsed="false">
      <c r="A204" s="42"/>
    </row>
    <row r="205" customFormat="false" ht="12.75" hidden="false" customHeight="false" outlineLevel="0" collapsed="false">
      <c r="A205" s="42"/>
    </row>
    <row r="206" customFormat="false" ht="12.75" hidden="false" customHeight="false" outlineLevel="0" collapsed="false">
      <c r="A206" s="42"/>
    </row>
    <row r="207" customFormat="false" ht="12.75" hidden="false" customHeight="false" outlineLevel="0" collapsed="false">
      <c r="A207" s="42"/>
    </row>
    <row r="208" customFormat="false" ht="12.75" hidden="false" customHeight="false" outlineLevel="0" collapsed="false">
      <c r="A208" s="42"/>
    </row>
    <row r="209" customFormat="false" ht="12.75" hidden="false" customHeight="false" outlineLevel="0" collapsed="false">
      <c r="A209" s="42"/>
    </row>
    <row r="210" customFormat="false" ht="12.75" hidden="false" customHeight="false" outlineLevel="0" collapsed="false">
      <c r="A210" s="42"/>
    </row>
    <row r="211" customFormat="false" ht="12.75" hidden="false" customHeight="false" outlineLevel="0" collapsed="false">
      <c r="A211" s="42"/>
    </row>
    <row r="212" customFormat="false" ht="12.75" hidden="false" customHeight="false" outlineLevel="0" collapsed="false">
      <c r="A212" s="42"/>
    </row>
    <row r="213" customFormat="false" ht="12.75" hidden="false" customHeight="false" outlineLevel="0" collapsed="false">
      <c r="A213" s="42"/>
    </row>
    <row r="214" customFormat="false" ht="12.75" hidden="false" customHeight="false" outlineLevel="0" collapsed="false">
      <c r="A214" s="42"/>
    </row>
    <row r="215" customFormat="false" ht="12.75" hidden="false" customHeight="false" outlineLevel="0" collapsed="false">
      <c r="A215" s="42"/>
    </row>
    <row r="216" customFormat="false" ht="12.75" hidden="false" customHeight="false" outlineLevel="0" collapsed="false">
      <c r="A216" s="42"/>
    </row>
    <row r="217" customFormat="false" ht="12.75" hidden="false" customHeight="false" outlineLevel="0" collapsed="false">
      <c r="A217" s="42"/>
    </row>
    <row r="218" customFormat="false" ht="12.75" hidden="false" customHeight="false" outlineLevel="0" collapsed="false">
      <c r="A218" s="42"/>
    </row>
    <row r="219" customFormat="false" ht="12.75" hidden="false" customHeight="false" outlineLevel="0" collapsed="false">
      <c r="A219" s="42"/>
    </row>
    <row r="220" customFormat="false" ht="12.75" hidden="false" customHeight="false" outlineLevel="0" collapsed="false">
      <c r="A220" s="42"/>
    </row>
    <row r="221" customFormat="false" ht="12.75" hidden="false" customHeight="false" outlineLevel="0" collapsed="false">
      <c r="A221" s="42"/>
    </row>
    <row r="222" customFormat="false" ht="12.75" hidden="false" customHeight="false" outlineLevel="0" collapsed="false">
      <c r="A222" s="42"/>
    </row>
    <row r="223" customFormat="false" ht="12.75" hidden="false" customHeight="false" outlineLevel="0" collapsed="false">
      <c r="A223" s="42"/>
    </row>
    <row r="224" customFormat="false" ht="12.75" hidden="false" customHeight="false" outlineLevel="0" collapsed="false">
      <c r="A224" s="42"/>
    </row>
    <row r="225" customFormat="false" ht="12.75" hidden="false" customHeight="false" outlineLevel="0" collapsed="false">
      <c r="A225" s="42"/>
    </row>
    <row r="226" customFormat="false" ht="12.75" hidden="false" customHeight="false" outlineLevel="0" collapsed="false">
      <c r="A226" s="42"/>
    </row>
    <row r="227" customFormat="false" ht="12.75" hidden="false" customHeight="false" outlineLevel="0" collapsed="false">
      <c r="A227" s="42"/>
    </row>
    <row r="228" customFormat="false" ht="12.75" hidden="false" customHeight="false" outlineLevel="0" collapsed="false">
      <c r="A228" s="42"/>
    </row>
    <row r="229" customFormat="false" ht="12.75" hidden="false" customHeight="false" outlineLevel="0" collapsed="false">
      <c r="A229" s="42"/>
    </row>
    <row r="230" customFormat="false" ht="12.75" hidden="false" customHeight="false" outlineLevel="0" collapsed="false">
      <c r="A230" s="42"/>
    </row>
    <row r="231" customFormat="false" ht="12.75" hidden="false" customHeight="false" outlineLevel="0" collapsed="false">
      <c r="A231" s="42"/>
    </row>
    <row r="232" customFormat="false" ht="12.75" hidden="false" customHeight="false" outlineLevel="0" collapsed="false">
      <c r="A232" s="42"/>
    </row>
    <row r="233" customFormat="false" ht="12.75" hidden="false" customHeight="false" outlineLevel="0" collapsed="false">
      <c r="A233" s="42"/>
    </row>
    <row r="234" customFormat="false" ht="12.75" hidden="false" customHeight="false" outlineLevel="0" collapsed="false">
      <c r="A234" s="42"/>
    </row>
    <row r="235" customFormat="false" ht="12.75" hidden="false" customHeight="false" outlineLevel="0" collapsed="false">
      <c r="A235" s="42"/>
    </row>
    <row r="236" customFormat="false" ht="12.75" hidden="false" customHeight="false" outlineLevel="0" collapsed="false">
      <c r="A236" s="42"/>
    </row>
    <row r="237" customFormat="false" ht="12.75" hidden="false" customHeight="false" outlineLevel="0" collapsed="false">
      <c r="A237" s="42"/>
    </row>
    <row r="238" customFormat="false" ht="12.75" hidden="false" customHeight="false" outlineLevel="0" collapsed="false">
      <c r="A238" s="42"/>
    </row>
    <row r="239" customFormat="false" ht="12.75" hidden="false" customHeight="false" outlineLevel="0" collapsed="false">
      <c r="A239" s="42"/>
    </row>
    <row r="240" customFormat="false" ht="12.75" hidden="false" customHeight="false" outlineLevel="0" collapsed="false">
      <c r="A240" s="42"/>
    </row>
    <row r="241" customFormat="false" ht="12.75" hidden="false" customHeight="false" outlineLevel="0" collapsed="false">
      <c r="A241" s="42"/>
    </row>
    <row r="242" customFormat="false" ht="12.75" hidden="false" customHeight="false" outlineLevel="0" collapsed="false">
      <c r="A242" s="42"/>
    </row>
    <row r="243" customFormat="false" ht="12.75" hidden="false" customHeight="false" outlineLevel="0" collapsed="false">
      <c r="A243" s="42"/>
    </row>
    <row r="244" customFormat="false" ht="12.75" hidden="false" customHeight="false" outlineLevel="0" collapsed="false">
      <c r="A244" s="42"/>
    </row>
    <row r="245" customFormat="false" ht="12.75" hidden="false" customHeight="false" outlineLevel="0" collapsed="false">
      <c r="A245" s="42"/>
    </row>
    <row r="246" customFormat="false" ht="12.75" hidden="false" customHeight="false" outlineLevel="0" collapsed="false">
      <c r="A246" s="42"/>
    </row>
    <row r="247" customFormat="false" ht="12.75" hidden="false" customHeight="false" outlineLevel="0" collapsed="false">
      <c r="A247" s="42"/>
    </row>
    <row r="248" customFormat="false" ht="12.75" hidden="false" customHeight="false" outlineLevel="0" collapsed="false">
      <c r="A248" s="42"/>
    </row>
    <row r="249" customFormat="false" ht="12.75" hidden="false" customHeight="false" outlineLevel="0" collapsed="false">
      <c r="A249" s="42"/>
    </row>
    <row r="250" customFormat="false" ht="12.75" hidden="false" customHeight="false" outlineLevel="0" collapsed="false">
      <c r="A250" s="42"/>
    </row>
    <row r="251" customFormat="false" ht="12.75" hidden="false" customHeight="false" outlineLevel="0" collapsed="false">
      <c r="A251" s="42"/>
    </row>
    <row r="252" customFormat="false" ht="12.75" hidden="false" customHeight="false" outlineLevel="0" collapsed="false">
      <c r="A252" s="42"/>
    </row>
    <row r="253" customFormat="false" ht="12.75" hidden="false" customHeight="false" outlineLevel="0" collapsed="false">
      <c r="A253" s="42"/>
    </row>
    <row r="254" customFormat="false" ht="12.75" hidden="false" customHeight="false" outlineLevel="0" collapsed="false">
      <c r="A254" s="42"/>
    </row>
    <row r="255" customFormat="false" ht="12.75" hidden="false" customHeight="false" outlineLevel="0" collapsed="false">
      <c r="A255" s="42"/>
    </row>
    <row r="256" customFormat="false" ht="12.75" hidden="false" customHeight="false" outlineLevel="0" collapsed="false">
      <c r="A256" s="42"/>
    </row>
    <row r="257" customFormat="false" ht="12.75" hidden="false" customHeight="false" outlineLevel="0" collapsed="false">
      <c r="A257" s="42"/>
    </row>
    <row r="258" customFormat="false" ht="12.75" hidden="false" customHeight="false" outlineLevel="0" collapsed="false">
      <c r="A258" s="42"/>
    </row>
    <row r="259" customFormat="false" ht="12.75" hidden="false" customHeight="false" outlineLevel="0" collapsed="false">
      <c r="A259" s="42"/>
    </row>
    <row r="260" customFormat="false" ht="12.75" hidden="false" customHeight="false" outlineLevel="0" collapsed="false">
      <c r="A260" s="42"/>
    </row>
    <row r="261" customFormat="false" ht="12.75" hidden="false" customHeight="false" outlineLevel="0" collapsed="false">
      <c r="A261" s="42"/>
    </row>
    <row r="262" customFormat="false" ht="12.75" hidden="false" customHeight="false" outlineLevel="0" collapsed="false">
      <c r="A262" s="42"/>
    </row>
    <row r="263" customFormat="false" ht="12.75" hidden="false" customHeight="false" outlineLevel="0" collapsed="false">
      <c r="A263" s="42"/>
    </row>
    <row r="264" customFormat="false" ht="12.75" hidden="false" customHeight="false" outlineLevel="0" collapsed="false">
      <c r="A264" s="42"/>
    </row>
    <row r="265" customFormat="false" ht="12.75" hidden="false" customHeight="false" outlineLevel="0" collapsed="false">
      <c r="A265" s="42"/>
    </row>
    <row r="266" customFormat="false" ht="12.75" hidden="false" customHeight="false" outlineLevel="0" collapsed="false">
      <c r="A266" s="42"/>
    </row>
    <row r="267" customFormat="false" ht="12.75" hidden="false" customHeight="false" outlineLevel="0" collapsed="false">
      <c r="A267" s="42"/>
    </row>
    <row r="268" customFormat="false" ht="12.75" hidden="false" customHeight="false" outlineLevel="0" collapsed="false">
      <c r="A268" s="42"/>
    </row>
    <row r="269" customFormat="false" ht="12.75" hidden="false" customHeight="false" outlineLevel="0" collapsed="false">
      <c r="A269" s="42"/>
    </row>
    <row r="270" customFormat="false" ht="12.75" hidden="false" customHeight="false" outlineLevel="0" collapsed="false">
      <c r="A270" s="42"/>
    </row>
    <row r="271" customFormat="false" ht="12.75" hidden="false" customHeight="false" outlineLevel="0" collapsed="false">
      <c r="A271" s="42"/>
    </row>
    <row r="272" customFormat="false" ht="12.75" hidden="false" customHeight="false" outlineLevel="0" collapsed="false">
      <c r="A272" s="42"/>
    </row>
    <row r="273" customFormat="false" ht="12.75" hidden="false" customHeight="false" outlineLevel="0" collapsed="false">
      <c r="A273" s="42"/>
    </row>
    <row r="274" customFormat="false" ht="12.75" hidden="false" customHeight="false" outlineLevel="0" collapsed="false">
      <c r="A274" s="42"/>
    </row>
    <row r="275" customFormat="false" ht="12.75" hidden="false" customHeight="false" outlineLevel="0" collapsed="false">
      <c r="A275" s="42"/>
    </row>
    <row r="276" customFormat="false" ht="12.75" hidden="false" customHeight="false" outlineLevel="0" collapsed="false">
      <c r="A276" s="42"/>
    </row>
    <row r="277" customFormat="false" ht="12.75" hidden="false" customHeight="false" outlineLevel="0" collapsed="false">
      <c r="A277" s="42"/>
    </row>
    <row r="278" customFormat="false" ht="12.75" hidden="false" customHeight="false" outlineLevel="0" collapsed="false">
      <c r="A278" s="42"/>
    </row>
    <row r="279" customFormat="false" ht="12.75" hidden="false" customHeight="false" outlineLevel="0" collapsed="false">
      <c r="A279" s="42"/>
    </row>
    <row r="280" customFormat="false" ht="12.75" hidden="false" customHeight="false" outlineLevel="0" collapsed="false">
      <c r="A280" s="42"/>
    </row>
    <row r="281" customFormat="false" ht="12.75" hidden="false" customHeight="false" outlineLevel="0" collapsed="false">
      <c r="A281" s="42"/>
    </row>
    <row r="282" customFormat="false" ht="12.75" hidden="false" customHeight="false" outlineLevel="0" collapsed="false">
      <c r="A282" s="42"/>
    </row>
    <row r="283" customFormat="false" ht="12.75" hidden="false" customHeight="false" outlineLevel="0" collapsed="false">
      <c r="A283" s="42"/>
    </row>
    <row r="284" customFormat="false" ht="12.75" hidden="false" customHeight="false" outlineLevel="0" collapsed="false">
      <c r="A284" s="42"/>
    </row>
    <row r="285" customFormat="false" ht="12.75" hidden="false" customHeight="false" outlineLevel="0" collapsed="false">
      <c r="A285" s="42"/>
    </row>
    <row r="286" customFormat="false" ht="12.75" hidden="false" customHeight="false" outlineLevel="0" collapsed="false">
      <c r="A286" s="42"/>
    </row>
    <row r="287" customFormat="false" ht="12.75" hidden="false" customHeight="false" outlineLevel="0" collapsed="false">
      <c r="A287" s="42"/>
    </row>
    <row r="288" customFormat="false" ht="12.75" hidden="false" customHeight="false" outlineLevel="0" collapsed="false">
      <c r="A288" s="42"/>
    </row>
    <row r="289" customFormat="false" ht="12.75" hidden="false" customHeight="false" outlineLevel="0" collapsed="false">
      <c r="A289" s="42"/>
    </row>
    <row r="290" customFormat="false" ht="12.75" hidden="false" customHeight="false" outlineLevel="0" collapsed="false">
      <c r="A290" s="42"/>
    </row>
    <row r="291" customFormat="false" ht="12.75" hidden="false" customHeight="false" outlineLevel="0" collapsed="false">
      <c r="A291" s="42"/>
    </row>
    <row r="292" customFormat="false" ht="12.75" hidden="false" customHeight="false" outlineLevel="0" collapsed="false">
      <c r="A292" s="42"/>
    </row>
    <row r="293" customFormat="false" ht="12.75" hidden="false" customHeight="false" outlineLevel="0" collapsed="false">
      <c r="A293" s="42"/>
    </row>
    <row r="294" customFormat="false" ht="12.75" hidden="false" customHeight="false" outlineLevel="0" collapsed="false">
      <c r="A294" s="42"/>
    </row>
    <row r="295" customFormat="false" ht="12.75" hidden="false" customHeight="false" outlineLevel="0" collapsed="false">
      <c r="A295" s="42"/>
    </row>
    <row r="296" customFormat="false" ht="12.75" hidden="false" customHeight="false" outlineLevel="0" collapsed="false">
      <c r="A296" s="42"/>
    </row>
    <row r="297" customFormat="false" ht="12.75" hidden="false" customHeight="false" outlineLevel="0" collapsed="false">
      <c r="A297" s="42"/>
    </row>
    <row r="298" customFormat="false" ht="12.75" hidden="false" customHeight="false" outlineLevel="0" collapsed="false">
      <c r="A298" s="42"/>
    </row>
    <row r="299" customFormat="false" ht="12.75" hidden="false" customHeight="false" outlineLevel="0" collapsed="false">
      <c r="A299" s="42"/>
    </row>
    <row r="300" customFormat="false" ht="12.75" hidden="false" customHeight="false" outlineLevel="0" collapsed="false">
      <c r="A300" s="42"/>
    </row>
    <row r="301" customFormat="false" ht="12.75" hidden="false" customHeight="false" outlineLevel="0" collapsed="false">
      <c r="A301" s="42"/>
    </row>
    <row r="302" customFormat="false" ht="12.75" hidden="false" customHeight="false" outlineLevel="0" collapsed="false">
      <c r="A302" s="42"/>
    </row>
    <row r="303" customFormat="false" ht="12.75" hidden="false" customHeight="false" outlineLevel="0" collapsed="false">
      <c r="A303" s="42"/>
    </row>
    <row r="304" customFormat="false" ht="12.75" hidden="false" customHeight="false" outlineLevel="0" collapsed="false">
      <c r="A304" s="42"/>
    </row>
    <row r="305" customFormat="false" ht="12.75" hidden="false" customHeight="false" outlineLevel="0" collapsed="false">
      <c r="A305" s="42"/>
    </row>
    <row r="306" customFormat="false" ht="12.75" hidden="false" customHeight="false" outlineLevel="0" collapsed="false">
      <c r="A306" s="42"/>
    </row>
    <row r="307" customFormat="false" ht="12.75" hidden="false" customHeight="false" outlineLevel="0" collapsed="false">
      <c r="A307" s="42"/>
    </row>
    <row r="308" customFormat="false" ht="12.75" hidden="false" customHeight="false" outlineLevel="0" collapsed="false">
      <c r="A308" s="42"/>
    </row>
    <row r="309" customFormat="false" ht="12.75" hidden="false" customHeight="false" outlineLevel="0" collapsed="false">
      <c r="A309" s="42"/>
    </row>
    <row r="310" customFormat="false" ht="12.75" hidden="false" customHeight="false" outlineLevel="0" collapsed="false">
      <c r="A310" s="42"/>
    </row>
    <row r="311" customFormat="false" ht="12.75" hidden="false" customHeight="false" outlineLevel="0" collapsed="false">
      <c r="A311" s="42"/>
    </row>
    <row r="312" customFormat="false" ht="12.75" hidden="false" customHeight="false" outlineLevel="0" collapsed="false">
      <c r="A312" s="42"/>
    </row>
    <row r="313" customFormat="false" ht="12.75" hidden="false" customHeight="false" outlineLevel="0" collapsed="false">
      <c r="A313" s="42"/>
    </row>
    <row r="314" customFormat="false" ht="12.75" hidden="false" customHeight="false" outlineLevel="0" collapsed="false">
      <c r="A314" s="42"/>
    </row>
    <row r="315" customFormat="false" ht="12.75" hidden="false" customHeight="false" outlineLevel="0" collapsed="false">
      <c r="A315" s="42"/>
    </row>
    <row r="316" customFormat="false" ht="12.75" hidden="false" customHeight="false" outlineLevel="0" collapsed="false">
      <c r="A316" s="42"/>
    </row>
    <row r="317" customFormat="false" ht="12.75" hidden="false" customHeight="false" outlineLevel="0" collapsed="false">
      <c r="A317" s="42"/>
    </row>
    <row r="318" customFormat="false" ht="12.75" hidden="false" customHeight="false" outlineLevel="0" collapsed="false">
      <c r="A318" s="42"/>
    </row>
    <row r="319" customFormat="false" ht="12.75" hidden="false" customHeight="false" outlineLevel="0" collapsed="false">
      <c r="A319" s="42"/>
    </row>
    <row r="320" customFormat="false" ht="12.75" hidden="false" customHeight="false" outlineLevel="0" collapsed="false">
      <c r="A320" s="42"/>
    </row>
    <row r="321" customFormat="false" ht="12.75" hidden="false" customHeight="false" outlineLevel="0" collapsed="false">
      <c r="A321" s="42"/>
    </row>
    <row r="322" customFormat="false" ht="12.75" hidden="false" customHeight="false" outlineLevel="0" collapsed="false">
      <c r="A322" s="42"/>
    </row>
    <row r="323" customFormat="false" ht="12.75" hidden="false" customHeight="false" outlineLevel="0" collapsed="false">
      <c r="A323" s="42"/>
    </row>
    <row r="324" customFormat="false" ht="12.75" hidden="false" customHeight="false" outlineLevel="0" collapsed="false">
      <c r="A324" s="42"/>
    </row>
    <row r="325" customFormat="false" ht="12.75" hidden="false" customHeight="false" outlineLevel="0" collapsed="false">
      <c r="A325" s="42"/>
    </row>
    <row r="326" customFormat="false" ht="12.75" hidden="false" customHeight="false" outlineLevel="0" collapsed="false">
      <c r="A326" s="42"/>
    </row>
    <row r="327" customFormat="false" ht="12.75" hidden="false" customHeight="false" outlineLevel="0" collapsed="false">
      <c r="A327" s="42"/>
    </row>
    <row r="328" customFormat="false" ht="12.75" hidden="false" customHeight="false" outlineLevel="0" collapsed="false">
      <c r="A328" s="42"/>
    </row>
    <row r="329" customFormat="false" ht="12.75" hidden="false" customHeight="false" outlineLevel="0" collapsed="false">
      <c r="A329" s="42"/>
    </row>
    <row r="330" customFormat="false" ht="12.75" hidden="false" customHeight="false" outlineLevel="0" collapsed="false">
      <c r="A330" s="42"/>
    </row>
    <row r="331" customFormat="false" ht="12.75" hidden="false" customHeight="false" outlineLevel="0" collapsed="false">
      <c r="A331" s="42"/>
    </row>
    <row r="332" customFormat="false" ht="12.75" hidden="false" customHeight="false" outlineLevel="0" collapsed="false">
      <c r="A332" s="42"/>
    </row>
    <row r="333" customFormat="false" ht="12.75" hidden="false" customHeight="false" outlineLevel="0" collapsed="false">
      <c r="A333" s="42"/>
    </row>
    <row r="334" customFormat="false" ht="12.75" hidden="false" customHeight="false" outlineLevel="0" collapsed="false">
      <c r="A334" s="42"/>
    </row>
    <row r="335" customFormat="false" ht="12.75" hidden="false" customHeight="false" outlineLevel="0" collapsed="false">
      <c r="A335" s="42"/>
    </row>
    <row r="336" customFormat="false" ht="12.75" hidden="false" customHeight="false" outlineLevel="0" collapsed="false">
      <c r="A336" s="42"/>
    </row>
    <row r="337" customFormat="false" ht="12.75" hidden="false" customHeight="false" outlineLevel="0" collapsed="false">
      <c r="A337" s="42"/>
    </row>
    <row r="338" customFormat="false" ht="12.75" hidden="false" customHeight="false" outlineLevel="0" collapsed="false">
      <c r="A338" s="42"/>
    </row>
    <row r="339" customFormat="false" ht="12.75" hidden="false" customHeight="false" outlineLevel="0" collapsed="false">
      <c r="A339" s="42"/>
    </row>
    <row r="340" customFormat="false" ht="12.75" hidden="false" customHeight="false" outlineLevel="0" collapsed="false">
      <c r="A340" s="42"/>
    </row>
    <row r="341" customFormat="false" ht="12.75" hidden="false" customHeight="false" outlineLevel="0" collapsed="false">
      <c r="A341" s="42"/>
    </row>
    <row r="342" customFormat="false" ht="12.75" hidden="false" customHeight="false" outlineLevel="0" collapsed="false">
      <c r="A342" s="42"/>
    </row>
    <row r="343" customFormat="false" ht="12.75" hidden="false" customHeight="false" outlineLevel="0" collapsed="false">
      <c r="A343" s="42"/>
    </row>
    <row r="344" customFormat="false" ht="12.75" hidden="false" customHeight="false" outlineLevel="0" collapsed="false">
      <c r="A344" s="42"/>
    </row>
    <row r="345" customFormat="false" ht="12.75" hidden="false" customHeight="false" outlineLevel="0" collapsed="false">
      <c r="A345" s="42"/>
    </row>
    <row r="346" customFormat="false" ht="12.75" hidden="false" customHeight="false" outlineLevel="0" collapsed="false">
      <c r="A346" s="42"/>
    </row>
    <row r="347" customFormat="false" ht="12.75" hidden="false" customHeight="false" outlineLevel="0" collapsed="false">
      <c r="A347" s="42"/>
    </row>
    <row r="348" customFormat="false" ht="12.75" hidden="false" customHeight="false" outlineLevel="0" collapsed="false">
      <c r="A348" s="42"/>
    </row>
    <row r="349" customFormat="false" ht="12.75" hidden="false" customHeight="false" outlineLevel="0" collapsed="false">
      <c r="A349" s="42"/>
    </row>
    <row r="350" customFormat="false" ht="12.75" hidden="false" customHeight="false" outlineLevel="0" collapsed="false">
      <c r="A350" s="42"/>
    </row>
    <row r="351" customFormat="false" ht="12.75" hidden="false" customHeight="false" outlineLevel="0" collapsed="false">
      <c r="A351" s="42"/>
    </row>
    <row r="352" customFormat="false" ht="12.75" hidden="false" customHeight="false" outlineLevel="0" collapsed="false">
      <c r="A352" s="42"/>
    </row>
    <row r="353" customFormat="false" ht="12.75" hidden="false" customHeight="false" outlineLevel="0" collapsed="false">
      <c r="A353" s="42"/>
    </row>
    <row r="354" customFormat="false" ht="12.75" hidden="false" customHeight="false" outlineLevel="0" collapsed="false">
      <c r="A354" s="42"/>
    </row>
    <row r="355" customFormat="false" ht="12.75" hidden="false" customHeight="false" outlineLevel="0" collapsed="false">
      <c r="A355" s="42"/>
    </row>
    <row r="356" customFormat="false" ht="12.75" hidden="false" customHeight="false" outlineLevel="0" collapsed="false">
      <c r="A356" s="42"/>
    </row>
    <row r="357" customFormat="false" ht="12.75" hidden="false" customHeight="false" outlineLevel="0" collapsed="false">
      <c r="A357" s="42"/>
    </row>
    <row r="358" customFormat="false" ht="12.75" hidden="false" customHeight="false" outlineLevel="0" collapsed="false">
      <c r="A358" s="42"/>
    </row>
    <row r="359" customFormat="false" ht="12.75" hidden="false" customHeight="false" outlineLevel="0" collapsed="false">
      <c r="A359" s="42"/>
    </row>
    <row r="360" customFormat="false" ht="12.75" hidden="false" customHeight="false" outlineLevel="0" collapsed="false">
      <c r="A360" s="42"/>
    </row>
    <row r="361" customFormat="false" ht="12.75" hidden="false" customHeight="false" outlineLevel="0" collapsed="false">
      <c r="A361" s="42"/>
    </row>
    <row r="362" customFormat="false" ht="12.75" hidden="false" customHeight="false" outlineLevel="0" collapsed="false">
      <c r="A362" s="42"/>
    </row>
    <row r="363" customFormat="false" ht="12.75" hidden="false" customHeight="false" outlineLevel="0" collapsed="false">
      <c r="A363" s="42"/>
    </row>
    <row r="364" customFormat="false" ht="12.75" hidden="false" customHeight="false" outlineLevel="0" collapsed="false">
      <c r="A364" s="42"/>
    </row>
    <row r="365" customFormat="false" ht="12.75" hidden="false" customHeight="false" outlineLevel="0" collapsed="false">
      <c r="A365" s="42"/>
    </row>
    <row r="366" customFormat="false" ht="12.75" hidden="false" customHeight="false" outlineLevel="0" collapsed="false">
      <c r="A366" s="42"/>
    </row>
    <row r="367" customFormat="false" ht="12.75" hidden="false" customHeight="false" outlineLevel="0" collapsed="false">
      <c r="A367" s="42"/>
    </row>
    <row r="368" customFormat="false" ht="12.75" hidden="false" customHeight="false" outlineLevel="0" collapsed="false">
      <c r="A368" s="42"/>
    </row>
    <row r="369" customFormat="false" ht="12.75" hidden="false" customHeight="false" outlineLevel="0" collapsed="false">
      <c r="A369" s="42"/>
    </row>
    <row r="370" customFormat="false" ht="12.75" hidden="false" customHeight="false" outlineLevel="0" collapsed="false">
      <c r="A370" s="42"/>
    </row>
    <row r="371" customFormat="false" ht="12.75" hidden="false" customHeight="false" outlineLevel="0" collapsed="false">
      <c r="A371" s="42"/>
    </row>
    <row r="372" customFormat="false" ht="12.75" hidden="false" customHeight="false" outlineLevel="0" collapsed="false">
      <c r="A372" s="42"/>
    </row>
    <row r="373" customFormat="false" ht="12.75" hidden="false" customHeight="false" outlineLevel="0" collapsed="false">
      <c r="A373" s="42"/>
    </row>
    <row r="374" customFormat="false" ht="12.75" hidden="false" customHeight="false" outlineLevel="0" collapsed="false">
      <c r="A374" s="42"/>
    </row>
    <row r="375" customFormat="false" ht="12.75" hidden="false" customHeight="false" outlineLevel="0" collapsed="false">
      <c r="A375" s="42"/>
    </row>
    <row r="376" customFormat="false" ht="12.75" hidden="false" customHeight="false" outlineLevel="0" collapsed="false">
      <c r="A376" s="42"/>
    </row>
    <row r="377" customFormat="false" ht="12.75" hidden="false" customHeight="false" outlineLevel="0" collapsed="false">
      <c r="A377" s="42"/>
    </row>
    <row r="378" customFormat="false" ht="12.75" hidden="false" customHeight="false" outlineLevel="0" collapsed="false">
      <c r="A378" s="42"/>
    </row>
    <row r="379" customFormat="false" ht="12.75" hidden="false" customHeight="false" outlineLevel="0" collapsed="false">
      <c r="A379" s="42"/>
    </row>
    <row r="380" customFormat="false" ht="12.75" hidden="false" customHeight="false" outlineLevel="0" collapsed="false">
      <c r="A380" s="42"/>
    </row>
    <row r="381" customFormat="false" ht="12.75" hidden="false" customHeight="false" outlineLevel="0" collapsed="false">
      <c r="A381" s="42"/>
    </row>
    <row r="382" customFormat="false" ht="12.75" hidden="false" customHeight="false" outlineLevel="0" collapsed="false">
      <c r="A382" s="42"/>
    </row>
    <row r="383" customFormat="false" ht="12.75" hidden="false" customHeight="false" outlineLevel="0" collapsed="false">
      <c r="A383" s="42"/>
    </row>
    <row r="384" customFormat="false" ht="12.75" hidden="false" customHeight="false" outlineLevel="0" collapsed="false">
      <c r="A384" s="42"/>
    </row>
    <row r="385" customFormat="false" ht="12.75" hidden="false" customHeight="false" outlineLevel="0" collapsed="false">
      <c r="A385" s="42"/>
    </row>
    <row r="386" customFormat="false" ht="12.75" hidden="false" customHeight="false" outlineLevel="0" collapsed="false">
      <c r="A386" s="42"/>
    </row>
    <row r="387" customFormat="false" ht="12.75" hidden="false" customHeight="false" outlineLevel="0" collapsed="false">
      <c r="A387" s="42"/>
    </row>
    <row r="388" customFormat="false" ht="12.75" hidden="false" customHeight="false" outlineLevel="0" collapsed="false">
      <c r="A388" s="42"/>
    </row>
    <row r="389" customFormat="false" ht="12.75" hidden="false" customHeight="false" outlineLevel="0" collapsed="false">
      <c r="A389" s="42"/>
    </row>
    <row r="390" customFormat="false" ht="12.75" hidden="false" customHeight="false" outlineLevel="0" collapsed="false">
      <c r="A390" s="42"/>
    </row>
    <row r="391" customFormat="false" ht="12.75" hidden="false" customHeight="false" outlineLevel="0" collapsed="false">
      <c r="A391" s="42"/>
    </row>
    <row r="392" customFormat="false" ht="12.75" hidden="false" customHeight="false" outlineLevel="0" collapsed="false">
      <c r="A392" s="42"/>
    </row>
    <row r="393" customFormat="false" ht="12.75" hidden="false" customHeight="false" outlineLevel="0" collapsed="false">
      <c r="A393" s="42"/>
    </row>
    <row r="394" customFormat="false" ht="12.75" hidden="false" customHeight="false" outlineLevel="0" collapsed="false">
      <c r="A394" s="42"/>
    </row>
    <row r="395" customFormat="false" ht="12.75" hidden="false" customHeight="false" outlineLevel="0" collapsed="false">
      <c r="A395" s="42"/>
    </row>
    <row r="396" customFormat="false" ht="12.75" hidden="false" customHeight="false" outlineLevel="0" collapsed="false">
      <c r="A396" s="42"/>
    </row>
    <row r="397" customFormat="false" ht="12.75" hidden="false" customHeight="false" outlineLevel="0" collapsed="false">
      <c r="A397" s="42"/>
    </row>
    <row r="398" customFormat="false" ht="12.75" hidden="false" customHeight="false" outlineLevel="0" collapsed="false">
      <c r="A398" s="42"/>
    </row>
    <row r="399" customFormat="false" ht="12.75" hidden="false" customHeight="false" outlineLevel="0" collapsed="false">
      <c r="A399" s="42"/>
    </row>
    <row r="400" customFormat="false" ht="12.75" hidden="false" customHeight="false" outlineLevel="0" collapsed="false">
      <c r="A400" s="42"/>
    </row>
    <row r="401" customFormat="false" ht="12.75" hidden="false" customHeight="false" outlineLevel="0" collapsed="false">
      <c r="A401" s="42"/>
    </row>
    <row r="402" customFormat="false" ht="12.75" hidden="false" customHeight="false" outlineLevel="0" collapsed="false">
      <c r="A402" s="42"/>
    </row>
    <row r="403" customFormat="false" ht="12.75" hidden="false" customHeight="false" outlineLevel="0" collapsed="false">
      <c r="A403" s="42"/>
    </row>
    <row r="404" customFormat="false" ht="12.75" hidden="false" customHeight="false" outlineLevel="0" collapsed="false">
      <c r="A404" s="42"/>
    </row>
    <row r="405" customFormat="false" ht="12.75" hidden="false" customHeight="false" outlineLevel="0" collapsed="false">
      <c r="A405" s="42"/>
    </row>
    <row r="406" customFormat="false" ht="12.75" hidden="false" customHeight="false" outlineLevel="0" collapsed="false">
      <c r="A406" s="42"/>
    </row>
    <row r="407" customFormat="false" ht="12.75" hidden="false" customHeight="false" outlineLevel="0" collapsed="false">
      <c r="A407" s="42"/>
    </row>
    <row r="408" customFormat="false" ht="12.75" hidden="false" customHeight="false" outlineLevel="0" collapsed="false">
      <c r="A408" s="42"/>
    </row>
    <row r="409" customFormat="false" ht="12.75" hidden="false" customHeight="false" outlineLevel="0" collapsed="false">
      <c r="A409" s="42"/>
    </row>
    <row r="410" customFormat="false" ht="12.75" hidden="false" customHeight="false" outlineLevel="0" collapsed="false">
      <c r="A410" s="42"/>
    </row>
    <row r="411" customFormat="false" ht="12.75" hidden="false" customHeight="false" outlineLevel="0" collapsed="false">
      <c r="A411" s="42"/>
    </row>
    <row r="412" customFormat="false" ht="12.75" hidden="false" customHeight="false" outlineLevel="0" collapsed="false">
      <c r="A412" s="42"/>
    </row>
    <row r="413" customFormat="false" ht="12.75" hidden="false" customHeight="false" outlineLevel="0" collapsed="false">
      <c r="A413" s="42"/>
    </row>
    <row r="414" customFormat="false" ht="12.75" hidden="false" customHeight="false" outlineLevel="0" collapsed="false">
      <c r="A414" s="42"/>
    </row>
    <row r="415" customFormat="false" ht="12.75" hidden="false" customHeight="false" outlineLevel="0" collapsed="false">
      <c r="A415" s="42"/>
    </row>
    <row r="416" customFormat="false" ht="12.75" hidden="false" customHeight="false" outlineLevel="0" collapsed="false">
      <c r="A416" s="42"/>
    </row>
    <row r="417" customFormat="false" ht="12.75" hidden="false" customHeight="false" outlineLevel="0" collapsed="false">
      <c r="A417" s="42"/>
    </row>
    <row r="418" customFormat="false" ht="12.75" hidden="false" customHeight="false" outlineLevel="0" collapsed="false">
      <c r="A418" s="42"/>
    </row>
    <row r="419" customFormat="false" ht="12.75" hidden="false" customHeight="false" outlineLevel="0" collapsed="false">
      <c r="A419" s="42"/>
    </row>
    <row r="420" customFormat="false" ht="12.75" hidden="false" customHeight="false" outlineLevel="0" collapsed="false">
      <c r="A420" s="42"/>
    </row>
    <row r="421" customFormat="false" ht="12.75" hidden="false" customHeight="false" outlineLevel="0" collapsed="false">
      <c r="A421" s="42"/>
    </row>
    <row r="422" customFormat="false" ht="12.75" hidden="false" customHeight="false" outlineLevel="0" collapsed="false">
      <c r="A422" s="42"/>
    </row>
    <row r="423" customFormat="false" ht="12.75" hidden="false" customHeight="false" outlineLevel="0" collapsed="false">
      <c r="A423" s="42"/>
    </row>
    <row r="424" customFormat="false" ht="12.75" hidden="false" customHeight="false" outlineLevel="0" collapsed="false">
      <c r="A424" s="42"/>
    </row>
    <row r="425" customFormat="false" ht="12.75" hidden="false" customHeight="false" outlineLevel="0" collapsed="false">
      <c r="A425" s="42"/>
    </row>
    <row r="426" customFormat="false" ht="12.75" hidden="false" customHeight="false" outlineLevel="0" collapsed="false">
      <c r="A426" s="42"/>
    </row>
    <row r="427" customFormat="false" ht="12.75" hidden="false" customHeight="false" outlineLevel="0" collapsed="false">
      <c r="A427" s="42"/>
    </row>
    <row r="428" customFormat="false" ht="12.75" hidden="false" customHeight="false" outlineLevel="0" collapsed="false">
      <c r="A428" s="42"/>
    </row>
    <row r="429" customFormat="false" ht="12.75" hidden="false" customHeight="false" outlineLevel="0" collapsed="false">
      <c r="A429" s="42"/>
    </row>
    <row r="430" customFormat="false" ht="12.75" hidden="false" customHeight="false" outlineLevel="0" collapsed="false">
      <c r="A430" s="42"/>
    </row>
    <row r="431" customFormat="false" ht="12.75" hidden="false" customHeight="false" outlineLevel="0" collapsed="false">
      <c r="A431" s="42"/>
    </row>
    <row r="432" customFormat="false" ht="12.75" hidden="false" customHeight="false" outlineLevel="0" collapsed="false">
      <c r="A432" s="42"/>
    </row>
    <row r="433" customFormat="false" ht="12.75" hidden="false" customHeight="false" outlineLevel="0" collapsed="false">
      <c r="A433" s="42"/>
    </row>
    <row r="434" customFormat="false" ht="12.75" hidden="false" customHeight="false" outlineLevel="0" collapsed="false">
      <c r="A434" s="42"/>
    </row>
    <row r="435" customFormat="false" ht="12.75" hidden="false" customHeight="false" outlineLevel="0" collapsed="false">
      <c r="A435" s="42"/>
    </row>
    <row r="436" customFormat="false" ht="12.75" hidden="false" customHeight="false" outlineLevel="0" collapsed="false">
      <c r="A436" s="42"/>
    </row>
    <row r="437" customFormat="false" ht="12.75" hidden="false" customHeight="false" outlineLevel="0" collapsed="false">
      <c r="A437" s="42"/>
    </row>
    <row r="438" customFormat="false" ht="12.75" hidden="false" customHeight="false" outlineLevel="0" collapsed="false">
      <c r="A438" s="42"/>
    </row>
    <row r="439" customFormat="false" ht="12.75" hidden="false" customHeight="false" outlineLevel="0" collapsed="false">
      <c r="A439" s="42"/>
    </row>
    <row r="440" customFormat="false" ht="12.75" hidden="false" customHeight="false" outlineLevel="0" collapsed="false">
      <c r="A440" s="42"/>
    </row>
    <row r="441" customFormat="false" ht="12.75" hidden="false" customHeight="false" outlineLevel="0" collapsed="false">
      <c r="A441" s="42"/>
    </row>
    <row r="442" customFormat="false" ht="12.75" hidden="false" customHeight="false" outlineLevel="0" collapsed="false">
      <c r="A442" s="42"/>
    </row>
    <row r="443" customFormat="false" ht="12.75" hidden="false" customHeight="false" outlineLevel="0" collapsed="false">
      <c r="A443" s="42"/>
    </row>
    <row r="444" customFormat="false" ht="12.75" hidden="false" customHeight="false" outlineLevel="0" collapsed="false">
      <c r="A444" s="42"/>
    </row>
    <row r="445" customFormat="false" ht="12.75" hidden="false" customHeight="false" outlineLevel="0" collapsed="false">
      <c r="A445" s="42"/>
    </row>
    <row r="446" customFormat="false" ht="12.75" hidden="false" customHeight="false" outlineLevel="0" collapsed="false">
      <c r="A446" s="42"/>
    </row>
    <row r="447" customFormat="false" ht="12.75" hidden="false" customHeight="false" outlineLevel="0" collapsed="false">
      <c r="A447" s="42"/>
    </row>
    <row r="448" customFormat="false" ht="12.75" hidden="false" customHeight="false" outlineLevel="0" collapsed="false">
      <c r="A448" s="42"/>
    </row>
    <row r="449" customFormat="false" ht="12.75" hidden="false" customHeight="false" outlineLevel="0" collapsed="false">
      <c r="A449" s="42"/>
    </row>
    <row r="450" customFormat="false" ht="12.75" hidden="false" customHeight="false" outlineLevel="0" collapsed="false">
      <c r="A450" s="42"/>
    </row>
    <row r="451" customFormat="false" ht="12.75" hidden="false" customHeight="false" outlineLevel="0" collapsed="false">
      <c r="A451" s="42"/>
    </row>
    <row r="452" customFormat="false" ht="12.75" hidden="false" customHeight="false" outlineLevel="0" collapsed="false">
      <c r="A452" s="42"/>
    </row>
    <row r="453" customFormat="false" ht="12.75" hidden="false" customHeight="false" outlineLevel="0" collapsed="false">
      <c r="A453" s="42"/>
    </row>
    <row r="454" customFormat="false" ht="12.75" hidden="false" customHeight="false" outlineLevel="0" collapsed="false">
      <c r="A454" s="42"/>
    </row>
    <row r="455" customFormat="false" ht="12.75" hidden="false" customHeight="false" outlineLevel="0" collapsed="false">
      <c r="A455" s="42"/>
    </row>
    <row r="456" customFormat="false" ht="12.75" hidden="false" customHeight="false" outlineLevel="0" collapsed="false">
      <c r="A456" s="42"/>
    </row>
    <row r="457" customFormat="false" ht="12.75" hidden="false" customHeight="false" outlineLevel="0" collapsed="false">
      <c r="A457" s="42"/>
    </row>
    <row r="458" customFormat="false" ht="12.75" hidden="false" customHeight="false" outlineLevel="0" collapsed="false">
      <c r="A458" s="42"/>
    </row>
    <row r="459" customFormat="false" ht="12.75" hidden="false" customHeight="false" outlineLevel="0" collapsed="false">
      <c r="A459" s="42"/>
    </row>
    <row r="460" customFormat="false" ht="12.75" hidden="false" customHeight="false" outlineLevel="0" collapsed="false">
      <c r="A460" s="42"/>
    </row>
    <row r="461" customFormat="false" ht="12.75" hidden="false" customHeight="false" outlineLevel="0" collapsed="false">
      <c r="A461" s="42"/>
    </row>
    <row r="462" customFormat="false" ht="12.75" hidden="false" customHeight="false" outlineLevel="0" collapsed="false">
      <c r="A462" s="42"/>
    </row>
    <row r="463" customFormat="false" ht="12.75" hidden="false" customHeight="false" outlineLevel="0" collapsed="false">
      <c r="A463" s="42"/>
    </row>
    <row r="464" customFormat="false" ht="12.75" hidden="false" customHeight="false" outlineLevel="0" collapsed="false">
      <c r="A464" s="42"/>
    </row>
    <row r="465" customFormat="false" ht="12.75" hidden="false" customHeight="false" outlineLevel="0" collapsed="false">
      <c r="A465" s="42"/>
    </row>
    <row r="466" customFormat="false" ht="12.75" hidden="false" customHeight="false" outlineLevel="0" collapsed="false">
      <c r="A466" s="42"/>
    </row>
    <row r="467" customFormat="false" ht="12.75" hidden="false" customHeight="false" outlineLevel="0" collapsed="false">
      <c r="A467" s="42"/>
    </row>
    <row r="468" customFormat="false" ht="12.75" hidden="false" customHeight="false" outlineLevel="0" collapsed="false">
      <c r="A468" s="42"/>
    </row>
    <row r="469" customFormat="false" ht="12.75" hidden="false" customHeight="false" outlineLevel="0" collapsed="false">
      <c r="A469" s="42"/>
    </row>
    <row r="470" customFormat="false" ht="12.75" hidden="false" customHeight="false" outlineLevel="0" collapsed="false">
      <c r="A470" s="42"/>
    </row>
    <row r="471" customFormat="false" ht="12.75" hidden="false" customHeight="false" outlineLevel="0" collapsed="false">
      <c r="A471" s="42"/>
    </row>
    <row r="472" customFormat="false" ht="12.75" hidden="false" customHeight="false" outlineLevel="0" collapsed="false">
      <c r="A472" s="42"/>
    </row>
    <row r="473" customFormat="false" ht="12.75" hidden="false" customHeight="false" outlineLevel="0" collapsed="false">
      <c r="A473" s="42"/>
    </row>
    <row r="474" customFormat="false" ht="12.75" hidden="false" customHeight="false" outlineLevel="0" collapsed="false">
      <c r="A474" s="42"/>
    </row>
    <row r="475" customFormat="false" ht="12.75" hidden="false" customHeight="false" outlineLevel="0" collapsed="false">
      <c r="A475" s="42"/>
    </row>
    <row r="476" customFormat="false" ht="12.75" hidden="false" customHeight="false" outlineLevel="0" collapsed="false">
      <c r="A476" s="42"/>
    </row>
    <row r="477" customFormat="false" ht="12.75" hidden="false" customHeight="false" outlineLevel="0" collapsed="false">
      <c r="A477" s="42"/>
    </row>
    <row r="478" customFormat="false" ht="12.75" hidden="false" customHeight="false" outlineLevel="0" collapsed="false">
      <c r="A478" s="42"/>
    </row>
    <row r="479" customFormat="false" ht="12.75" hidden="false" customHeight="false" outlineLevel="0" collapsed="false">
      <c r="A479" s="42"/>
    </row>
    <row r="480" customFormat="false" ht="12.75" hidden="false" customHeight="false" outlineLevel="0" collapsed="false">
      <c r="A480" s="42"/>
    </row>
    <row r="481" customFormat="false" ht="12.75" hidden="false" customHeight="false" outlineLevel="0" collapsed="false">
      <c r="A481" s="42"/>
    </row>
    <row r="482" customFormat="false" ht="12.75" hidden="false" customHeight="false" outlineLevel="0" collapsed="false">
      <c r="A482" s="42"/>
    </row>
    <row r="483" customFormat="false" ht="12.75" hidden="false" customHeight="false" outlineLevel="0" collapsed="false">
      <c r="A483" s="42"/>
    </row>
    <row r="484" customFormat="false" ht="12.75" hidden="false" customHeight="false" outlineLevel="0" collapsed="false">
      <c r="A484" s="42"/>
    </row>
    <row r="485" customFormat="false" ht="12.75" hidden="false" customHeight="false" outlineLevel="0" collapsed="false">
      <c r="A485" s="42"/>
    </row>
    <row r="486" customFormat="false" ht="12.75" hidden="false" customHeight="false" outlineLevel="0" collapsed="false">
      <c r="A486" s="42"/>
    </row>
    <row r="487" customFormat="false" ht="12.75" hidden="false" customHeight="false" outlineLevel="0" collapsed="false">
      <c r="A487" s="42"/>
    </row>
    <row r="488" customFormat="false" ht="12.75" hidden="false" customHeight="false" outlineLevel="0" collapsed="false">
      <c r="A488" s="42"/>
    </row>
    <row r="489" customFormat="false" ht="12.75" hidden="false" customHeight="false" outlineLevel="0" collapsed="false">
      <c r="A489" s="42"/>
    </row>
    <row r="490" customFormat="false" ht="12.75" hidden="false" customHeight="false" outlineLevel="0" collapsed="false">
      <c r="A490" s="42"/>
    </row>
    <row r="491" customFormat="false" ht="12.75" hidden="false" customHeight="false" outlineLevel="0" collapsed="false">
      <c r="A491" s="42"/>
    </row>
    <row r="492" customFormat="false" ht="12.75" hidden="false" customHeight="false" outlineLevel="0" collapsed="false">
      <c r="A492" s="42"/>
    </row>
    <row r="493" customFormat="false" ht="12.75" hidden="false" customHeight="false" outlineLevel="0" collapsed="false">
      <c r="A493" s="42"/>
    </row>
    <row r="494" customFormat="false" ht="12.75" hidden="false" customHeight="false" outlineLevel="0" collapsed="false">
      <c r="A494" s="42"/>
    </row>
    <row r="495" customFormat="false" ht="12.75" hidden="false" customHeight="false" outlineLevel="0" collapsed="false">
      <c r="A495" s="42"/>
    </row>
    <row r="496" customFormat="false" ht="12.75" hidden="false" customHeight="false" outlineLevel="0" collapsed="false">
      <c r="A496" s="42"/>
    </row>
    <row r="497" customFormat="false" ht="12.75" hidden="false" customHeight="false" outlineLevel="0" collapsed="false">
      <c r="A497" s="42"/>
    </row>
    <row r="498" customFormat="false" ht="12.75" hidden="false" customHeight="false" outlineLevel="0" collapsed="false">
      <c r="A498" s="42"/>
    </row>
    <row r="499" customFormat="false" ht="12.75" hidden="false" customHeight="false" outlineLevel="0" collapsed="false">
      <c r="A499" s="42"/>
    </row>
    <row r="500" customFormat="false" ht="12.75" hidden="false" customHeight="false" outlineLevel="0" collapsed="false">
      <c r="A500" s="42"/>
    </row>
    <row r="501" customFormat="false" ht="12.75" hidden="false" customHeight="false" outlineLevel="0" collapsed="false">
      <c r="A501" s="42"/>
    </row>
    <row r="502" customFormat="false" ht="12.75" hidden="false" customHeight="false" outlineLevel="0" collapsed="false">
      <c r="A502" s="42"/>
    </row>
    <row r="503" customFormat="false" ht="12.75" hidden="false" customHeight="false" outlineLevel="0" collapsed="false">
      <c r="A503" s="42"/>
    </row>
    <row r="504" customFormat="false" ht="12.75" hidden="false" customHeight="false" outlineLevel="0" collapsed="false">
      <c r="A504" s="42"/>
    </row>
    <row r="505" customFormat="false" ht="12.75" hidden="false" customHeight="false" outlineLevel="0" collapsed="false">
      <c r="A505" s="42"/>
    </row>
    <row r="506" customFormat="false" ht="12.75" hidden="false" customHeight="false" outlineLevel="0" collapsed="false">
      <c r="A506" s="42"/>
    </row>
    <row r="507" customFormat="false" ht="12.75" hidden="false" customHeight="false" outlineLevel="0" collapsed="false">
      <c r="A507" s="42"/>
    </row>
    <row r="508" customFormat="false" ht="12.75" hidden="false" customHeight="false" outlineLevel="0" collapsed="false">
      <c r="A508" s="42"/>
    </row>
    <row r="509" customFormat="false" ht="12.75" hidden="false" customHeight="false" outlineLevel="0" collapsed="false">
      <c r="A509" s="42"/>
    </row>
    <row r="510" customFormat="false" ht="12.75" hidden="false" customHeight="false" outlineLevel="0" collapsed="false">
      <c r="A510" s="42"/>
    </row>
    <row r="511" customFormat="false" ht="12.75" hidden="false" customHeight="false" outlineLevel="0" collapsed="false">
      <c r="A511" s="42"/>
    </row>
    <row r="512" customFormat="false" ht="12.75" hidden="false" customHeight="false" outlineLevel="0" collapsed="false">
      <c r="A512" s="42"/>
    </row>
    <row r="513" customFormat="false" ht="12.75" hidden="false" customHeight="false" outlineLevel="0" collapsed="false">
      <c r="A513" s="42"/>
    </row>
    <row r="514" customFormat="false" ht="12.75" hidden="false" customHeight="false" outlineLevel="0" collapsed="false">
      <c r="A514" s="42"/>
    </row>
    <row r="515" customFormat="false" ht="12.75" hidden="false" customHeight="false" outlineLevel="0" collapsed="false">
      <c r="A515" s="42"/>
    </row>
  </sheetData>
  <printOptions headings="false" gridLines="true" gridLinesSet="true" horizontalCentered="true" verticalCentered="true"/>
  <pageMargins left="0" right="0" top="0" bottom="0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EP6" activePane="bottomRight" state="frozen"/>
      <selection pane="topLeft" activeCell="A1" activeCellId="0" sqref="A1"/>
      <selection pane="topRight" activeCell="EP1" activeCellId="0" sqref="EP1"/>
      <selection pane="bottomLeft" activeCell="A6" activeCellId="0" sqref="A6"/>
      <selection pane="bottomRight" activeCell="EU23" activeCellId="0" sqref="EU23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1" width="15.15"/>
    <col collapsed="false" customWidth="false" hidden="false" outlineLevel="0" max="2" min="2" style="42" width="15.15"/>
    <col collapsed="false" customWidth="true" hidden="false" outlineLevel="0" max="3" min="3" style="3" width="18.15"/>
    <col collapsed="false" customWidth="false" hidden="false" outlineLevel="0" max="5" min="4" style="3" width="15.15"/>
    <col collapsed="false" customWidth="true" hidden="false" outlineLevel="0" max="6" min="6" style="3" width="18.15"/>
    <col collapsed="false" customWidth="false" hidden="false" outlineLevel="0" max="8" min="7" style="3" width="15.15"/>
    <col collapsed="false" customWidth="true" hidden="false" outlineLevel="0" max="9" min="9" style="3" width="18.15"/>
    <col collapsed="false" customWidth="false" hidden="false" outlineLevel="0" max="11" min="10" style="3" width="15.15"/>
    <col collapsed="false" customWidth="true" hidden="false" outlineLevel="0" max="12" min="12" style="3" width="18.15"/>
    <col collapsed="false" customWidth="false" hidden="false" outlineLevel="0" max="14" min="13" style="3" width="15.15"/>
    <col collapsed="false" customWidth="true" hidden="false" outlineLevel="0" max="15" min="15" style="3" width="18.15"/>
    <col collapsed="false" customWidth="false" hidden="false" outlineLevel="0" max="17" min="16" style="3" width="15.15"/>
    <col collapsed="false" customWidth="true" hidden="false" outlineLevel="0" max="18" min="18" style="3" width="18.15"/>
    <col collapsed="false" customWidth="false" hidden="false" outlineLevel="0" max="20" min="19" style="3" width="15.15"/>
    <col collapsed="false" customWidth="true" hidden="false" outlineLevel="0" max="21" min="21" style="3" width="18.15"/>
    <col collapsed="false" customWidth="false" hidden="false" outlineLevel="0" max="23" min="22" style="3" width="15.15"/>
    <col collapsed="false" customWidth="true" hidden="false" outlineLevel="0" max="24" min="24" style="3" width="18.15"/>
    <col collapsed="false" customWidth="false" hidden="false" outlineLevel="0" max="26" min="25" style="3" width="15.15"/>
    <col collapsed="false" customWidth="true" hidden="false" outlineLevel="0" max="27" min="27" style="3" width="18.15"/>
    <col collapsed="false" customWidth="false" hidden="false" outlineLevel="0" max="29" min="28" style="3" width="15.15"/>
    <col collapsed="false" customWidth="true" hidden="false" outlineLevel="0" max="30" min="30" style="3" width="18.15"/>
    <col collapsed="false" customWidth="false" hidden="false" outlineLevel="0" max="32" min="31" style="3" width="15.15"/>
    <col collapsed="false" customWidth="true" hidden="false" outlineLevel="0" max="33" min="33" style="3" width="18.15"/>
    <col collapsed="false" customWidth="false" hidden="false" outlineLevel="0" max="35" min="34" style="3" width="15.15"/>
    <col collapsed="false" customWidth="true" hidden="false" outlineLevel="0" max="36" min="36" style="3" width="18.15"/>
    <col collapsed="false" customWidth="false" hidden="false" outlineLevel="0" max="38" min="37" style="3" width="15.15"/>
    <col collapsed="false" customWidth="true" hidden="false" outlineLevel="0" max="39" min="39" style="3" width="18.15"/>
    <col collapsed="false" customWidth="false" hidden="false" outlineLevel="0" max="41" min="40" style="3" width="15.15"/>
    <col collapsed="false" customWidth="true" hidden="false" outlineLevel="0" max="42" min="42" style="3" width="18.15"/>
    <col collapsed="false" customWidth="false" hidden="false" outlineLevel="0" max="44" min="43" style="3" width="15.15"/>
    <col collapsed="false" customWidth="true" hidden="false" outlineLevel="0" max="45" min="45" style="3" width="18.15"/>
    <col collapsed="false" customWidth="false" hidden="false" outlineLevel="0" max="47" min="46" style="3" width="15.15"/>
    <col collapsed="false" customWidth="true" hidden="false" outlineLevel="0" max="48" min="48" style="3" width="18.15"/>
    <col collapsed="false" customWidth="false" hidden="false" outlineLevel="0" max="50" min="49" style="3" width="15.15"/>
    <col collapsed="false" customWidth="true" hidden="false" outlineLevel="0" max="51" min="51" style="3" width="18.15"/>
    <col collapsed="false" customWidth="false" hidden="false" outlineLevel="0" max="53" min="52" style="3" width="15.15"/>
    <col collapsed="false" customWidth="true" hidden="false" outlineLevel="0" max="54" min="54" style="3" width="18.15"/>
    <col collapsed="false" customWidth="false" hidden="false" outlineLevel="0" max="56" min="55" style="3" width="15.15"/>
    <col collapsed="false" customWidth="true" hidden="false" outlineLevel="0" max="57" min="57" style="3" width="18.15"/>
    <col collapsed="false" customWidth="false" hidden="false" outlineLevel="0" max="59" min="58" style="3" width="15.15"/>
    <col collapsed="false" customWidth="true" hidden="false" outlineLevel="0" max="60" min="60" style="3" width="18.15"/>
    <col collapsed="false" customWidth="false" hidden="false" outlineLevel="0" max="62" min="61" style="3" width="15.15"/>
    <col collapsed="false" customWidth="true" hidden="false" outlineLevel="0" max="63" min="63" style="3" width="18.15"/>
    <col collapsed="false" customWidth="false" hidden="false" outlineLevel="0" max="65" min="64" style="3" width="15.15"/>
    <col collapsed="false" customWidth="true" hidden="false" outlineLevel="0" max="66" min="66" style="3" width="18.15"/>
    <col collapsed="false" customWidth="false" hidden="false" outlineLevel="0" max="68" min="67" style="3" width="15.15"/>
    <col collapsed="false" customWidth="true" hidden="false" outlineLevel="0" max="69" min="69" style="3" width="18.15"/>
    <col collapsed="false" customWidth="false" hidden="false" outlineLevel="0" max="71" min="70" style="3" width="15.15"/>
    <col collapsed="false" customWidth="true" hidden="false" outlineLevel="0" max="72" min="72" style="3" width="18.15"/>
    <col collapsed="false" customWidth="false" hidden="false" outlineLevel="0" max="74" min="73" style="3" width="15.15"/>
    <col collapsed="false" customWidth="true" hidden="false" outlineLevel="0" max="75" min="75" style="3" width="18.15"/>
    <col collapsed="false" customWidth="false" hidden="false" outlineLevel="0" max="77" min="76" style="3" width="15.15"/>
    <col collapsed="false" customWidth="true" hidden="false" outlineLevel="0" max="78" min="78" style="3" width="18.15"/>
    <col collapsed="false" customWidth="false" hidden="false" outlineLevel="0" max="80" min="79" style="3" width="15.15"/>
    <col collapsed="false" customWidth="true" hidden="false" outlineLevel="0" max="81" min="81" style="3" width="18.15"/>
    <col collapsed="false" customWidth="false" hidden="false" outlineLevel="0" max="83" min="82" style="3" width="15.15"/>
    <col collapsed="false" customWidth="true" hidden="false" outlineLevel="0" max="84" min="84" style="3" width="18.15"/>
    <col collapsed="false" customWidth="false" hidden="false" outlineLevel="0" max="86" min="85" style="3" width="15.15"/>
    <col collapsed="false" customWidth="true" hidden="false" outlineLevel="0" max="87" min="87" style="3" width="18.15"/>
    <col collapsed="false" customWidth="false" hidden="false" outlineLevel="0" max="89" min="88" style="3" width="15.15"/>
    <col collapsed="false" customWidth="true" hidden="false" outlineLevel="0" max="90" min="90" style="3" width="18.15"/>
    <col collapsed="false" customWidth="false" hidden="false" outlineLevel="0" max="92" min="91" style="3" width="15.15"/>
    <col collapsed="false" customWidth="true" hidden="false" outlineLevel="0" max="93" min="93" style="3" width="18.15"/>
    <col collapsed="false" customWidth="false" hidden="false" outlineLevel="0" max="95" min="94" style="3" width="15.15"/>
    <col collapsed="false" customWidth="true" hidden="false" outlineLevel="0" max="96" min="96" style="3" width="18.15"/>
    <col collapsed="false" customWidth="false" hidden="false" outlineLevel="0" max="98" min="97" style="3" width="15.15"/>
    <col collapsed="false" customWidth="true" hidden="false" outlineLevel="0" max="99" min="99" style="3" width="18.15"/>
    <col collapsed="false" customWidth="false" hidden="false" outlineLevel="0" max="101" min="100" style="3" width="15.15"/>
    <col collapsed="false" customWidth="true" hidden="false" outlineLevel="0" max="102" min="102" style="3" width="18.15"/>
    <col collapsed="false" customWidth="false" hidden="false" outlineLevel="0" max="104" min="103" style="3" width="15.15"/>
    <col collapsed="false" customWidth="true" hidden="false" outlineLevel="0" max="105" min="105" style="3" width="18.15"/>
    <col collapsed="false" customWidth="false" hidden="false" outlineLevel="0" max="107" min="106" style="3" width="15.15"/>
    <col collapsed="false" customWidth="true" hidden="false" outlineLevel="0" max="108" min="108" style="3" width="18.15"/>
    <col collapsed="false" customWidth="false" hidden="false" outlineLevel="0" max="110" min="109" style="3" width="15.15"/>
    <col collapsed="false" customWidth="true" hidden="false" outlineLevel="0" max="111" min="111" style="3" width="18.15"/>
    <col collapsed="false" customWidth="false" hidden="false" outlineLevel="0" max="113" min="112" style="3" width="15.15"/>
    <col collapsed="false" customWidth="true" hidden="false" outlineLevel="0" max="114" min="114" style="3" width="18.15"/>
    <col collapsed="false" customWidth="false" hidden="false" outlineLevel="0" max="116" min="115" style="3" width="15.15"/>
    <col collapsed="false" customWidth="true" hidden="false" outlineLevel="0" max="117" min="117" style="3" width="18.15"/>
    <col collapsed="false" customWidth="false" hidden="false" outlineLevel="0" max="119" min="118" style="3" width="15.15"/>
    <col collapsed="false" customWidth="true" hidden="false" outlineLevel="0" max="120" min="120" style="3" width="18.15"/>
    <col collapsed="false" customWidth="false" hidden="false" outlineLevel="0" max="122" min="121" style="3" width="15.15"/>
    <col collapsed="false" customWidth="true" hidden="false" outlineLevel="0" max="123" min="123" style="3" width="18.15"/>
    <col collapsed="false" customWidth="false" hidden="false" outlineLevel="0" max="125" min="124" style="3" width="15.15"/>
    <col collapsed="false" customWidth="true" hidden="false" outlineLevel="0" max="126" min="126" style="3" width="18.15"/>
    <col collapsed="false" customWidth="false" hidden="false" outlineLevel="0" max="128" min="127" style="3" width="15.15"/>
    <col collapsed="false" customWidth="true" hidden="false" outlineLevel="0" max="129" min="129" style="3" width="18.15"/>
    <col collapsed="false" customWidth="false" hidden="false" outlineLevel="0" max="131" min="130" style="3" width="15.15"/>
    <col collapsed="false" customWidth="true" hidden="false" outlineLevel="0" max="132" min="132" style="3" width="18.15"/>
    <col collapsed="false" customWidth="false" hidden="false" outlineLevel="0" max="134" min="133" style="3" width="15.15"/>
    <col collapsed="false" customWidth="true" hidden="false" outlineLevel="0" max="135" min="135" style="3" width="18.15"/>
    <col collapsed="false" customWidth="false" hidden="false" outlineLevel="0" max="137" min="136" style="3" width="15.15"/>
    <col collapsed="false" customWidth="true" hidden="false" outlineLevel="0" max="138" min="138" style="3" width="18.15"/>
    <col collapsed="false" customWidth="false" hidden="false" outlineLevel="0" max="140" min="139" style="3" width="15.15"/>
    <col collapsed="false" customWidth="true" hidden="false" outlineLevel="0" max="141" min="141" style="3" width="18.15"/>
    <col collapsed="false" customWidth="false" hidden="false" outlineLevel="0" max="143" min="142" style="3" width="15.15"/>
    <col collapsed="false" customWidth="true" hidden="false" outlineLevel="0" max="144" min="144" style="3" width="18.15"/>
    <col collapsed="false" customWidth="false" hidden="false" outlineLevel="0" max="146" min="145" style="3" width="15.15"/>
    <col collapsed="false" customWidth="false" hidden="false" outlineLevel="0" max="147" min="147" style="43" width="15.15"/>
    <col collapsed="false" customWidth="false" hidden="false" outlineLevel="0" max="150" min="148" style="40" width="15.15"/>
    <col collapsed="false" customWidth="false" hidden="false" outlineLevel="0" max="152" min="151" style="3" width="15.15"/>
    <col collapsed="false" customWidth="false" hidden="false" outlineLevel="0" max="153" min="153" style="43" width="15.15"/>
    <col collapsed="false" customWidth="false" hidden="false" outlineLevel="0" max="165" min="154" style="3" width="15.15"/>
    <col collapsed="false" customWidth="false" hidden="false" outlineLevel="0" max="173" min="166" style="44" width="15.15"/>
    <col collapsed="false" customWidth="false" hidden="false" outlineLevel="0" max="195" min="174" style="45" width="15.15"/>
    <col collapsed="false" customWidth="false" hidden="false" outlineLevel="0" max="202" min="196" style="46" width="15.15"/>
    <col collapsed="false" customWidth="false" hidden="false" outlineLevel="0" max="257" min="203" style="1" width="15.15"/>
  </cols>
  <sheetData>
    <row r="1" customFormat="false" ht="12.75" hidden="false" customHeight="false" outlineLevel="0" collapsed="false">
      <c r="A1" s="47" t="s">
        <v>74</v>
      </c>
      <c r="B1" s="48" t="n">
        <f aca="false">+BaseloadMarkets!B1</f>
        <v>36678</v>
      </c>
      <c r="C1" s="8" t="s">
        <v>77</v>
      </c>
      <c r="D1" s="8"/>
      <c r="E1" s="49"/>
      <c r="F1" s="8" t="n">
        <v>4.29</v>
      </c>
      <c r="G1" s="8"/>
      <c r="H1" s="49"/>
      <c r="I1" s="8" t="n">
        <v>4.42</v>
      </c>
      <c r="J1" s="8"/>
      <c r="K1" s="49"/>
      <c r="L1" s="8" t="s">
        <v>2</v>
      </c>
      <c r="M1" s="8"/>
      <c r="N1" s="49"/>
      <c r="O1" s="8" t="s">
        <v>8</v>
      </c>
      <c r="P1" s="8"/>
      <c r="Q1" s="49"/>
      <c r="R1" s="8" t="n">
        <v>4.27</v>
      </c>
      <c r="S1" s="8"/>
      <c r="T1" s="49"/>
      <c r="U1" s="8" t="n">
        <v>4.29</v>
      </c>
      <c r="V1" s="8"/>
      <c r="W1" s="49"/>
      <c r="X1" s="8" t="n">
        <v>4.37</v>
      </c>
      <c r="Y1" s="8"/>
      <c r="Z1" s="49"/>
      <c r="AA1" s="8"/>
      <c r="AB1" s="8"/>
      <c r="AC1" s="49"/>
      <c r="AD1" s="8"/>
      <c r="AE1" s="8"/>
      <c r="AF1" s="49"/>
      <c r="AG1" s="8"/>
      <c r="AH1" s="8"/>
      <c r="AI1" s="49"/>
      <c r="AJ1" s="8"/>
      <c r="AK1" s="8"/>
      <c r="AL1" s="49"/>
      <c r="AM1" s="8"/>
      <c r="AN1" s="8"/>
      <c r="AO1" s="49"/>
      <c r="AP1" s="8"/>
      <c r="AQ1" s="8"/>
      <c r="AR1" s="49"/>
      <c r="AS1" s="8"/>
      <c r="AT1" s="8"/>
      <c r="AU1" s="49"/>
      <c r="AV1" s="8"/>
      <c r="AW1" s="8"/>
      <c r="AX1" s="49"/>
      <c r="AY1" s="8"/>
      <c r="AZ1" s="8"/>
      <c r="BA1" s="49"/>
      <c r="BB1" s="8"/>
      <c r="BC1" s="8"/>
      <c r="BD1" s="49"/>
      <c r="BE1" s="8"/>
      <c r="BF1" s="8"/>
      <c r="BG1" s="49"/>
      <c r="BH1" s="8"/>
      <c r="BI1" s="8"/>
      <c r="BJ1" s="49"/>
      <c r="BK1" s="8"/>
      <c r="BL1" s="8"/>
      <c r="BM1" s="49"/>
      <c r="BN1" s="8"/>
      <c r="BO1" s="8"/>
      <c r="BP1" s="49"/>
      <c r="BQ1" s="8"/>
      <c r="BR1" s="8"/>
      <c r="BS1" s="49"/>
      <c r="BT1" s="8"/>
      <c r="BU1" s="8"/>
      <c r="BV1" s="49"/>
      <c r="BW1" s="8"/>
      <c r="BX1" s="8"/>
      <c r="BY1" s="49"/>
      <c r="BZ1" s="8"/>
      <c r="CA1" s="8"/>
      <c r="CB1" s="49"/>
      <c r="CC1" s="8"/>
      <c r="CD1" s="8"/>
      <c r="CE1" s="49"/>
      <c r="CF1" s="8"/>
      <c r="CG1" s="8"/>
      <c r="CH1" s="49"/>
      <c r="CI1" s="8"/>
      <c r="CJ1" s="8"/>
      <c r="CK1" s="49"/>
      <c r="CL1" s="8"/>
      <c r="CM1" s="8"/>
      <c r="CN1" s="49"/>
      <c r="CO1" s="8"/>
      <c r="CP1" s="8"/>
      <c r="CQ1" s="49"/>
      <c r="CR1" s="8"/>
      <c r="CS1" s="8"/>
      <c r="CT1" s="49"/>
      <c r="CU1" s="8"/>
      <c r="CV1" s="8"/>
      <c r="CW1" s="49"/>
      <c r="CX1" s="8"/>
      <c r="CY1" s="8"/>
      <c r="CZ1" s="49"/>
      <c r="DA1" s="8"/>
      <c r="DB1" s="8"/>
      <c r="DC1" s="49"/>
      <c r="DD1" s="8"/>
      <c r="DE1" s="8"/>
      <c r="DF1" s="49"/>
      <c r="DG1" s="8"/>
      <c r="DH1" s="8"/>
      <c r="DI1" s="49"/>
      <c r="DJ1" s="8"/>
      <c r="DK1" s="8"/>
      <c r="DL1" s="49"/>
      <c r="DM1" s="8"/>
      <c r="DN1" s="8"/>
      <c r="DO1" s="49"/>
      <c r="DP1" s="8"/>
      <c r="DQ1" s="8"/>
      <c r="DR1" s="49"/>
      <c r="DS1" s="8"/>
      <c r="DT1" s="8"/>
      <c r="DU1" s="49"/>
      <c r="DV1" s="8"/>
      <c r="DW1" s="8"/>
      <c r="DX1" s="49"/>
      <c r="DY1" s="8"/>
      <c r="DZ1" s="8"/>
      <c r="EA1" s="49"/>
      <c r="EB1" s="8"/>
      <c r="EC1" s="8"/>
      <c r="ED1" s="49"/>
      <c r="EE1" s="8"/>
      <c r="EF1" s="8"/>
      <c r="EG1" s="49"/>
      <c r="EH1" s="8"/>
      <c r="EI1" s="8"/>
      <c r="EJ1" s="49"/>
      <c r="EK1" s="8"/>
      <c r="EL1" s="8"/>
      <c r="EM1" s="49"/>
      <c r="EN1" s="8"/>
      <c r="EO1" s="8"/>
      <c r="EP1" s="49"/>
      <c r="EQ1" s="50"/>
      <c r="ER1" s="50"/>
      <c r="ES1" s="50"/>
      <c r="ET1" s="50"/>
      <c r="EU1" s="49"/>
      <c r="EV1" s="49"/>
      <c r="EW1" s="51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</row>
    <row r="2" customFormat="false" ht="12.75" hidden="false" customHeight="true" outlineLevel="0" collapsed="false">
      <c r="A2" s="10" t="s">
        <v>48</v>
      </c>
      <c r="B2" s="10"/>
      <c r="C2" s="12" t="s">
        <v>128</v>
      </c>
      <c r="D2" s="12"/>
      <c r="E2" s="12"/>
      <c r="F2" s="12" t="n">
        <v>279208</v>
      </c>
      <c r="G2" s="12"/>
      <c r="H2" s="12"/>
      <c r="I2" s="12" t="n">
        <v>281502</v>
      </c>
      <c r="J2" s="12"/>
      <c r="K2" s="12"/>
      <c r="L2" s="12" t="s">
        <v>129</v>
      </c>
      <c r="M2" s="12"/>
      <c r="N2" s="12"/>
      <c r="O2" s="12" t="n">
        <v>277814</v>
      </c>
      <c r="P2" s="12"/>
      <c r="Q2" s="12"/>
      <c r="R2" s="12" t="n">
        <v>278815</v>
      </c>
      <c r="S2" s="12"/>
      <c r="T2" s="12"/>
      <c r="U2" s="12" t="n">
        <v>280175</v>
      </c>
      <c r="V2" s="12"/>
      <c r="W2" s="12"/>
      <c r="X2" s="12" t="n">
        <v>281339</v>
      </c>
      <c r="Y2" s="12"/>
      <c r="Z2" s="12"/>
      <c r="AA2" s="12"/>
      <c r="AB2" s="12"/>
      <c r="AC2" s="12"/>
      <c r="AD2" s="12"/>
      <c r="AE2" s="12"/>
      <c r="AF2" s="12"/>
      <c r="AG2" s="12" t="s">
        <v>82</v>
      </c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53"/>
      <c r="ER2" s="4"/>
      <c r="ES2" s="4"/>
      <c r="ET2" s="54"/>
      <c r="EU2" s="12"/>
      <c r="EV2" s="12"/>
      <c r="EW2" s="92"/>
      <c r="EX2" s="12" t="s">
        <v>50</v>
      </c>
      <c r="EY2" s="12" t="s">
        <v>50</v>
      </c>
      <c r="EZ2" s="12"/>
      <c r="FA2" s="12" t="s">
        <v>50</v>
      </c>
      <c r="FB2" s="12" t="s">
        <v>50</v>
      </c>
      <c r="FC2" s="12"/>
      <c r="FD2" s="12"/>
      <c r="FE2" s="12"/>
      <c r="FF2" s="12"/>
      <c r="FG2" s="12"/>
      <c r="FH2" s="12"/>
      <c r="FI2" s="12"/>
      <c r="FJ2" s="55"/>
      <c r="FK2" s="55"/>
      <c r="FL2" s="55"/>
      <c r="FM2" s="55"/>
      <c r="FN2" s="55"/>
      <c r="FO2" s="55"/>
      <c r="FP2" s="55"/>
      <c r="FQ2" s="55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7"/>
      <c r="GO2" s="57"/>
      <c r="GP2" s="57"/>
      <c r="GQ2" s="57"/>
      <c r="GR2" s="57"/>
      <c r="GS2" s="57"/>
      <c r="GT2" s="57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58"/>
      <c r="B3" s="58"/>
      <c r="C3" s="60" t="s">
        <v>85</v>
      </c>
      <c r="D3" s="60"/>
      <c r="E3" s="60"/>
      <c r="F3" s="60" t="s">
        <v>85</v>
      </c>
      <c r="G3" s="60"/>
      <c r="H3" s="60"/>
      <c r="I3" s="60" t="s">
        <v>85</v>
      </c>
      <c r="J3" s="60"/>
      <c r="K3" s="60"/>
      <c r="L3" s="60" t="s">
        <v>85</v>
      </c>
      <c r="M3" s="60"/>
      <c r="N3" s="60"/>
      <c r="O3" s="60" t="s">
        <v>85</v>
      </c>
      <c r="P3" s="60"/>
      <c r="Q3" s="60"/>
      <c r="R3" s="60" t="s">
        <v>85</v>
      </c>
      <c r="S3" s="60"/>
      <c r="T3" s="60"/>
      <c r="U3" s="60" t="s">
        <v>85</v>
      </c>
      <c r="V3" s="60"/>
      <c r="W3" s="60"/>
      <c r="X3" s="60" t="s">
        <v>85</v>
      </c>
      <c r="Y3" s="60"/>
      <c r="Z3" s="60"/>
      <c r="AA3" s="60"/>
      <c r="AB3" s="60"/>
      <c r="AC3" s="60"/>
      <c r="AD3" s="60"/>
      <c r="AE3" s="60"/>
      <c r="AF3" s="60"/>
      <c r="AG3" s="60" t="s">
        <v>86</v>
      </c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95"/>
      <c r="ER3" s="96"/>
      <c r="ES3" s="96"/>
      <c r="ET3" s="62"/>
      <c r="EU3" s="60"/>
      <c r="EV3" s="12" t="s">
        <v>50</v>
      </c>
      <c r="EW3" s="12" t="s">
        <v>50</v>
      </c>
      <c r="EX3" s="60" t="s">
        <v>85</v>
      </c>
      <c r="EY3" s="60" t="s">
        <v>85</v>
      </c>
      <c r="EZ3" s="60"/>
      <c r="FA3" s="60" t="s">
        <v>86</v>
      </c>
      <c r="FB3" s="60" t="s">
        <v>86</v>
      </c>
      <c r="FC3" s="60"/>
      <c r="FD3" s="60"/>
      <c r="FE3" s="60"/>
      <c r="FF3" s="60"/>
      <c r="FG3" s="60"/>
      <c r="FH3" s="60"/>
      <c r="FI3" s="60"/>
      <c r="FJ3" s="97"/>
      <c r="FK3" s="97"/>
      <c r="FL3" s="97"/>
      <c r="FM3" s="97"/>
      <c r="FN3" s="97"/>
      <c r="FO3" s="97"/>
      <c r="FP3" s="97"/>
      <c r="FQ3" s="97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9"/>
      <c r="GO3" s="99"/>
      <c r="GP3" s="99"/>
      <c r="GQ3" s="99"/>
      <c r="GR3" s="99"/>
      <c r="GS3" s="99"/>
      <c r="GT3" s="99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customFormat="false" ht="12.75" hidden="false" customHeight="true" outlineLevel="0" collapsed="false">
      <c r="A4" s="10" t="s">
        <v>87</v>
      </c>
      <c r="B4" s="10" t="s">
        <v>88</v>
      </c>
      <c r="C4" s="12" t="s">
        <v>37</v>
      </c>
      <c r="D4" s="12"/>
      <c r="E4" s="12" t="s">
        <v>83</v>
      </c>
      <c r="F4" s="12" t="s">
        <v>24</v>
      </c>
      <c r="G4" s="12"/>
      <c r="H4" s="12" t="s">
        <v>83</v>
      </c>
      <c r="I4" s="12" t="s">
        <v>24</v>
      </c>
      <c r="J4" s="12"/>
      <c r="K4" s="12" t="s">
        <v>83</v>
      </c>
      <c r="L4" s="12" t="s">
        <v>130</v>
      </c>
      <c r="M4" s="12"/>
      <c r="N4" s="12" t="s">
        <v>83</v>
      </c>
      <c r="O4" s="12" t="s">
        <v>52</v>
      </c>
      <c r="P4" s="12"/>
      <c r="Q4" s="12" t="s">
        <v>83</v>
      </c>
      <c r="R4" s="12" t="s">
        <v>36</v>
      </c>
      <c r="S4" s="12"/>
      <c r="T4" s="12" t="s">
        <v>83</v>
      </c>
      <c r="U4" s="12" t="s">
        <v>30</v>
      </c>
      <c r="V4" s="12"/>
      <c r="W4" s="12" t="s">
        <v>83</v>
      </c>
      <c r="X4" s="12" t="s">
        <v>30</v>
      </c>
      <c r="Y4" s="12"/>
      <c r="Z4" s="12" t="s">
        <v>83</v>
      </c>
      <c r="AA4" s="12"/>
      <c r="AB4" s="12"/>
      <c r="AC4" s="12" t="s">
        <v>83</v>
      </c>
      <c r="AD4" s="12"/>
      <c r="AE4" s="12"/>
      <c r="AF4" s="12" t="s">
        <v>83</v>
      </c>
      <c r="AG4" s="12"/>
      <c r="AH4" s="12"/>
      <c r="AI4" s="12" t="s">
        <v>83</v>
      </c>
      <c r="AJ4" s="12"/>
      <c r="AK4" s="12"/>
      <c r="AL4" s="12" t="s">
        <v>83</v>
      </c>
      <c r="AM4" s="12"/>
      <c r="AN4" s="12"/>
      <c r="AO4" s="12" t="s">
        <v>83</v>
      </c>
      <c r="AP4" s="12"/>
      <c r="AQ4" s="12"/>
      <c r="AR4" s="12" t="s">
        <v>83</v>
      </c>
      <c r="AS4" s="12"/>
      <c r="AT4" s="12"/>
      <c r="AU4" s="12" t="s">
        <v>83</v>
      </c>
      <c r="AV4" s="12"/>
      <c r="AW4" s="12"/>
      <c r="AX4" s="12" t="s">
        <v>83</v>
      </c>
      <c r="AY4" s="12"/>
      <c r="AZ4" s="12"/>
      <c r="BA4" s="12" t="s">
        <v>83</v>
      </c>
      <c r="BB4" s="12"/>
      <c r="BC4" s="12"/>
      <c r="BD4" s="12" t="s">
        <v>83</v>
      </c>
      <c r="BE4" s="12"/>
      <c r="BF4" s="12"/>
      <c r="BG4" s="12" t="s">
        <v>83</v>
      </c>
      <c r="BH4" s="12"/>
      <c r="BI4" s="12"/>
      <c r="BJ4" s="12" t="s">
        <v>83</v>
      </c>
      <c r="BK4" s="12"/>
      <c r="BL4" s="12"/>
      <c r="BM4" s="12" t="s">
        <v>83</v>
      </c>
      <c r="BN4" s="12"/>
      <c r="BO4" s="12"/>
      <c r="BP4" s="12" t="s">
        <v>83</v>
      </c>
      <c r="BQ4" s="12"/>
      <c r="BR4" s="12"/>
      <c r="BS4" s="12" t="s">
        <v>83</v>
      </c>
      <c r="BT4" s="12"/>
      <c r="BU4" s="12"/>
      <c r="BV4" s="12" t="s">
        <v>83</v>
      </c>
      <c r="BW4" s="12"/>
      <c r="BX4" s="12"/>
      <c r="BY4" s="12" t="s">
        <v>83</v>
      </c>
      <c r="BZ4" s="12"/>
      <c r="CA4" s="12"/>
      <c r="CB4" s="12" t="s">
        <v>83</v>
      </c>
      <c r="CC4" s="12"/>
      <c r="CD4" s="12"/>
      <c r="CE4" s="12" t="s">
        <v>83</v>
      </c>
      <c r="CF4" s="12"/>
      <c r="CG4" s="12"/>
      <c r="CH4" s="12" t="s">
        <v>83</v>
      </c>
      <c r="CI4" s="12"/>
      <c r="CJ4" s="12"/>
      <c r="CK4" s="12" t="s">
        <v>83</v>
      </c>
      <c r="CL4" s="12"/>
      <c r="CM4" s="12"/>
      <c r="CN4" s="12" t="s">
        <v>83</v>
      </c>
      <c r="CO4" s="12"/>
      <c r="CP4" s="12"/>
      <c r="CQ4" s="12" t="s">
        <v>83</v>
      </c>
      <c r="CR4" s="12"/>
      <c r="CS4" s="12"/>
      <c r="CT4" s="12" t="s">
        <v>83</v>
      </c>
      <c r="CU4" s="12"/>
      <c r="CV4" s="12"/>
      <c r="CW4" s="12" t="s">
        <v>83</v>
      </c>
      <c r="CX4" s="12"/>
      <c r="CY4" s="12"/>
      <c r="CZ4" s="12" t="s">
        <v>83</v>
      </c>
      <c r="DA4" s="12"/>
      <c r="DB4" s="12"/>
      <c r="DC4" s="12" t="s">
        <v>83</v>
      </c>
      <c r="DD4" s="12"/>
      <c r="DE4" s="12"/>
      <c r="DF4" s="12" t="s">
        <v>83</v>
      </c>
      <c r="DG4" s="12"/>
      <c r="DH4" s="12"/>
      <c r="DI4" s="12" t="s">
        <v>83</v>
      </c>
      <c r="DJ4" s="12"/>
      <c r="DK4" s="12"/>
      <c r="DL4" s="12" t="s">
        <v>83</v>
      </c>
      <c r="DM4" s="12"/>
      <c r="DN4" s="12"/>
      <c r="DO4" s="12" t="s">
        <v>83</v>
      </c>
      <c r="DP4" s="12"/>
      <c r="DQ4" s="12"/>
      <c r="DR4" s="12" t="s">
        <v>83</v>
      </c>
      <c r="DS4" s="12"/>
      <c r="DT4" s="12"/>
      <c r="DU4" s="12" t="s">
        <v>83</v>
      </c>
      <c r="DV4" s="12"/>
      <c r="DW4" s="12"/>
      <c r="DX4" s="12" t="s">
        <v>83</v>
      </c>
      <c r="DY4" s="12"/>
      <c r="DZ4" s="12"/>
      <c r="EA4" s="12" t="s">
        <v>83</v>
      </c>
      <c r="EB4" s="12"/>
      <c r="EC4" s="12"/>
      <c r="ED4" s="12" t="s">
        <v>83</v>
      </c>
      <c r="EE4" s="12"/>
      <c r="EF4" s="12"/>
      <c r="EG4" s="12" t="s">
        <v>83</v>
      </c>
      <c r="EH4" s="12"/>
      <c r="EI4" s="12"/>
      <c r="EJ4" s="12" t="s">
        <v>83</v>
      </c>
      <c r="EK4" s="12"/>
      <c r="EL4" s="12"/>
      <c r="EM4" s="12" t="s">
        <v>83</v>
      </c>
      <c r="EN4" s="12"/>
      <c r="EO4" s="12"/>
      <c r="EP4" s="12" t="s">
        <v>83</v>
      </c>
      <c r="EQ4" s="10" t="s">
        <v>50</v>
      </c>
      <c r="ER4" s="11" t="s">
        <v>50</v>
      </c>
      <c r="ES4" s="4"/>
      <c r="ET4" s="54" t="s">
        <v>91</v>
      </c>
      <c r="EU4" s="12"/>
      <c r="EV4" s="12" t="s">
        <v>85</v>
      </c>
      <c r="EW4" s="12" t="s">
        <v>85</v>
      </c>
      <c r="EX4" s="12" t="s">
        <v>83</v>
      </c>
      <c r="EY4" s="12" t="s">
        <v>84</v>
      </c>
      <c r="EZ4" s="12"/>
      <c r="FA4" s="12" t="s">
        <v>83</v>
      </c>
      <c r="FB4" s="12" t="s">
        <v>84</v>
      </c>
      <c r="FC4" s="12"/>
      <c r="FD4" s="12"/>
      <c r="FE4" s="12"/>
      <c r="FF4" s="12"/>
      <c r="FG4" s="12"/>
      <c r="FH4" s="12"/>
      <c r="FI4" s="12"/>
      <c r="FJ4" s="55"/>
      <c r="FK4" s="55"/>
      <c r="FL4" s="55"/>
      <c r="FM4" s="55"/>
      <c r="FN4" s="55"/>
      <c r="FO4" s="55"/>
      <c r="FP4" s="55"/>
      <c r="FQ4" s="55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7"/>
      <c r="GO4" s="57"/>
      <c r="GP4" s="57"/>
      <c r="GQ4" s="57"/>
      <c r="GR4" s="57"/>
      <c r="GS4" s="57"/>
      <c r="GT4" s="57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51</v>
      </c>
      <c r="B5" s="10" t="s">
        <v>92</v>
      </c>
      <c r="C5" s="19" t="s">
        <v>55</v>
      </c>
      <c r="D5" s="19"/>
      <c r="E5" s="19" t="s">
        <v>94</v>
      </c>
      <c r="F5" s="19" t="s">
        <v>55</v>
      </c>
      <c r="G5" s="19"/>
      <c r="H5" s="19" t="s">
        <v>94</v>
      </c>
      <c r="I5" s="19" t="s">
        <v>55</v>
      </c>
      <c r="J5" s="19"/>
      <c r="K5" s="19" t="s">
        <v>94</v>
      </c>
      <c r="L5" s="19" t="s">
        <v>55</v>
      </c>
      <c r="M5" s="19"/>
      <c r="N5" s="19" t="s">
        <v>94</v>
      </c>
      <c r="O5" s="19" t="s">
        <v>55</v>
      </c>
      <c r="P5" s="19"/>
      <c r="Q5" s="19" t="s">
        <v>94</v>
      </c>
      <c r="R5" s="19" t="s">
        <v>55</v>
      </c>
      <c r="S5" s="19"/>
      <c r="T5" s="19" t="s">
        <v>94</v>
      </c>
      <c r="U5" s="19" t="s">
        <v>55</v>
      </c>
      <c r="V5" s="19"/>
      <c r="W5" s="19" t="s">
        <v>94</v>
      </c>
      <c r="X5" s="19" t="s">
        <v>55</v>
      </c>
      <c r="Y5" s="19"/>
      <c r="Z5" s="19" t="s">
        <v>94</v>
      </c>
      <c r="AA5" s="19"/>
      <c r="AB5" s="19"/>
      <c r="AC5" s="19" t="s">
        <v>94</v>
      </c>
      <c r="AD5" s="19"/>
      <c r="AE5" s="19"/>
      <c r="AF5" s="19" t="s">
        <v>94</v>
      </c>
      <c r="AG5" s="19"/>
      <c r="AH5" s="19"/>
      <c r="AI5" s="19" t="s">
        <v>94</v>
      </c>
      <c r="AJ5" s="19"/>
      <c r="AK5" s="19"/>
      <c r="AL5" s="19" t="s">
        <v>94</v>
      </c>
      <c r="AM5" s="19"/>
      <c r="AN5" s="19"/>
      <c r="AO5" s="19" t="s">
        <v>94</v>
      </c>
      <c r="AP5" s="19"/>
      <c r="AQ5" s="19"/>
      <c r="AR5" s="19" t="s">
        <v>94</v>
      </c>
      <c r="AS5" s="19"/>
      <c r="AT5" s="19"/>
      <c r="AU5" s="19" t="s">
        <v>94</v>
      </c>
      <c r="AV5" s="19"/>
      <c r="AW5" s="19"/>
      <c r="AX5" s="19" t="s">
        <v>94</v>
      </c>
      <c r="AY5" s="19"/>
      <c r="AZ5" s="19"/>
      <c r="BA5" s="19" t="s">
        <v>94</v>
      </c>
      <c r="BB5" s="19"/>
      <c r="BC5" s="19"/>
      <c r="BD5" s="19" t="s">
        <v>94</v>
      </c>
      <c r="BE5" s="19"/>
      <c r="BF5" s="19"/>
      <c r="BG5" s="19" t="s">
        <v>94</v>
      </c>
      <c r="BH5" s="19"/>
      <c r="BI5" s="19"/>
      <c r="BJ5" s="19" t="s">
        <v>94</v>
      </c>
      <c r="BK5" s="19"/>
      <c r="BL5" s="19"/>
      <c r="BM5" s="19" t="s">
        <v>94</v>
      </c>
      <c r="BN5" s="19"/>
      <c r="BO5" s="19"/>
      <c r="BP5" s="19" t="s">
        <v>94</v>
      </c>
      <c r="BQ5" s="19"/>
      <c r="BR5" s="19"/>
      <c r="BS5" s="19" t="s">
        <v>94</v>
      </c>
      <c r="BT5" s="19"/>
      <c r="BU5" s="19"/>
      <c r="BV5" s="19" t="s">
        <v>94</v>
      </c>
      <c r="BW5" s="19"/>
      <c r="BX5" s="19"/>
      <c r="BY5" s="19" t="s">
        <v>94</v>
      </c>
      <c r="BZ5" s="19"/>
      <c r="CA5" s="19"/>
      <c r="CB5" s="19" t="s">
        <v>94</v>
      </c>
      <c r="CC5" s="19"/>
      <c r="CD5" s="19"/>
      <c r="CE5" s="19" t="s">
        <v>94</v>
      </c>
      <c r="CF5" s="19"/>
      <c r="CG5" s="19"/>
      <c r="CH5" s="19" t="s">
        <v>94</v>
      </c>
      <c r="CI5" s="19"/>
      <c r="CJ5" s="19"/>
      <c r="CK5" s="19" t="s">
        <v>94</v>
      </c>
      <c r="CL5" s="19"/>
      <c r="CM5" s="19"/>
      <c r="CN5" s="19" t="s">
        <v>94</v>
      </c>
      <c r="CO5" s="19"/>
      <c r="CP5" s="19"/>
      <c r="CQ5" s="19" t="s">
        <v>94</v>
      </c>
      <c r="CR5" s="19"/>
      <c r="CS5" s="19"/>
      <c r="CT5" s="19" t="s">
        <v>94</v>
      </c>
      <c r="CU5" s="19"/>
      <c r="CV5" s="19"/>
      <c r="CW5" s="19" t="s">
        <v>94</v>
      </c>
      <c r="CX5" s="19"/>
      <c r="CY5" s="19"/>
      <c r="CZ5" s="19" t="s">
        <v>94</v>
      </c>
      <c r="DA5" s="19"/>
      <c r="DB5" s="19"/>
      <c r="DC5" s="19" t="s">
        <v>94</v>
      </c>
      <c r="DD5" s="19"/>
      <c r="DE5" s="19"/>
      <c r="DF5" s="19" t="s">
        <v>94</v>
      </c>
      <c r="DG5" s="19"/>
      <c r="DH5" s="19"/>
      <c r="DI5" s="19" t="s">
        <v>94</v>
      </c>
      <c r="DJ5" s="19"/>
      <c r="DK5" s="19"/>
      <c r="DL5" s="19" t="s">
        <v>94</v>
      </c>
      <c r="DM5" s="19"/>
      <c r="DN5" s="19"/>
      <c r="DO5" s="19" t="s">
        <v>94</v>
      </c>
      <c r="DP5" s="19"/>
      <c r="DQ5" s="19"/>
      <c r="DR5" s="19" t="s">
        <v>94</v>
      </c>
      <c r="DS5" s="19"/>
      <c r="DT5" s="19"/>
      <c r="DU5" s="19" t="s">
        <v>94</v>
      </c>
      <c r="DV5" s="19"/>
      <c r="DW5" s="19"/>
      <c r="DX5" s="19" t="s">
        <v>94</v>
      </c>
      <c r="DY5" s="19"/>
      <c r="DZ5" s="19"/>
      <c r="EA5" s="19" t="s">
        <v>94</v>
      </c>
      <c r="EB5" s="19"/>
      <c r="EC5" s="19"/>
      <c r="ED5" s="19" t="s">
        <v>94</v>
      </c>
      <c r="EE5" s="19"/>
      <c r="EF5" s="19"/>
      <c r="EG5" s="19" t="s">
        <v>94</v>
      </c>
      <c r="EH5" s="19"/>
      <c r="EI5" s="19"/>
      <c r="EJ5" s="19" t="s">
        <v>94</v>
      </c>
      <c r="EK5" s="19"/>
      <c r="EL5" s="19"/>
      <c r="EM5" s="19" t="s">
        <v>94</v>
      </c>
      <c r="EN5" s="19"/>
      <c r="EO5" s="19"/>
      <c r="EP5" s="19" t="s">
        <v>94</v>
      </c>
      <c r="EQ5" s="54" t="s">
        <v>74</v>
      </c>
      <c r="ER5" s="54" t="s">
        <v>95</v>
      </c>
      <c r="ES5" s="54" t="s">
        <v>94</v>
      </c>
      <c r="ET5" s="19" t="s">
        <v>94</v>
      </c>
      <c r="EU5" s="19"/>
      <c r="EV5" s="19" t="s">
        <v>96</v>
      </c>
      <c r="EW5" s="19" t="s">
        <v>97</v>
      </c>
      <c r="EX5" s="19" t="s">
        <v>98</v>
      </c>
      <c r="EY5" s="19" t="s">
        <v>98</v>
      </c>
      <c r="EZ5" s="19"/>
      <c r="FA5" s="19" t="s">
        <v>98</v>
      </c>
      <c r="FB5" s="19" t="s">
        <v>98</v>
      </c>
      <c r="FC5" s="19"/>
      <c r="FD5" s="19"/>
      <c r="FE5" s="19"/>
      <c r="FF5" s="19"/>
      <c r="FG5" s="19"/>
      <c r="FH5" s="19"/>
      <c r="FI5" s="19"/>
      <c r="FJ5" s="65"/>
      <c r="FK5" s="65"/>
      <c r="FL5" s="65"/>
      <c r="FM5" s="65"/>
      <c r="FN5" s="65"/>
      <c r="FO5" s="65"/>
      <c r="FP5" s="65"/>
      <c r="FQ5" s="65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7"/>
      <c r="GO5" s="67"/>
      <c r="GP5" s="67"/>
      <c r="GQ5" s="67"/>
      <c r="GR5" s="67"/>
      <c r="GS5" s="67"/>
      <c r="GT5" s="67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2.75" hidden="false" customHeight="false" outlineLevel="0" collapsed="false">
      <c r="A6" s="69" t="n">
        <f aca="false">+BaseloadMarkets!A6</f>
        <v>36678</v>
      </c>
      <c r="B6" s="69" t="str">
        <f aca="false">+BaseloadMarkets!B6</f>
        <v>Thu</v>
      </c>
      <c r="C6" s="22" t="n">
        <f aca="false">5000+5000</f>
        <v>10000</v>
      </c>
      <c r="D6" s="22" t="n">
        <f aca="false">5000+5000</f>
        <v>10000</v>
      </c>
      <c r="E6" s="70" t="n">
        <f aca="false">D6-C6</f>
        <v>0</v>
      </c>
      <c r="F6" s="22" t="n">
        <v>10000</v>
      </c>
      <c r="G6" s="22" t="n">
        <v>10000</v>
      </c>
      <c r="H6" s="70" t="n">
        <f aca="false">G6-F6</f>
        <v>0</v>
      </c>
      <c r="I6" s="22" t="n">
        <v>10000</v>
      </c>
      <c r="J6" s="22" t="n">
        <v>10000</v>
      </c>
      <c r="K6" s="70" t="n">
        <f aca="false">J6-I6</f>
        <v>0</v>
      </c>
      <c r="L6" s="22" t="n">
        <f aca="false">5000+5000</f>
        <v>10000</v>
      </c>
      <c r="M6" s="22" t="n">
        <f aca="false">5000+5000</f>
        <v>10000</v>
      </c>
      <c r="N6" s="70" t="n">
        <f aca="false">M6-L6</f>
        <v>0</v>
      </c>
      <c r="O6" s="22" t="n">
        <v>5000</v>
      </c>
      <c r="P6" s="22" t="n">
        <v>1454</v>
      </c>
      <c r="Q6" s="70" t="n">
        <f aca="false">P6-O6</f>
        <v>-3546</v>
      </c>
      <c r="R6" s="22" t="n">
        <v>5000</v>
      </c>
      <c r="S6" s="22" t="n">
        <v>5000</v>
      </c>
      <c r="T6" s="70" t="n">
        <f aca="false">S6-R6</f>
        <v>0</v>
      </c>
      <c r="U6" s="22" t="n">
        <v>5000</v>
      </c>
      <c r="V6" s="22" t="n">
        <v>5000</v>
      </c>
      <c r="W6" s="70" t="n">
        <f aca="false">V6-U6</f>
        <v>0</v>
      </c>
      <c r="X6" s="22" t="n">
        <v>10000</v>
      </c>
      <c r="Y6" s="22" t="n">
        <v>10000</v>
      </c>
      <c r="Z6" s="70" t="n">
        <f aca="false">Y6-X6</f>
        <v>0</v>
      </c>
      <c r="AA6" s="22"/>
      <c r="AB6" s="22"/>
      <c r="AC6" s="70" t="n">
        <f aca="false">AB6-AA6</f>
        <v>0</v>
      </c>
      <c r="AD6" s="22"/>
      <c r="AE6" s="22"/>
      <c r="AF6" s="70" t="n">
        <f aca="false">AE6-AD6</f>
        <v>0</v>
      </c>
      <c r="AG6" s="22" t="n">
        <v>320000</v>
      </c>
      <c r="AH6" s="22" t="n">
        <v>320000</v>
      </c>
      <c r="AI6" s="70" t="n">
        <f aca="false">AH6-AG6</f>
        <v>0</v>
      </c>
      <c r="AJ6" s="22"/>
      <c r="AK6" s="22"/>
      <c r="AL6" s="70" t="n">
        <f aca="false">AK6-AJ6</f>
        <v>0</v>
      </c>
      <c r="AM6" s="22"/>
      <c r="AN6" s="22"/>
      <c r="AO6" s="70" t="n">
        <f aca="false">AN6-AM6</f>
        <v>0</v>
      </c>
      <c r="AP6" s="22"/>
      <c r="AQ6" s="22"/>
      <c r="AR6" s="70" t="n">
        <f aca="false">AQ6-AP6</f>
        <v>0</v>
      </c>
      <c r="AS6" s="22"/>
      <c r="AT6" s="22"/>
      <c r="AU6" s="70" t="n">
        <f aca="false">AT6-AS6</f>
        <v>0</v>
      </c>
      <c r="AV6" s="22"/>
      <c r="AW6" s="22"/>
      <c r="AX6" s="70" t="n">
        <f aca="false">AW6-AV6</f>
        <v>0</v>
      </c>
      <c r="AY6" s="22"/>
      <c r="AZ6" s="22"/>
      <c r="BA6" s="70" t="n">
        <f aca="false">AZ6-AY6</f>
        <v>0</v>
      </c>
      <c r="BB6" s="22"/>
      <c r="BC6" s="22"/>
      <c r="BD6" s="70" t="n">
        <f aca="false">BC6-BB6</f>
        <v>0</v>
      </c>
      <c r="BE6" s="22"/>
      <c r="BF6" s="22"/>
      <c r="BG6" s="70" t="n">
        <f aca="false">BF6-BE6</f>
        <v>0</v>
      </c>
      <c r="BH6" s="22"/>
      <c r="BI6" s="22"/>
      <c r="BJ6" s="70" t="n">
        <f aca="false">BI6-BH6</f>
        <v>0</v>
      </c>
      <c r="BK6" s="22"/>
      <c r="BL6" s="22"/>
      <c r="BM6" s="70" t="n">
        <f aca="false">BL6-BK6</f>
        <v>0</v>
      </c>
      <c r="BN6" s="22"/>
      <c r="BO6" s="22"/>
      <c r="BP6" s="70" t="n">
        <f aca="false">BO6-BN6</f>
        <v>0</v>
      </c>
      <c r="BQ6" s="22"/>
      <c r="BR6" s="22"/>
      <c r="BS6" s="70" t="n">
        <f aca="false">BR6-BQ6</f>
        <v>0</v>
      </c>
      <c r="BT6" s="22"/>
      <c r="BU6" s="22"/>
      <c r="BV6" s="70" t="n">
        <f aca="false">BU6-BT6</f>
        <v>0</v>
      </c>
      <c r="BW6" s="22"/>
      <c r="BX6" s="22"/>
      <c r="BY6" s="70" t="n">
        <f aca="false">BX6-BW6</f>
        <v>0</v>
      </c>
      <c r="BZ6" s="22"/>
      <c r="CA6" s="22"/>
      <c r="CB6" s="70" t="n">
        <f aca="false">CA6-BZ6</f>
        <v>0</v>
      </c>
      <c r="CC6" s="22"/>
      <c r="CD6" s="22"/>
      <c r="CE6" s="70" t="n">
        <f aca="false">CD6-CC6</f>
        <v>0</v>
      </c>
      <c r="CF6" s="22"/>
      <c r="CG6" s="22"/>
      <c r="CH6" s="70" t="n">
        <f aca="false">CG6-CF6</f>
        <v>0</v>
      </c>
      <c r="CI6" s="22"/>
      <c r="CJ6" s="22"/>
      <c r="CK6" s="70" t="n">
        <f aca="false">CJ6-CI6</f>
        <v>0</v>
      </c>
      <c r="CL6" s="22"/>
      <c r="CM6" s="22"/>
      <c r="CN6" s="70" t="n">
        <f aca="false">CM6-CL6</f>
        <v>0</v>
      </c>
      <c r="CO6" s="22"/>
      <c r="CP6" s="22"/>
      <c r="CQ6" s="70" t="n">
        <f aca="false">CP6-CO6</f>
        <v>0</v>
      </c>
      <c r="CR6" s="22"/>
      <c r="CS6" s="22"/>
      <c r="CT6" s="70" t="n">
        <f aca="false">CS6-CR6</f>
        <v>0</v>
      </c>
      <c r="CU6" s="22"/>
      <c r="CV6" s="22"/>
      <c r="CW6" s="70" t="n">
        <f aca="false">CV6-CU6</f>
        <v>0</v>
      </c>
      <c r="CX6" s="22"/>
      <c r="CY6" s="22"/>
      <c r="CZ6" s="70" t="n">
        <f aca="false">CY6-CX6</f>
        <v>0</v>
      </c>
      <c r="DA6" s="22"/>
      <c r="DB6" s="22"/>
      <c r="DC6" s="70" t="n">
        <f aca="false">DB6-DA6</f>
        <v>0</v>
      </c>
      <c r="DD6" s="22"/>
      <c r="DE6" s="22"/>
      <c r="DF6" s="70" t="n">
        <f aca="false">DE6-DD6</f>
        <v>0</v>
      </c>
      <c r="DG6" s="22"/>
      <c r="DH6" s="22"/>
      <c r="DI6" s="70" t="n">
        <f aca="false">DH6-DG6</f>
        <v>0</v>
      </c>
      <c r="DJ6" s="22"/>
      <c r="DK6" s="22"/>
      <c r="DL6" s="70" t="n">
        <f aca="false">DK6-DJ6</f>
        <v>0</v>
      </c>
      <c r="DM6" s="22"/>
      <c r="DN6" s="22"/>
      <c r="DO6" s="70" t="n">
        <f aca="false">DN6-DM6</f>
        <v>0</v>
      </c>
      <c r="DP6" s="22"/>
      <c r="DQ6" s="22"/>
      <c r="DR6" s="70" t="n">
        <f aca="false">DQ6-DP6</f>
        <v>0</v>
      </c>
      <c r="DS6" s="22"/>
      <c r="DT6" s="22"/>
      <c r="DU6" s="70" t="n">
        <f aca="false">DT6-DS6</f>
        <v>0</v>
      </c>
      <c r="DV6" s="22"/>
      <c r="DW6" s="22"/>
      <c r="DX6" s="70" t="n">
        <f aca="false">DW6-DV6</f>
        <v>0</v>
      </c>
      <c r="DY6" s="22"/>
      <c r="DZ6" s="22"/>
      <c r="EA6" s="70" t="n">
        <f aca="false">DZ6-DY6</f>
        <v>0</v>
      </c>
      <c r="EB6" s="22"/>
      <c r="EC6" s="22"/>
      <c r="ED6" s="70" t="n">
        <f aca="false">EC6-EB6</f>
        <v>0</v>
      </c>
      <c r="EE6" s="22"/>
      <c r="EF6" s="22"/>
      <c r="EG6" s="70" t="n">
        <f aca="false">EF6-EE6</f>
        <v>0</v>
      </c>
      <c r="EH6" s="22"/>
      <c r="EI6" s="22"/>
      <c r="EJ6" s="70" t="n">
        <f aca="false">EI6-EH6</f>
        <v>0</v>
      </c>
      <c r="EK6" s="22"/>
      <c r="EL6" s="22"/>
      <c r="EM6" s="70" t="n">
        <f aca="false">EL6-EK6</f>
        <v>0</v>
      </c>
      <c r="EN6" s="22"/>
      <c r="EO6" s="22"/>
      <c r="EP6" s="70" t="n">
        <f aca="false">EO6-EN6</f>
        <v>0</v>
      </c>
      <c r="EQ6" s="70" t="n">
        <f aca="false">+C6+F6+I6+L6+O6+R6+U6+X6+AA6+AD6+AG6+AJ6+AM6+AP6+AS6+AV6+AY6+BB6+BE6+BH6+BK6+BN6+BQ6+BT6+BW6+BZ6+CC6+CF6+CI6+CL6+CO6+CR6+CU6+CX6+DA6+DD6+DG6+DJ6+DM6+DP6+DS6+DV6+DY6+EB6+EE6+EH6+EK6+EN6</f>
        <v>385000</v>
      </c>
      <c r="ER6" s="70" t="n">
        <f aca="false">+D6+G6+J6+M6+P6+S6+V6+Y6+AB6+AE6+AH6+AK6+AN6+AQ6+AT6+AW6+AZ6+BC6+BF6+BI6+BL6+BO6+BR6+BU6+BX6+CA6+CD6+CG6+CJ6+CM6+CP6+CS6+CV6+CY6+DB6+DE6+DH6+DK6+DN6+DQ6+DT6+DW6+DZ6+EC6+EF6+EI6+EL6+EO6</f>
        <v>381454</v>
      </c>
      <c r="ES6" s="70" t="n">
        <f aca="false">ER6-EQ6</f>
        <v>-3546</v>
      </c>
      <c r="ET6" s="22" t="n">
        <f aca="false">+ES6</f>
        <v>-3546</v>
      </c>
      <c r="EU6" s="22"/>
      <c r="EV6" s="70" t="n">
        <f aca="false">+EQ6-AG6</f>
        <v>65000</v>
      </c>
      <c r="EW6" s="70" t="n">
        <f aca="false">+ER6-AH6</f>
        <v>61454</v>
      </c>
      <c r="EX6" s="22" t="n">
        <f aca="false">+EW6-EV6</f>
        <v>-3546</v>
      </c>
      <c r="EY6" s="22" t="n">
        <f aca="false">+EX6</f>
        <v>-3546</v>
      </c>
      <c r="EZ6" s="22"/>
      <c r="FA6" s="22" t="n">
        <f aca="false">+AI6</f>
        <v>0</v>
      </c>
      <c r="FB6" s="22" t="n">
        <f aca="false">+FA6</f>
        <v>0</v>
      </c>
      <c r="FC6" s="22"/>
      <c r="FD6" s="22"/>
      <c r="FE6" s="22"/>
      <c r="FF6" s="22"/>
      <c r="FG6" s="22"/>
      <c r="FH6" s="22"/>
      <c r="FI6" s="22"/>
      <c r="FJ6" s="38"/>
      <c r="FK6" s="38"/>
      <c r="FL6" s="38"/>
      <c r="FM6" s="38"/>
      <c r="FN6" s="38"/>
      <c r="FO6" s="38"/>
      <c r="FP6" s="38"/>
      <c r="FQ6" s="38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2"/>
      <c r="GO6" s="72"/>
      <c r="GP6" s="72"/>
      <c r="GQ6" s="72"/>
      <c r="GR6" s="72"/>
      <c r="GS6" s="72"/>
      <c r="GT6" s="72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2.75" hidden="false" customHeight="false" outlineLevel="0" collapsed="false">
      <c r="A7" s="69" t="n">
        <f aca="false">+BaseloadMarkets!A7</f>
        <v>36679</v>
      </c>
      <c r="B7" s="69" t="str">
        <f aca="false">+BaseloadMarkets!B7</f>
        <v>Fri</v>
      </c>
      <c r="C7" s="22" t="n">
        <f aca="false">5000+5000</f>
        <v>10000</v>
      </c>
      <c r="D7" s="22" t="n">
        <f aca="false">5000+5000</f>
        <v>10000</v>
      </c>
      <c r="E7" s="70" t="n">
        <f aca="false">D7-C7</f>
        <v>0</v>
      </c>
      <c r="F7" s="22" t="n">
        <v>10000</v>
      </c>
      <c r="G7" s="22" t="n">
        <v>10000</v>
      </c>
      <c r="H7" s="70" t="n">
        <f aca="false">G7-F7</f>
        <v>0</v>
      </c>
      <c r="I7" s="22" t="n">
        <v>10000</v>
      </c>
      <c r="J7" s="22" t="n">
        <v>10000</v>
      </c>
      <c r="K7" s="70" t="n">
        <f aca="false">J7-I7</f>
        <v>0</v>
      </c>
      <c r="L7" s="22" t="n">
        <f aca="false">5000+5000</f>
        <v>10000</v>
      </c>
      <c r="M7" s="22" t="n">
        <f aca="false">5000+5000</f>
        <v>10000</v>
      </c>
      <c r="N7" s="70" t="n">
        <f aca="false">M7-L7</f>
        <v>0</v>
      </c>
      <c r="O7" s="22" t="n">
        <v>5000</v>
      </c>
      <c r="P7" s="22" t="n">
        <v>0</v>
      </c>
      <c r="Q7" s="70" t="n">
        <f aca="false">P7-O7</f>
        <v>-5000</v>
      </c>
      <c r="R7" s="22" t="n">
        <v>5000</v>
      </c>
      <c r="S7" s="22" t="n">
        <v>5000</v>
      </c>
      <c r="T7" s="70" t="n">
        <f aca="false">S7-R7</f>
        <v>0</v>
      </c>
      <c r="U7" s="22" t="n">
        <v>5000</v>
      </c>
      <c r="V7" s="22" t="n">
        <v>5000</v>
      </c>
      <c r="W7" s="70" t="n">
        <f aca="false">V7-U7</f>
        <v>0</v>
      </c>
      <c r="X7" s="22" t="n">
        <v>10000</v>
      </c>
      <c r="Y7" s="22" t="n">
        <v>10000</v>
      </c>
      <c r="Z7" s="70" t="n">
        <f aca="false">Y7-X7</f>
        <v>0</v>
      </c>
      <c r="AA7" s="22"/>
      <c r="AB7" s="22"/>
      <c r="AC7" s="70" t="n">
        <f aca="false">AB7-AA7</f>
        <v>0</v>
      </c>
      <c r="AD7" s="22"/>
      <c r="AE7" s="22"/>
      <c r="AF7" s="70" t="n">
        <f aca="false">AE7-AD7</f>
        <v>0</v>
      </c>
      <c r="AG7" s="22" t="n">
        <v>345000</v>
      </c>
      <c r="AH7" s="22" t="n">
        <f aca="false">345000-10000+6098</f>
        <v>341098</v>
      </c>
      <c r="AI7" s="70" t="n">
        <f aca="false">AH7-AG7</f>
        <v>-3902</v>
      </c>
      <c r="AJ7" s="22"/>
      <c r="AK7" s="22"/>
      <c r="AL7" s="70" t="n">
        <f aca="false">AK7-AJ7</f>
        <v>0</v>
      </c>
      <c r="AM7" s="22"/>
      <c r="AN7" s="22"/>
      <c r="AO7" s="70" t="n">
        <f aca="false">AN7-AM7</f>
        <v>0</v>
      </c>
      <c r="AP7" s="22"/>
      <c r="AQ7" s="22"/>
      <c r="AR7" s="70" t="n">
        <f aca="false">AQ7-AP7</f>
        <v>0</v>
      </c>
      <c r="AS7" s="22"/>
      <c r="AT7" s="22"/>
      <c r="AU7" s="70" t="n">
        <f aca="false">AT7-AS7</f>
        <v>0</v>
      </c>
      <c r="AV7" s="22"/>
      <c r="AW7" s="22"/>
      <c r="AX7" s="70" t="n">
        <f aca="false">AW7-AV7</f>
        <v>0</v>
      </c>
      <c r="AY7" s="22"/>
      <c r="AZ7" s="22"/>
      <c r="BA7" s="70" t="n">
        <f aca="false">AZ7-AY7</f>
        <v>0</v>
      </c>
      <c r="BB7" s="22"/>
      <c r="BC7" s="22"/>
      <c r="BD7" s="70" t="n">
        <f aca="false">BC7-BB7</f>
        <v>0</v>
      </c>
      <c r="BE7" s="22"/>
      <c r="BF7" s="22"/>
      <c r="BG7" s="70" t="n">
        <f aca="false">BF7-BE7</f>
        <v>0</v>
      </c>
      <c r="BH7" s="22"/>
      <c r="BI7" s="22"/>
      <c r="BJ7" s="70" t="n">
        <f aca="false">BI7-BH7</f>
        <v>0</v>
      </c>
      <c r="BK7" s="22"/>
      <c r="BL7" s="22"/>
      <c r="BM7" s="70" t="n">
        <f aca="false">BL7-BK7</f>
        <v>0</v>
      </c>
      <c r="BN7" s="22"/>
      <c r="BO7" s="22"/>
      <c r="BP7" s="70" t="n">
        <f aca="false">BO7-BN7</f>
        <v>0</v>
      </c>
      <c r="BQ7" s="22"/>
      <c r="BR7" s="22"/>
      <c r="BS7" s="70" t="n">
        <f aca="false">BR7-BQ7</f>
        <v>0</v>
      </c>
      <c r="BT7" s="22"/>
      <c r="BU7" s="22"/>
      <c r="BV7" s="70" t="n">
        <f aca="false">BU7-BT7</f>
        <v>0</v>
      </c>
      <c r="BW7" s="22"/>
      <c r="BX7" s="22"/>
      <c r="BY7" s="70" t="n">
        <f aca="false">BX7-BW7</f>
        <v>0</v>
      </c>
      <c r="BZ7" s="22"/>
      <c r="CA7" s="22"/>
      <c r="CB7" s="70" t="n">
        <f aca="false">CA7-BZ7</f>
        <v>0</v>
      </c>
      <c r="CC7" s="22"/>
      <c r="CD7" s="22"/>
      <c r="CE7" s="70" t="n">
        <f aca="false">CD7-CC7</f>
        <v>0</v>
      </c>
      <c r="CF7" s="22"/>
      <c r="CG7" s="22"/>
      <c r="CH7" s="70" t="n">
        <f aca="false">CG7-CF7</f>
        <v>0</v>
      </c>
      <c r="CI7" s="22"/>
      <c r="CJ7" s="22"/>
      <c r="CK7" s="70" t="n">
        <f aca="false">CJ7-CI7</f>
        <v>0</v>
      </c>
      <c r="CL7" s="22"/>
      <c r="CM7" s="22"/>
      <c r="CN7" s="70" t="n">
        <f aca="false">CM7-CL7</f>
        <v>0</v>
      </c>
      <c r="CO7" s="22"/>
      <c r="CP7" s="22"/>
      <c r="CQ7" s="70" t="n">
        <f aca="false">CP7-CO7</f>
        <v>0</v>
      </c>
      <c r="CR7" s="22"/>
      <c r="CS7" s="22"/>
      <c r="CT7" s="70" t="n">
        <f aca="false">CS7-CR7</f>
        <v>0</v>
      </c>
      <c r="CU7" s="22"/>
      <c r="CV7" s="22"/>
      <c r="CW7" s="70" t="n">
        <f aca="false">CV7-CU7</f>
        <v>0</v>
      </c>
      <c r="CX7" s="22"/>
      <c r="CY7" s="22"/>
      <c r="CZ7" s="70" t="n">
        <f aca="false">CY7-CX7</f>
        <v>0</v>
      </c>
      <c r="DA7" s="22"/>
      <c r="DB7" s="22"/>
      <c r="DC7" s="70" t="n">
        <f aca="false">DB7-DA7</f>
        <v>0</v>
      </c>
      <c r="DD7" s="22"/>
      <c r="DE7" s="22"/>
      <c r="DF7" s="70" t="n">
        <f aca="false">DE7-DD7</f>
        <v>0</v>
      </c>
      <c r="DG7" s="22"/>
      <c r="DH7" s="22"/>
      <c r="DI7" s="70" t="n">
        <f aca="false">DH7-DG7</f>
        <v>0</v>
      </c>
      <c r="DJ7" s="22"/>
      <c r="DK7" s="22"/>
      <c r="DL7" s="70" t="n">
        <f aca="false">DK7-DJ7</f>
        <v>0</v>
      </c>
      <c r="DM7" s="22"/>
      <c r="DN7" s="22"/>
      <c r="DO7" s="70" t="n">
        <f aca="false">DN7-DM7</f>
        <v>0</v>
      </c>
      <c r="DP7" s="22"/>
      <c r="DQ7" s="22"/>
      <c r="DR7" s="70" t="n">
        <f aca="false">DQ7-DP7</f>
        <v>0</v>
      </c>
      <c r="DS7" s="22"/>
      <c r="DT7" s="22"/>
      <c r="DU7" s="70" t="n">
        <f aca="false">DT7-DS7</f>
        <v>0</v>
      </c>
      <c r="DV7" s="22"/>
      <c r="DW7" s="22"/>
      <c r="DX7" s="70" t="n">
        <f aca="false">DW7-DV7</f>
        <v>0</v>
      </c>
      <c r="DY7" s="22"/>
      <c r="DZ7" s="22"/>
      <c r="EA7" s="70" t="n">
        <f aca="false">DZ7-DY7</f>
        <v>0</v>
      </c>
      <c r="EB7" s="22"/>
      <c r="EC7" s="22"/>
      <c r="ED7" s="70" t="n">
        <f aca="false">EC7-EB7</f>
        <v>0</v>
      </c>
      <c r="EE7" s="22"/>
      <c r="EF7" s="22"/>
      <c r="EG7" s="70" t="n">
        <f aca="false">EF7-EE7</f>
        <v>0</v>
      </c>
      <c r="EH7" s="22"/>
      <c r="EI7" s="22"/>
      <c r="EJ7" s="70" t="n">
        <f aca="false">EI7-EH7</f>
        <v>0</v>
      </c>
      <c r="EK7" s="22"/>
      <c r="EL7" s="22"/>
      <c r="EM7" s="70" t="n">
        <f aca="false">EL7-EK7</f>
        <v>0</v>
      </c>
      <c r="EN7" s="22"/>
      <c r="EO7" s="22"/>
      <c r="EP7" s="70" t="n">
        <f aca="false">EO7-EN7</f>
        <v>0</v>
      </c>
      <c r="EQ7" s="70" t="n">
        <f aca="false">+C7+F7+I7+L7+O7+R7+U7+X7+AA7+AD7+AG7+AJ7+AM7+AP7+AS7+AV7+AY7+BB7+BE7+BH7+BK7+BN7+BQ7+BT7+BW7+BZ7+CC7+CF7+CI7+CL7+CO7+CR7+CU7+CX7+DA7+DD7+DG7+DJ7+DM7+DP7+DS7+DV7+DY7+EB7+EE7+EH7+EK7+EN7</f>
        <v>410000</v>
      </c>
      <c r="ER7" s="70" t="n">
        <f aca="false">+D7+G7+J7+M7+P7+S7+V7+Y7+AB7+AE7+AH7+AK7+AN7+AQ7+AT7+AW7+AZ7+BC7+BF7+BI7+BL7+BO7+BR7+BU7+BX7+CA7+CD7+CG7+CJ7+CM7+CP7+CS7+CV7+CY7+DB7+DE7+DH7+DK7+DN7+DQ7+DT7+DW7+DZ7+EC7+EF7+EI7+EL7+EO7</f>
        <v>401098</v>
      </c>
      <c r="ES7" s="70" t="n">
        <f aca="false">ER7-EQ7</f>
        <v>-8902</v>
      </c>
      <c r="ET7" s="22" t="n">
        <f aca="false">+ET6+ES7</f>
        <v>-12448</v>
      </c>
      <c r="EU7" s="22"/>
      <c r="EV7" s="70" t="n">
        <f aca="false">+EQ7-AG7</f>
        <v>65000</v>
      </c>
      <c r="EW7" s="70" t="n">
        <f aca="false">+ER7-AH7</f>
        <v>60000</v>
      </c>
      <c r="EX7" s="22" t="n">
        <f aca="false">+EW7-EV7</f>
        <v>-5000</v>
      </c>
      <c r="EY7" s="22" t="n">
        <f aca="false">+EY6+EX7</f>
        <v>-8546</v>
      </c>
      <c r="EZ7" s="22"/>
      <c r="FA7" s="22" t="n">
        <f aca="false">+AI7</f>
        <v>-3902</v>
      </c>
      <c r="FB7" s="22" t="n">
        <f aca="false">+FB6+FA7</f>
        <v>-3902</v>
      </c>
      <c r="FC7" s="22"/>
      <c r="FD7" s="22"/>
      <c r="FE7" s="22"/>
      <c r="FF7" s="22"/>
      <c r="FG7" s="22"/>
      <c r="FH7" s="22"/>
      <c r="FI7" s="22"/>
      <c r="FJ7" s="38"/>
      <c r="FK7" s="38"/>
      <c r="FL7" s="38"/>
      <c r="FM7" s="38"/>
      <c r="FN7" s="38"/>
      <c r="FO7" s="38"/>
      <c r="FP7" s="38"/>
      <c r="FQ7" s="38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2"/>
      <c r="GO7" s="72"/>
      <c r="GP7" s="72"/>
      <c r="GQ7" s="72"/>
      <c r="GR7" s="72"/>
      <c r="GS7" s="72"/>
      <c r="GT7" s="72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2.75" hidden="false" customHeight="false" outlineLevel="0" collapsed="false">
      <c r="A8" s="69" t="n">
        <f aca="false">+BaseloadMarkets!A8</f>
        <v>36680</v>
      </c>
      <c r="B8" s="69" t="str">
        <f aca="false">+BaseloadMarkets!B8</f>
        <v>Sat</v>
      </c>
      <c r="C8" s="22" t="n">
        <f aca="false">5000+5000</f>
        <v>10000</v>
      </c>
      <c r="D8" s="22" t="n">
        <f aca="false">5000+5000</f>
        <v>10000</v>
      </c>
      <c r="E8" s="70" t="n">
        <f aca="false">D8-C8</f>
        <v>0</v>
      </c>
      <c r="F8" s="22" t="n">
        <v>10000</v>
      </c>
      <c r="G8" s="22" t="n">
        <v>10000</v>
      </c>
      <c r="H8" s="70" t="n">
        <f aca="false">G8-F8</f>
        <v>0</v>
      </c>
      <c r="I8" s="22" t="n">
        <v>10000</v>
      </c>
      <c r="J8" s="22" t="n">
        <v>10000</v>
      </c>
      <c r="K8" s="70" t="n">
        <f aca="false">J8-I8</f>
        <v>0</v>
      </c>
      <c r="L8" s="22" t="n">
        <f aca="false">5000+5000</f>
        <v>10000</v>
      </c>
      <c r="M8" s="22" t="n">
        <f aca="false">5000+5000</f>
        <v>10000</v>
      </c>
      <c r="N8" s="70" t="n">
        <f aca="false">M8-L8</f>
        <v>0</v>
      </c>
      <c r="O8" s="22" t="n">
        <v>5000</v>
      </c>
      <c r="P8" s="22" t="n">
        <v>2002</v>
      </c>
      <c r="Q8" s="70" t="n">
        <f aca="false">P8-O8</f>
        <v>-2998</v>
      </c>
      <c r="R8" s="22" t="n">
        <v>5000</v>
      </c>
      <c r="S8" s="22" t="n">
        <v>5000</v>
      </c>
      <c r="T8" s="70" t="n">
        <f aca="false">S8-R8</f>
        <v>0</v>
      </c>
      <c r="U8" s="22" t="n">
        <v>5000</v>
      </c>
      <c r="V8" s="22" t="n">
        <v>5000</v>
      </c>
      <c r="W8" s="70" t="n">
        <f aca="false">V8-U8</f>
        <v>0</v>
      </c>
      <c r="X8" s="22" t="n">
        <v>10000</v>
      </c>
      <c r="Y8" s="22" t="n">
        <v>10000</v>
      </c>
      <c r="Z8" s="70" t="n">
        <f aca="false">Y8-X8</f>
        <v>0</v>
      </c>
      <c r="AA8" s="22"/>
      <c r="AB8" s="22"/>
      <c r="AC8" s="70" t="n">
        <f aca="false">AB8-AA8</f>
        <v>0</v>
      </c>
      <c r="AD8" s="22"/>
      <c r="AE8" s="22"/>
      <c r="AF8" s="70" t="n">
        <f aca="false">AE8-AD8</f>
        <v>0</v>
      </c>
      <c r="AG8" s="22" t="n">
        <v>100000</v>
      </c>
      <c r="AH8" s="22" t="n">
        <v>100000</v>
      </c>
      <c r="AI8" s="70" t="n">
        <f aca="false">AH8-AG8</f>
        <v>0</v>
      </c>
      <c r="AJ8" s="22"/>
      <c r="AK8" s="22"/>
      <c r="AL8" s="70" t="n">
        <f aca="false">AK8-AJ8</f>
        <v>0</v>
      </c>
      <c r="AM8" s="22"/>
      <c r="AN8" s="22"/>
      <c r="AO8" s="70" t="n">
        <f aca="false">AN8-AM8</f>
        <v>0</v>
      </c>
      <c r="AP8" s="22"/>
      <c r="AQ8" s="22"/>
      <c r="AR8" s="70" t="n">
        <f aca="false">AQ8-AP8</f>
        <v>0</v>
      </c>
      <c r="AS8" s="22"/>
      <c r="AT8" s="22"/>
      <c r="AU8" s="70" t="n">
        <f aca="false">AT8-AS8</f>
        <v>0</v>
      </c>
      <c r="AV8" s="22"/>
      <c r="AW8" s="22"/>
      <c r="AX8" s="70" t="n">
        <f aca="false">AW8-AV8</f>
        <v>0</v>
      </c>
      <c r="AY8" s="22"/>
      <c r="AZ8" s="22"/>
      <c r="BA8" s="70" t="n">
        <f aca="false">AZ8-AY8</f>
        <v>0</v>
      </c>
      <c r="BB8" s="22"/>
      <c r="BC8" s="22"/>
      <c r="BD8" s="70" t="n">
        <f aca="false">BC8-BB8</f>
        <v>0</v>
      </c>
      <c r="BE8" s="22"/>
      <c r="BF8" s="22"/>
      <c r="BG8" s="70" t="n">
        <f aca="false">BF8-BE8</f>
        <v>0</v>
      </c>
      <c r="BH8" s="22"/>
      <c r="BI8" s="22"/>
      <c r="BJ8" s="70" t="n">
        <f aca="false">BI8-BH8</f>
        <v>0</v>
      </c>
      <c r="BK8" s="22"/>
      <c r="BL8" s="22"/>
      <c r="BM8" s="70" t="n">
        <f aca="false">BL8-BK8</f>
        <v>0</v>
      </c>
      <c r="BN8" s="22"/>
      <c r="BO8" s="22"/>
      <c r="BP8" s="70" t="n">
        <f aca="false">BO8-BN8</f>
        <v>0</v>
      </c>
      <c r="BQ8" s="22"/>
      <c r="BR8" s="22"/>
      <c r="BS8" s="70" t="n">
        <f aca="false">BR8-BQ8</f>
        <v>0</v>
      </c>
      <c r="BT8" s="22"/>
      <c r="BU8" s="22"/>
      <c r="BV8" s="70" t="n">
        <f aca="false">BU8-BT8</f>
        <v>0</v>
      </c>
      <c r="BW8" s="22"/>
      <c r="BX8" s="22"/>
      <c r="BY8" s="70" t="n">
        <f aca="false">BX8-BW8</f>
        <v>0</v>
      </c>
      <c r="BZ8" s="22"/>
      <c r="CA8" s="22"/>
      <c r="CB8" s="70" t="n">
        <f aca="false">CA8-BZ8</f>
        <v>0</v>
      </c>
      <c r="CC8" s="22"/>
      <c r="CD8" s="22"/>
      <c r="CE8" s="70" t="n">
        <f aca="false">CD8-CC8</f>
        <v>0</v>
      </c>
      <c r="CF8" s="22"/>
      <c r="CG8" s="22"/>
      <c r="CH8" s="70" t="n">
        <f aca="false">CG8-CF8</f>
        <v>0</v>
      </c>
      <c r="CI8" s="22"/>
      <c r="CJ8" s="22"/>
      <c r="CK8" s="70" t="n">
        <f aca="false">CJ8-CI8</f>
        <v>0</v>
      </c>
      <c r="CL8" s="22"/>
      <c r="CM8" s="22"/>
      <c r="CN8" s="70" t="n">
        <f aca="false">CM8-CL8</f>
        <v>0</v>
      </c>
      <c r="CO8" s="22"/>
      <c r="CP8" s="22"/>
      <c r="CQ8" s="70" t="n">
        <f aca="false">CP8-CO8</f>
        <v>0</v>
      </c>
      <c r="CR8" s="22"/>
      <c r="CS8" s="22"/>
      <c r="CT8" s="70" t="n">
        <f aca="false">CS8-CR8</f>
        <v>0</v>
      </c>
      <c r="CU8" s="22"/>
      <c r="CV8" s="22"/>
      <c r="CW8" s="70" t="n">
        <f aca="false">CV8-CU8</f>
        <v>0</v>
      </c>
      <c r="CX8" s="22"/>
      <c r="CY8" s="22"/>
      <c r="CZ8" s="70" t="n">
        <f aca="false">CY8-CX8</f>
        <v>0</v>
      </c>
      <c r="DA8" s="22"/>
      <c r="DB8" s="22"/>
      <c r="DC8" s="70" t="n">
        <f aca="false">DB8-DA8</f>
        <v>0</v>
      </c>
      <c r="DD8" s="22"/>
      <c r="DE8" s="22"/>
      <c r="DF8" s="70" t="n">
        <f aca="false">DE8-DD8</f>
        <v>0</v>
      </c>
      <c r="DG8" s="22"/>
      <c r="DH8" s="22"/>
      <c r="DI8" s="70" t="n">
        <f aca="false">DH8-DG8</f>
        <v>0</v>
      </c>
      <c r="DJ8" s="22"/>
      <c r="DK8" s="22"/>
      <c r="DL8" s="70" t="n">
        <f aca="false">DK8-DJ8</f>
        <v>0</v>
      </c>
      <c r="DM8" s="22"/>
      <c r="DN8" s="22"/>
      <c r="DO8" s="70" t="n">
        <f aca="false">DN8-DM8</f>
        <v>0</v>
      </c>
      <c r="DP8" s="22"/>
      <c r="DQ8" s="22"/>
      <c r="DR8" s="70" t="n">
        <f aca="false">DQ8-DP8</f>
        <v>0</v>
      </c>
      <c r="DS8" s="22"/>
      <c r="DT8" s="22"/>
      <c r="DU8" s="70" t="n">
        <f aca="false">DT8-DS8</f>
        <v>0</v>
      </c>
      <c r="DV8" s="22"/>
      <c r="DW8" s="22"/>
      <c r="DX8" s="70" t="n">
        <f aca="false">DW8-DV8</f>
        <v>0</v>
      </c>
      <c r="DY8" s="22"/>
      <c r="DZ8" s="22"/>
      <c r="EA8" s="70" t="n">
        <f aca="false">DZ8-DY8</f>
        <v>0</v>
      </c>
      <c r="EB8" s="22"/>
      <c r="EC8" s="22"/>
      <c r="ED8" s="70" t="n">
        <f aca="false">EC8-EB8</f>
        <v>0</v>
      </c>
      <c r="EE8" s="22"/>
      <c r="EF8" s="22"/>
      <c r="EG8" s="70" t="n">
        <f aca="false">EF8-EE8</f>
        <v>0</v>
      </c>
      <c r="EH8" s="22"/>
      <c r="EI8" s="22"/>
      <c r="EJ8" s="70" t="n">
        <f aca="false">EI8-EH8</f>
        <v>0</v>
      </c>
      <c r="EK8" s="22"/>
      <c r="EL8" s="22"/>
      <c r="EM8" s="70" t="n">
        <f aca="false">EL8-EK8</f>
        <v>0</v>
      </c>
      <c r="EN8" s="22"/>
      <c r="EO8" s="22"/>
      <c r="EP8" s="70" t="n">
        <f aca="false">EO8-EN8</f>
        <v>0</v>
      </c>
      <c r="EQ8" s="70" t="n">
        <f aca="false">+C8+F8+I8+L8+O8+R8+U8+X8+AA8+AD8+AG8+AJ8+AM8+AP8+AS8+AV8+AY8+BB8+BE8+BH8+BK8+BN8+BQ8+BT8+BW8+BZ8+CC8+CF8+CI8+CL8+CO8+CR8+CU8+CX8+DA8+DD8+DG8+DJ8+DM8+DP8+DS8+DV8+DY8+EB8+EE8+EH8+EK8+EN8</f>
        <v>165000</v>
      </c>
      <c r="ER8" s="70" t="n">
        <f aca="false">+D8+G8+J8+M8+P8+S8+V8+Y8+AB8+AE8+AH8+AK8+AN8+AQ8+AT8+AW8+AZ8+BC8+BF8+BI8+BL8+BO8+BR8+BU8+BX8+CA8+CD8+CG8+CJ8+CM8+CP8+CS8+CV8+CY8+DB8+DE8+DH8+DK8+DN8+DQ8+DT8+DW8+DZ8+EC8+EF8+EI8+EL8+EO8</f>
        <v>162002</v>
      </c>
      <c r="ES8" s="70" t="n">
        <f aca="false">ER8-EQ8</f>
        <v>-2998</v>
      </c>
      <c r="ET8" s="22" t="n">
        <f aca="false">+ET7+ES8</f>
        <v>-15446</v>
      </c>
      <c r="EU8" s="74"/>
      <c r="EV8" s="70" t="n">
        <f aca="false">+EQ8-AG8</f>
        <v>65000</v>
      </c>
      <c r="EW8" s="70" t="n">
        <f aca="false">+ER8-AH8</f>
        <v>62002</v>
      </c>
      <c r="EX8" s="22" t="n">
        <f aca="false">+EW8-EV8</f>
        <v>-2998</v>
      </c>
      <c r="EY8" s="22" t="n">
        <f aca="false">+EY7+EX8</f>
        <v>-11544</v>
      </c>
      <c r="EZ8" s="74"/>
      <c r="FA8" s="22" t="n">
        <f aca="false">+AI8</f>
        <v>0</v>
      </c>
      <c r="FB8" s="22" t="n">
        <f aca="false">+FB7+FA8</f>
        <v>-3902</v>
      </c>
      <c r="FC8" s="74"/>
      <c r="FD8" s="74"/>
      <c r="FE8" s="74"/>
      <c r="FF8" s="74"/>
      <c r="FG8" s="74"/>
      <c r="FH8" s="74"/>
      <c r="FI8" s="74"/>
    </row>
    <row r="9" customFormat="false" ht="12.75" hidden="false" customHeight="false" outlineLevel="0" collapsed="false">
      <c r="A9" s="69" t="n">
        <f aca="false">+BaseloadMarkets!A9</f>
        <v>36681</v>
      </c>
      <c r="B9" s="69" t="str">
        <f aca="false">+BaseloadMarkets!B9</f>
        <v>Sun</v>
      </c>
      <c r="C9" s="22" t="n">
        <f aca="false">5000+5000</f>
        <v>10000</v>
      </c>
      <c r="D9" s="22" t="n">
        <f aca="false">5000+5000</f>
        <v>10000</v>
      </c>
      <c r="E9" s="70" t="n">
        <f aca="false">D9-C9</f>
        <v>0</v>
      </c>
      <c r="F9" s="22" t="n">
        <v>10000</v>
      </c>
      <c r="G9" s="22" t="n">
        <v>10000</v>
      </c>
      <c r="H9" s="70" t="n">
        <f aca="false">G9-F9</f>
        <v>0</v>
      </c>
      <c r="I9" s="22" t="n">
        <v>10000</v>
      </c>
      <c r="J9" s="22" t="n">
        <v>10000</v>
      </c>
      <c r="K9" s="70" t="n">
        <f aca="false">J9-I9</f>
        <v>0</v>
      </c>
      <c r="L9" s="22" t="n">
        <f aca="false">5000+5000</f>
        <v>10000</v>
      </c>
      <c r="M9" s="22" t="n">
        <f aca="false">5000+5000</f>
        <v>10000</v>
      </c>
      <c r="N9" s="70" t="n">
        <f aca="false">M9-L9</f>
        <v>0</v>
      </c>
      <c r="O9" s="22" t="n">
        <v>5000</v>
      </c>
      <c r="P9" s="22" t="n">
        <v>3659</v>
      </c>
      <c r="Q9" s="70" t="n">
        <f aca="false">P9-O9</f>
        <v>-1341</v>
      </c>
      <c r="R9" s="22" t="n">
        <v>5000</v>
      </c>
      <c r="S9" s="22" t="n">
        <v>5000</v>
      </c>
      <c r="T9" s="70" t="n">
        <f aca="false">S9-R9</f>
        <v>0</v>
      </c>
      <c r="U9" s="22" t="n">
        <v>5000</v>
      </c>
      <c r="V9" s="22" t="n">
        <v>5000</v>
      </c>
      <c r="W9" s="70" t="n">
        <f aca="false">V9-U9</f>
        <v>0</v>
      </c>
      <c r="X9" s="22" t="n">
        <v>10000</v>
      </c>
      <c r="Y9" s="22" t="n">
        <v>10000</v>
      </c>
      <c r="Z9" s="70" t="n">
        <f aca="false">Y9-X9</f>
        <v>0</v>
      </c>
      <c r="AA9" s="22"/>
      <c r="AB9" s="22"/>
      <c r="AC9" s="70" t="n">
        <f aca="false">AB9-AA9</f>
        <v>0</v>
      </c>
      <c r="AD9" s="22"/>
      <c r="AE9" s="22"/>
      <c r="AF9" s="70" t="n">
        <f aca="false">AE9-AD9</f>
        <v>0</v>
      </c>
      <c r="AG9" s="22" t="n">
        <v>100000</v>
      </c>
      <c r="AH9" s="22" t="n">
        <v>100000</v>
      </c>
      <c r="AI9" s="70" t="n">
        <f aca="false">AH9-AG9</f>
        <v>0</v>
      </c>
      <c r="AJ9" s="22"/>
      <c r="AK9" s="22"/>
      <c r="AL9" s="70" t="n">
        <f aca="false">AK9-AJ9</f>
        <v>0</v>
      </c>
      <c r="AM9" s="22"/>
      <c r="AN9" s="22"/>
      <c r="AO9" s="70" t="n">
        <f aca="false">AN9-AM9</f>
        <v>0</v>
      </c>
      <c r="AP9" s="22"/>
      <c r="AQ9" s="22"/>
      <c r="AR9" s="70" t="n">
        <f aca="false">AQ9-AP9</f>
        <v>0</v>
      </c>
      <c r="AS9" s="22"/>
      <c r="AT9" s="22"/>
      <c r="AU9" s="70" t="n">
        <f aca="false">AT9-AS9</f>
        <v>0</v>
      </c>
      <c r="AV9" s="22"/>
      <c r="AW9" s="22"/>
      <c r="AX9" s="70" t="n">
        <f aca="false">AW9-AV9</f>
        <v>0</v>
      </c>
      <c r="AY9" s="22"/>
      <c r="AZ9" s="22"/>
      <c r="BA9" s="70" t="n">
        <f aca="false">AZ9-AY9</f>
        <v>0</v>
      </c>
      <c r="BB9" s="22"/>
      <c r="BC9" s="22"/>
      <c r="BD9" s="70" t="n">
        <f aca="false">BC9-BB9</f>
        <v>0</v>
      </c>
      <c r="BE9" s="22"/>
      <c r="BF9" s="22"/>
      <c r="BG9" s="70" t="n">
        <f aca="false">BF9-BE9</f>
        <v>0</v>
      </c>
      <c r="BH9" s="22"/>
      <c r="BI9" s="22"/>
      <c r="BJ9" s="70" t="n">
        <f aca="false">BI9-BH9</f>
        <v>0</v>
      </c>
      <c r="BK9" s="22"/>
      <c r="BL9" s="22"/>
      <c r="BM9" s="70" t="n">
        <f aca="false">BL9-BK9</f>
        <v>0</v>
      </c>
      <c r="BN9" s="22"/>
      <c r="BO9" s="22"/>
      <c r="BP9" s="70" t="n">
        <f aca="false">BO9-BN9</f>
        <v>0</v>
      </c>
      <c r="BQ9" s="22"/>
      <c r="BR9" s="22"/>
      <c r="BS9" s="70" t="n">
        <f aca="false">BR9-BQ9</f>
        <v>0</v>
      </c>
      <c r="BT9" s="22"/>
      <c r="BU9" s="22"/>
      <c r="BV9" s="70" t="n">
        <f aca="false">BU9-BT9</f>
        <v>0</v>
      </c>
      <c r="BW9" s="22"/>
      <c r="BX9" s="22"/>
      <c r="BY9" s="70" t="n">
        <f aca="false">BX9-BW9</f>
        <v>0</v>
      </c>
      <c r="BZ9" s="22"/>
      <c r="CA9" s="22"/>
      <c r="CB9" s="70" t="n">
        <f aca="false">CA9-BZ9</f>
        <v>0</v>
      </c>
      <c r="CC9" s="22"/>
      <c r="CD9" s="22"/>
      <c r="CE9" s="70" t="n">
        <f aca="false">CD9-CC9</f>
        <v>0</v>
      </c>
      <c r="CF9" s="22"/>
      <c r="CG9" s="22"/>
      <c r="CH9" s="70" t="n">
        <f aca="false">CG9-CF9</f>
        <v>0</v>
      </c>
      <c r="CI9" s="22"/>
      <c r="CJ9" s="22"/>
      <c r="CK9" s="70" t="n">
        <f aca="false">CJ9-CI9</f>
        <v>0</v>
      </c>
      <c r="CL9" s="22"/>
      <c r="CM9" s="22"/>
      <c r="CN9" s="70" t="n">
        <f aca="false">CM9-CL9</f>
        <v>0</v>
      </c>
      <c r="CO9" s="22"/>
      <c r="CP9" s="22"/>
      <c r="CQ9" s="70" t="n">
        <f aca="false">CP9-CO9</f>
        <v>0</v>
      </c>
      <c r="CR9" s="22"/>
      <c r="CS9" s="22"/>
      <c r="CT9" s="70" t="n">
        <f aca="false">CS9-CR9</f>
        <v>0</v>
      </c>
      <c r="CU9" s="22"/>
      <c r="CV9" s="22"/>
      <c r="CW9" s="70" t="n">
        <f aca="false">CV9-CU9</f>
        <v>0</v>
      </c>
      <c r="CX9" s="22"/>
      <c r="CY9" s="22"/>
      <c r="CZ9" s="70" t="n">
        <f aca="false">CY9-CX9</f>
        <v>0</v>
      </c>
      <c r="DA9" s="22"/>
      <c r="DB9" s="22"/>
      <c r="DC9" s="70" t="n">
        <f aca="false">DB9-DA9</f>
        <v>0</v>
      </c>
      <c r="DD9" s="22"/>
      <c r="DE9" s="22"/>
      <c r="DF9" s="70" t="n">
        <f aca="false">DE9-DD9</f>
        <v>0</v>
      </c>
      <c r="DG9" s="22"/>
      <c r="DH9" s="22"/>
      <c r="DI9" s="70" t="n">
        <f aca="false">DH9-DG9</f>
        <v>0</v>
      </c>
      <c r="DJ9" s="22"/>
      <c r="DK9" s="22"/>
      <c r="DL9" s="70" t="n">
        <f aca="false">DK9-DJ9</f>
        <v>0</v>
      </c>
      <c r="DM9" s="22"/>
      <c r="DN9" s="22"/>
      <c r="DO9" s="70" t="n">
        <f aca="false">DN9-DM9</f>
        <v>0</v>
      </c>
      <c r="DP9" s="22"/>
      <c r="DQ9" s="22"/>
      <c r="DR9" s="70" t="n">
        <f aca="false">DQ9-DP9</f>
        <v>0</v>
      </c>
      <c r="DS9" s="22"/>
      <c r="DT9" s="22"/>
      <c r="DU9" s="70" t="n">
        <f aca="false">DT9-DS9</f>
        <v>0</v>
      </c>
      <c r="DV9" s="22"/>
      <c r="DW9" s="22"/>
      <c r="DX9" s="70" t="n">
        <f aca="false">DW9-DV9</f>
        <v>0</v>
      </c>
      <c r="DY9" s="22"/>
      <c r="DZ9" s="22"/>
      <c r="EA9" s="70" t="n">
        <f aca="false">DZ9-DY9</f>
        <v>0</v>
      </c>
      <c r="EB9" s="22"/>
      <c r="EC9" s="22"/>
      <c r="ED9" s="70" t="n">
        <f aca="false">EC9-EB9</f>
        <v>0</v>
      </c>
      <c r="EE9" s="22"/>
      <c r="EF9" s="22"/>
      <c r="EG9" s="70" t="n">
        <f aca="false">EF9-EE9</f>
        <v>0</v>
      </c>
      <c r="EH9" s="22"/>
      <c r="EI9" s="22"/>
      <c r="EJ9" s="70" t="n">
        <f aca="false">EI9-EH9</f>
        <v>0</v>
      </c>
      <c r="EK9" s="22"/>
      <c r="EL9" s="22"/>
      <c r="EM9" s="70" t="n">
        <f aca="false">EL9-EK9</f>
        <v>0</v>
      </c>
      <c r="EN9" s="22"/>
      <c r="EO9" s="22"/>
      <c r="EP9" s="70" t="n">
        <f aca="false">EO9-EN9</f>
        <v>0</v>
      </c>
      <c r="EQ9" s="70" t="n">
        <f aca="false">+C9+F9+I9+L9+O9+R9+U9+X9+AA9+AD9+AG9+AJ9+AM9+AP9+AS9+AV9+AY9+BB9+BE9+BH9+BK9+BN9+BQ9+BT9+BW9+BZ9+CC9+CF9+CI9+CL9+CO9+CR9+CU9+CX9+DA9+DD9+DG9+DJ9+DM9+DP9+DS9+DV9+DY9+EB9+EE9+EH9+EK9+EN9</f>
        <v>165000</v>
      </c>
      <c r="ER9" s="70" t="n">
        <f aca="false">+D9+G9+J9+M9+P9+S9+V9+Y9+AB9+AE9+AH9+AK9+AN9+AQ9+AT9+AW9+AZ9+BC9+BF9+BI9+BL9+BO9+BR9+BU9+BX9+CA9+CD9+CG9+CJ9+CM9+CP9+CS9+CV9+CY9+DB9+DE9+DH9+DK9+DN9+DQ9+DT9+DW9+DZ9+EC9+EF9+EI9+EL9+EO9</f>
        <v>163659</v>
      </c>
      <c r="ES9" s="70" t="n">
        <f aca="false">ER9-EQ9</f>
        <v>-1341</v>
      </c>
      <c r="ET9" s="22" t="n">
        <f aca="false">+ET8+ES9</f>
        <v>-16787</v>
      </c>
      <c r="EU9" s="74"/>
      <c r="EV9" s="70" t="n">
        <f aca="false">+EQ9-AG9</f>
        <v>65000</v>
      </c>
      <c r="EW9" s="70" t="n">
        <f aca="false">+ER9-AH9</f>
        <v>63659</v>
      </c>
      <c r="EX9" s="22" t="n">
        <f aca="false">+EW9-EV9</f>
        <v>-1341</v>
      </c>
      <c r="EY9" s="22" t="n">
        <f aca="false">+EY8+EX9</f>
        <v>-12885</v>
      </c>
      <c r="EZ9" s="74"/>
      <c r="FA9" s="22" t="n">
        <f aca="false">+AI9</f>
        <v>0</v>
      </c>
      <c r="FB9" s="22" t="n">
        <f aca="false">+FB8+FA9</f>
        <v>-3902</v>
      </c>
      <c r="FC9" s="74"/>
      <c r="FD9" s="74"/>
      <c r="FE9" s="74"/>
      <c r="FF9" s="74"/>
      <c r="FG9" s="74"/>
      <c r="FH9" s="74"/>
      <c r="FI9" s="74"/>
    </row>
    <row r="10" customFormat="false" ht="12.75" hidden="false" customHeight="false" outlineLevel="0" collapsed="false">
      <c r="A10" s="69" t="n">
        <f aca="false">+BaseloadMarkets!A10</f>
        <v>36682</v>
      </c>
      <c r="B10" s="69" t="str">
        <f aca="false">+BaseloadMarkets!B10</f>
        <v>Mon</v>
      </c>
      <c r="C10" s="22" t="n">
        <f aca="false">5000+5000</f>
        <v>10000</v>
      </c>
      <c r="D10" s="22" t="n">
        <f aca="false">5000+5000</f>
        <v>10000</v>
      </c>
      <c r="E10" s="70" t="n">
        <f aca="false">D10-C10</f>
        <v>0</v>
      </c>
      <c r="F10" s="22" t="n">
        <v>10000</v>
      </c>
      <c r="G10" s="22" t="n">
        <v>10000</v>
      </c>
      <c r="H10" s="70" t="n">
        <f aca="false">G10-F10</f>
        <v>0</v>
      </c>
      <c r="I10" s="22" t="n">
        <v>10000</v>
      </c>
      <c r="J10" s="22" t="n">
        <v>10000</v>
      </c>
      <c r="K10" s="70" t="n">
        <f aca="false">J10-I10</f>
        <v>0</v>
      </c>
      <c r="L10" s="22" t="n">
        <f aca="false">5000+5000</f>
        <v>10000</v>
      </c>
      <c r="M10" s="22" t="n">
        <f aca="false">5000+5000</f>
        <v>10000</v>
      </c>
      <c r="N10" s="70" t="n">
        <f aca="false">M10-L10</f>
        <v>0</v>
      </c>
      <c r="O10" s="22" t="n">
        <v>5000</v>
      </c>
      <c r="P10" s="22" t="n">
        <v>3653</v>
      </c>
      <c r="Q10" s="70" t="n">
        <f aca="false">P10-O10</f>
        <v>-1347</v>
      </c>
      <c r="R10" s="22" t="n">
        <v>5000</v>
      </c>
      <c r="S10" s="22" t="n">
        <v>5000</v>
      </c>
      <c r="T10" s="70" t="n">
        <f aca="false">S10-R10</f>
        <v>0</v>
      </c>
      <c r="U10" s="22" t="n">
        <v>5000</v>
      </c>
      <c r="V10" s="22" t="n">
        <v>5000</v>
      </c>
      <c r="W10" s="70" t="n">
        <f aca="false">V10-U10</f>
        <v>0</v>
      </c>
      <c r="X10" s="22" t="n">
        <v>10000</v>
      </c>
      <c r="Y10" s="22" t="n">
        <v>10000</v>
      </c>
      <c r="Z10" s="70" t="n">
        <f aca="false">Y10-X10</f>
        <v>0</v>
      </c>
      <c r="AA10" s="22"/>
      <c r="AB10" s="22"/>
      <c r="AC10" s="70" t="n">
        <f aca="false">AB10-AA10</f>
        <v>0</v>
      </c>
      <c r="AD10" s="22"/>
      <c r="AE10" s="22"/>
      <c r="AF10" s="70" t="n">
        <f aca="false">AE10-AD10</f>
        <v>0</v>
      </c>
      <c r="AG10" s="22" t="n">
        <v>100000</v>
      </c>
      <c r="AH10" s="22" t="n">
        <v>100000</v>
      </c>
      <c r="AI10" s="70" t="n">
        <f aca="false">AH10-AG10</f>
        <v>0</v>
      </c>
      <c r="AJ10" s="22"/>
      <c r="AK10" s="22"/>
      <c r="AL10" s="70" t="n">
        <f aca="false">AK10-AJ10</f>
        <v>0</v>
      </c>
      <c r="AM10" s="22"/>
      <c r="AN10" s="22"/>
      <c r="AO10" s="70" t="n">
        <f aca="false">AN10-AM10</f>
        <v>0</v>
      </c>
      <c r="AP10" s="22"/>
      <c r="AQ10" s="22"/>
      <c r="AR10" s="70" t="n">
        <f aca="false">AQ10-AP10</f>
        <v>0</v>
      </c>
      <c r="AS10" s="22"/>
      <c r="AT10" s="22"/>
      <c r="AU10" s="70" t="n">
        <f aca="false">AT10-AS10</f>
        <v>0</v>
      </c>
      <c r="AV10" s="22"/>
      <c r="AW10" s="22"/>
      <c r="AX10" s="70" t="n">
        <f aca="false">AW10-AV10</f>
        <v>0</v>
      </c>
      <c r="AY10" s="22"/>
      <c r="AZ10" s="22"/>
      <c r="BA10" s="70" t="n">
        <f aca="false">AZ10-AY10</f>
        <v>0</v>
      </c>
      <c r="BB10" s="22"/>
      <c r="BC10" s="22"/>
      <c r="BD10" s="70" t="n">
        <f aca="false">BC10-BB10</f>
        <v>0</v>
      </c>
      <c r="BE10" s="22"/>
      <c r="BF10" s="22"/>
      <c r="BG10" s="70" t="n">
        <f aca="false">BF10-BE10</f>
        <v>0</v>
      </c>
      <c r="BH10" s="22"/>
      <c r="BI10" s="22"/>
      <c r="BJ10" s="70" t="n">
        <f aca="false">BI10-BH10</f>
        <v>0</v>
      </c>
      <c r="BK10" s="22"/>
      <c r="BL10" s="22"/>
      <c r="BM10" s="70" t="n">
        <f aca="false">BL10-BK10</f>
        <v>0</v>
      </c>
      <c r="BN10" s="22"/>
      <c r="BO10" s="22"/>
      <c r="BP10" s="70" t="n">
        <f aca="false">BO10-BN10</f>
        <v>0</v>
      </c>
      <c r="BQ10" s="22"/>
      <c r="BR10" s="22"/>
      <c r="BS10" s="70" t="n">
        <f aca="false">BR10-BQ10</f>
        <v>0</v>
      </c>
      <c r="BT10" s="22"/>
      <c r="BU10" s="22"/>
      <c r="BV10" s="70" t="n">
        <f aca="false">BU10-BT10</f>
        <v>0</v>
      </c>
      <c r="BW10" s="22"/>
      <c r="BX10" s="22"/>
      <c r="BY10" s="70" t="n">
        <f aca="false">BX10-BW10</f>
        <v>0</v>
      </c>
      <c r="BZ10" s="22"/>
      <c r="CA10" s="22"/>
      <c r="CB10" s="70" t="n">
        <f aca="false">CA10-BZ10</f>
        <v>0</v>
      </c>
      <c r="CC10" s="22"/>
      <c r="CD10" s="22"/>
      <c r="CE10" s="70" t="n">
        <f aca="false">CD10-CC10</f>
        <v>0</v>
      </c>
      <c r="CF10" s="22"/>
      <c r="CG10" s="22"/>
      <c r="CH10" s="70" t="n">
        <f aca="false">CG10-CF10</f>
        <v>0</v>
      </c>
      <c r="CI10" s="22"/>
      <c r="CJ10" s="22"/>
      <c r="CK10" s="70" t="n">
        <f aca="false">CJ10-CI10</f>
        <v>0</v>
      </c>
      <c r="CL10" s="22"/>
      <c r="CM10" s="22"/>
      <c r="CN10" s="70" t="n">
        <f aca="false">CM10-CL10</f>
        <v>0</v>
      </c>
      <c r="CO10" s="22"/>
      <c r="CP10" s="22"/>
      <c r="CQ10" s="70" t="n">
        <f aca="false">CP10-CO10</f>
        <v>0</v>
      </c>
      <c r="CR10" s="22"/>
      <c r="CS10" s="22"/>
      <c r="CT10" s="70" t="n">
        <f aca="false">CS10-CR10</f>
        <v>0</v>
      </c>
      <c r="CU10" s="22"/>
      <c r="CV10" s="22"/>
      <c r="CW10" s="70" t="n">
        <f aca="false">CV10-CU10</f>
        <v>0</v>
      </c>
      <c r="CX10" s="22"/>
      <c r="CY10" s="22"/>
      <c r="CZ10" s="70" t="n">
        <f aca="false">CY10-CX10</f>
        <v>0</v>
      </c>
      <c r="DA10" s="22"/>
      <c r="DB10" s="22"/>
      <c r="DC10" s="70" t="n">
        <f aca="false">DB10-DA10</f>
        <v>0</v>
      </c>
      <c r="DD10" s="22"/>
      <c r="DE10" s="22"/>
      <c r="DF10" s="70" t="n">
        <f aca="false">DE10-DD10</f>
        <v>0</v>
      </c>
      <c r="DG10" s="22"/>
      <c r="DH10" s="22"/>
      <c r="DI10" s="70" t="n">
        <f aca="false">DH10-DG10</f>
        <v>0</v>
      </c>
      <c r="DJ10" s="22"/>
      <c r="DK10" s="22"/>
      <c r="DL10" s="70" t="n">
        <f aca="false">DK10-DJ10</f>
        <v>0</v>
      </c>
      <c r="DM10" s="22"/>
      <c r="DN10" s="22"/>
      <c r="DO10" s="70" t="n">
        <f aca="false">DN10-DM10</f>
        <v>0</v>
      </c>
      <c r="DP10" s="22"/>
      <c r="DQ10" s="22"/>
      <c r="DR10" s="70" t="n">
        <f aca="false">DQ10-DP10</f>
        <v>0</v>
      </c>
      <c r="DS10" s="22"/>
      <c r="DT10" s="22"/>
      <c r="DU10" s="70" t="n">
        <f aca="false">DT10-DS10</f>
        <v>0</v>
      </c>
      <c r="DV10" s="22"/>
      <c r="DW10" s="22"/>
      <c r="DX10" s="70" t="n">
        <f aca="false">DW10-DV10</f>
        <v>0</v>
      </c>
      <c r="DY10" s="22"/>
      <c r="DZ10" s="22"/>
      <c r="EA10" s="70" t="n">
        <f aca="false">DZ10-DY10</f>
        <v>0</v>
      </c>
      <c r="EB10" s="22"/>
      <c r="EC10" s="22"/>
      <c r="ED10" s="70" t="n">
        <f aca="false">EC10-EB10</f>
        <v>0</v>
      </c>
      <c r="EE10" s="22"/>
      <c r="EF10" s="22"/>
      <c r="EG10" s="70" t="n">
        <f aca="false">EF10-EE10</f>
        <v>0</v>
      </c>
      <c r="EH10" s="22"/>
      <c r="EI10" s="22"/>
      <c r="EJ10" s="70" t="n">
        <f aca="false">EI10-EH10</f>
        <v>0</v>
      </c>
      <c r="EK10" s="22"/>
      <c r="EL10" s="22"/>
      <c r="EM10" s="70" t="n">
        <f aca="false">EL10-EK10</f>
        <v>0</v>
      </c>
      <c r="EN10" s="22"/>
      <c r="EO10" s="22"/>
      <c r="EP10" s="70" t="n">
        <f aca="false">EO10-EN10</f>
        <v>0</v>
      </c>
      <c r="EQ10" s="70" t="n">
        <f aca="false">+C10+F10+I10+L10+O10+R10+U10+X10+AA10+AD10+AG10+AJ10+AM10+AP10+AS10+AV10+AY10+BB10+BE10+BH10+BK10+BN10+BQ10+BT10+BW10+BZ10+CC10+CF10+CI10+CL10+CO10+CR10+CU10+CX10+DA10+DD10+DG10+DJ10+DM10+DP10+DS10+DV10+DY10+EB10+EE10+EH10+EK10+EN10</f>
        <v>165000</v>
      </c>
      <c r="ER10" s="70" t="n">
        <f aca="false">+D10+G10+J10+M10+P10+S10+V10+Y10+AB10+AE10+AH10+AK10+AN10+AQ10+AT10+AW10+AZ10+BC10+BF10+BI10+BL10+BO10+BR10+BU10+BX10+CA10+CD10+CG10+CJ10+CM10+CP10+CS10+CV10+CY10+DB10+DE10+DH10+DK10+DN10+DQ10+DT10+DW10+DZ10+EC10+EF10+EI10+EL10+EO10</f>
        <v>163653</v>
      </c>
      <c r="ES10" s="70" t="n">
        <f aca="false">ER10-EQ10</f>
        <v>-1347</v>
      </c>
      <c r="ET10" s="22" t="n">
        <f aca="false">+ET9+ES10</f>
        <v>-18134</v>
      </c>
      <c r="EU10" s="74"/>
      <c r="EV10" s="70" t="n">
        <f aca="false">+EQ10-AG10</f>
        <v>65000</v>
      </c>
      <c r="EW10" s="70" t="n">
        <f aca="false">+ER10-AH10</f>
        <v>63653</v>
      </c>
      <c r="EX10" s="22" t="n">
        <f aca="false">+EW10-EV10</f>
        <v>-1347</v>
      </c>
      <c r="EY10" s="22" t="n">
        <f aca="false">+EY9+EX10</f>
        <v>-14232</v>
      </c>
      <c r="EZ10" s="74"/>
      <c r="FA10" s="22" t="n">
        <f aca="false">+AI10</f>
        <v>0</v>
      </c>
      <c r="FB10" s="22" t="n">
        <f aca="false">+FB9+FA10</f>
        <v>-3902</v>
      </c>
      <c r="FC10" s="74"/>
      <c r="FD10" s="74"/>
      <c r="FE10" s="74"/>
      <c r="FF10" s="74"/>
      <c r="FG10" s="74"/>
      <c r="FH10" s="74"/>
      <c r="FI10" s="74"/>
    </row>
    <row r="11" customFormat="false" ht="12.75" hidden="false" customHeight="false" outlineLevel="0" collapsed="false">
      <c r="A11" s="69" t="n">
        <f aca="false">+BaseloadMarkets!A11</f>
        <v>36683</v>
      </c>
      <c r="B11" s="69" t="str">
        <f aca="false">+BaseloadMarkets!B11</f>
        <v>Tues</v>
      </c>
      <c r="C11" s="22" t="n">
        <f aca="false">5000+5000</f>
        <v>10000</v>
      </c>
      <c r="D11" s="22" t="n">
        <f aca="false">5000+5000</f>
        <v>10000</v>
      </c>
      <c r="E11" s="70" t="n">
        <f aca="false">D11-C11</f>
        <v>0</v>
      </c>
      <c r="F11" s="22" t="n">
        <v>10000</v>
      </c>
      <c r="G11" s="22" t="n">
        <v>10000</v>
      </c>
      <c r="H11" s="70" t="n">
        <f aca="false">G11-F11</f>
        <v>0</v>
      </c>
      <c r="I11" s="22" t="n">
        <v>10000</v>
      </c>
      <c r="J11" s="22" t="n">
        <v>10000</v>
      </c>
      <c r="K11" s="70" t="n">
        <f aca="false">J11-I11</f>
        <v>0</v>
      </c>
      <c r="L11" s="22" t="n">
        <f aca="false">5000+5000</f>
        <v>10000</v>
      </c>
      <c r="M11" s="22" t="n">
        <f aca="false">5000+5000</f>
        <v>10000</v>
      </c>
      <c r="N11" s="70" t="n">
        <f aca="false">M11-L11</f>
        <v>0</v>
      </c>
      <c r="O11" s="22" t="n">
        <v>5000</v>
      </c>
      <c r="P11" s="22" t="n">
        <v>5000</v>
      </c>
      <c r="Q11" s="70" t="n">
        <f aca="false">P11-O11</f>
        <v>0</v>
      </c>
      <c r="R11" s="22" t="n">
        <v>5000</v>
      </c>
      <c r="S11" s="22" t="n">
        <v>5000</v>
      </c>
      <c r="T11" s="70" t="n">
        <f aca="false">S11-R11</f>
        <v>0</v>
      </c>
      <c r="U11" s="22" t="n">
        <v>5000</v>
      </c>
      <c r="V11" s="22" t="n">
        <v>5000</v>
      </c>
      <c r="W11" s="70" t="n">
        <f aca="false">V11-U11</f>
        <v>0</v>
      </c>
      <c r="X11" s="22" t="n">
        <v>10000</v>
      </c>
      <c r="Y11" s="22" t="n">
        <v>10000</v>
      </c>
      <c r="Z11" s="70" t="n">
        <f aca="false">Y11-X11</f>
        <v>0</v>
      </c>
      <c r="AA11" s="22"/>
      <c r="AB11" s="22"/>
      <c r="AC11" s="70" t="n">
        <f aca="false">AB11-AA11</f>
        <v>0</v>
      </c>
      <c r="AD11" s="22"/>
      <c r="AE11" s="22"/>
      <c r="AF11" s="70" t="n">
        <f aca="false">AE11-AD11</f>
        <v>0</v>
      </c>
      <c r="AG11" s="22" t="n">
        <v>515000</v>
      </c>
      <c r="AH11" s="22" t="n">
        <v>501302</v>
      </c>
      <c r="AI11" s="70" t="n">
        <f aca="false">AH11-AG11</f>
        <v>-13698</v>
      </c>
      <c r="AJ11" s="22"/>
      <c r="AK11" s="22"/>
      <c r="AL11" s="70" t="n">
        <f aca="false">AK11-AJ11</f>
        <v>0</v>
      </c>
      <c r="AM11" s="22"/>
      <c r="AN11" s="22"/>
      <c r="AO11" s="70" t="n">
        <f aca="false">AN11-AM11</f>
        <v>0</v>
      </c>
      <c r="AP11" s="22"/>
      <c r="AQ11" s="22"/>
      <c r="AR11" s="70" t="n">
        <f aca="false">AQ11-AP11</f>
        <v>0</v>
      </c>
      <c r="AS11" s="22"/>
      <c r="AT11" s="22"/>
      <c r="AU11" s="70" t="n">
        <f aca="false">AT11-AS11</f>
        <v>0</v>
      </c>
      <c r="AV11" s="22"/>
      <c r="AW11" s="22"/>
      <c r="AX11" s="70" t="n">
        <f aca="false">AW11-AV11</f>
        <v>0</v>
      </c>
      <c r="AY11" s="22"/>
      <c r="AZ11" s="22"/>
      <c r="BA11" s="70" t="n">
        <f aca="false">AZ11-AY11</f>
        <v>0</v>
      </c>
      <c r="BB11" s="22"/>
      <c r="BC11" s="22"/>
      <c r="BD11" s="70" t="n">
        <f aca="false">BC11-BB11</f>
        <v>0</v>
      </c>
      <c r="BE11" s="22"/>
      <c r="BF11" s="22"/>
      <c r="BG11" s="70" t="n">
        <f aca="false">BF11-BE11</f>
        <v>0</v>
      </c>
      <c r="BH11" s="22"/>
      <c r="BI11" s="22"/>
      <c r="BJ11" s="70" t="n">
        <f aca="false">BI11-BH11</f>
        <v>0</v>
      </c>
      <c r="BK11" s="22"/>
      <c r="BL11" s="22"/>
      <c r="BM11" s="70" t="n">
        <f aca="false">BL11-BK11</f>
        <v>0</v>
      </c>
      <c r="BN11" s="22"/>
      <c r="BO11" s="22"/>
      <c r="BP11" s="70" t="n">
        <f aca="false">BO11-BN11</f>
        <v>0</v>
      </c>
      <c r="BQ11" s="22"/>
      <c r="BR11" s="22"/>
      <c r="BS11" s="70" t="n">
        <f aca="false">BR11-BQ11</f>
        <v>0</v>
      </c>
      <c r="BT11" s="22"/>
      <c r="BU11" s="22"/>
      <c r="BV11" s="70" t="n">
        <f aca="false">BU11-BT11</f>
        <v>0</v>
      </c>
      <c r="BW11" s="22"/>
      <c r="BX11" s="22"/>
      <c r="BY11" s="70" t="n">
        <f aca="false">BX11-BW11</f>
        <v>0</v>
      </c>
      <c r="BZ11" s="22"/>
      <c r="CA11" s="22"/>
      <c r="CB11" s="70" t="n">
        <f aca="false">CA11-BZ11</f>
        <v>0</v>
      </c>
      <c r="CC11" s="22"/>
      <c r="CD11" s="22"/>
      <c r="CE11" s="70" t="n">
        <f aca="false">CD11-CC11</f>
        <v>0</v>
      </c>
      <c r="CF11" s="22"/>
      <c r="CG11" s="22"/>
      <c r="CH11" s="70" t="n">
        <f aca="false">CG11-CF11</f>
        <v>0</v>
      </c>
      <c r="CI11" s="22"/>
      <c r="CJ11" s="22"/>
      <c r="CK11" s="70" t="n">
        <f aca="false">CJ11-CI11</f>
        <v>0</v>
      </c>
      <c r="CL11" s="22"/>
      <c r="CM11" s="22"/>
      <c r="CN11" s="70" t="n">
        <f aca="false">CM11-CL11</f>
        <v>0</v>
      </c>
      <c r="CO11" s="22"/>
      <c r="CP11" s="22"/>
      <c r="CQ11" s="70" t="n">
        <f aca="false">CP11-CO11</f>
        <v>0</v>
      </c>
      <c r="CR11" s="22"/>
      <c r="CS11" s="22"/>
      <c r="CT11" s="70" t="n">
        <f aca="false">CS11-CR11</f>
        <v>0</v>
      </c>
      <c r="CU11" s="22"/>
      <c r="CV11" s="22"/>
      <c r="CW11" s="70" t="n">
        <f aca="false">CV11-CU11</f>
        <v>0</v>
      </c>
      <c r="CX11" s="22"/>
      <c r="CY11" s="22"/>
      <c r="CZ11" s="70" t="n">
        <f aca="false">CY11-CX11</f>
        <v>0</v>
      </c>
      <c r="DA11" s="22"/>
      <c r="DB11" s="22"/>
      <c r="DC11" s="70" t="n">
        <f aca="false">DB11-DA11</f>
        <v>0</v>
      </c>
      <c r="DD11" s="22"/>
      <c r="DE11" s="22"/>
      <c r="DF11" s="70" t="n">
        <f aca="false">DE11-DD11</f>
        <v>0</v>
      </c>
      <c r="DG11" s="22"/>
      <c r="DH11" s="22"/>
      <c r="DI11" s="70" t="n">
        <f aca="false">DH11-DG11</f>
        <v>0</v>
      </c>
      <c r="DJ11" s="22"/>
      <c r="DK11" s="22"/>
      <c r="DL11" s="70" t="n">
        <f aca="false">DK11-DJ11</f>
        <v>0</v>
      </c>
      <c r="DM11" s="22"/>
      <c r="DN11" s="22"/>
      <c r="DO11" s="70" t="n">
        <f aca="false">DN11-DM11</f>
        <v>0</v>
      </c>
      <c r="DP11" s="22"/>
      <c r="DQ11" s="22"/>
      <c r="DR11" s="70" t="n">
        <f aca="false">DQ11-DP11</f>
        <v>0</v>
      </c>
      <c r="DS11" s="22"/>
      <c r="DT11" s="22"/>
      <c r="DU11" s="70" t="n">
        <f aca="false">DT11-DS11</f>
        <v>0</v>
      </c>
      <c r="DV11" s="22"/>
      <c r="DW11" s="22"/>
      <c r="DX11" s="70" t="n">
        <f aca="false">DW11-DV11</f>
        <v>0</v>
      </c>
      <c r="DY11" s="22"/>
      <c r="DZ11" s="22"/>
      <c r="EA11" s="70" t="n">
        <f aca="false">DZ11-DY11</f>
        <v>0</v>
      </c>
      <c r="EB11" s="22"/>
      <c r="EC11" s="22"/>
      <c r="ED11" s="70" t="n">
        <f aca="false">EC11-EB11</f>
        <v>0</v>
      </c>
      <c r="EE11" s="22"/>
      <c r="EF11" s="22"/>
      <c r="EG11" s="70" t="n">
        <f aca="false">EF11-EE11</f>
        <v>0</v>
      </c>
      <c r="EH11" s="22"/>
      <c r="EI11" s="22"/>
      <c r="EJ11" s="70" t="n">
        <f aca="false">EI11-EH11</f>
        <v>0</v>
      </c>
      <c r="EK11" s="22"/>
      <c r="EL11" s="22"/>
      <c r="EM11" s="70" t="n">
        <f aca="false">EL11-EK11</f>
        <v>0</v>
      </c>
      <c r="EN11" s="22"/>
      <c r="EO11" s="22"/>
      <c r="EP11" s="70" t="n">
        <f aca="false">EO11-EN11</f>
        <v>0</v>
      </c>
      <c r="EQ11" s="70" t="n">
        <f aca="false">+C11+F11+I11+L11+O11+R11+U11+X11+AA11+AD11+AG11+AJ11+AM11+AP11+AS11+AV11+AY11+BB11+BE11+BH11+BK11+BN11+BQ11+BT11+BW11+BZ11+CC11+CF11+CI11+CL11+CO11+CR11+CU11+CX11+DA11+DD11+DG11+DJ11+DM11+DP11+DS11+DV11+DY11+EB11+EE11+EH11+EK11+EN11</f>
        <v>580000</v>
      </c>
      <c r="ER11" s="70" t="n">
        <f aca="false">+D11+G11+J11+M11+P11+S11+V11+Y11+AB11+AE11+AH11+AK11+AN11+AQ11+AT11+AW11+AZ11+BC11+BF11+BI11+BL11+BO11+BR11+BU11+BX11+CA11+CD11+CG11+CJ11+CM11+CP11+CS11+CV11+CY11+DB11+DE11+DH11+DK11+DN11+DQ11+DT11+DW11+DZ11+EC11+EF11+EI11+EL11+EO11</f>
        <v>566302</v>
      </c>
      <c r="ES11" s="70" t="n">
        <f aca="false">ER11-EQ11</f>
        <v>-13698</v>
      </c>
      <c r="ET11" s="22" t="n">
        <f aca="false">+ET10+ES11</f>
        <v>-31832</v>
      </c>
      <c r="EU11" s="74"/>
      <c r="EV11" s="70" t="n">
        <f aca="false">+EQ11-AG11</f>
        <v>65000</v>
      </c>
      <c r="EW11" s="70" t="n">
        <f aca="false">+ER11-AH11</f>
        <v>65000</v>
      </c>
      <c r="EX11" s="22" t="n">
        <f aca="false">+EW11-EV11</f>
        <v>0</v>
      </c>
      <c r="EY11" s="22" t="n">
        <f aca="false">+EY10+EX11</f>
        <v>-14232</v>
      </c>
      <c r="EZ11" s="74"/>
      <c r="FA11" s="22" t="n">
        <f aca="false">+AI11</f>
        <v>-13698</v>
      </c>
      <c r="FB11" s="22" t="n">
        <f aca="false">+FB10+FA11</f>
        <v>-17600</v>
      </c>
      <c r="FC11" s="74"/>
      <c r="FD11" s="74"/>
      <c r="FE11" s="74"/>
      <c r="FF11" s="74"/>
      <c r="FG11" s="74"/>
      <c r="FH11" s="74"/>
      <c r="FI11" s="74"/>
    </row>
    <row r="12" customFormat="false" ht="12.75" hidden="false" customHeight="false" outlineLevel="0" collapsed="false">
      <c r="A12" s="69" t="n">
        <f aca="false">+BaseloadMarkets!A12</f>
        <v>36684</v>
      </c>
      <c r="B12" s="69" t="str">
        <f aca="false">+BaseloadMarkets!B12</f>
        <v>Wed</v>
      </c>
      <c r="C12" s="22" t="n">
        <f aca="false">5000+5000</f>
        <v>10000</v>
      </c>
      <c r="D12" s="22" t="n">
        <f aca="false">5000+5000</f>
        <v>10000</v>
      </c>
      <c r="E12" s="70" t="n">
        <f aca="false">D12-C12</f>
        <v>0</v>
      </c>
      <c r="F12" s="22" t="n">
        <v>10000</v>
      </c>
      <c r="G12" s="22" t="n">
        <v>10000</v>
      </c>
      <c r="H12" s="70" t="n">
        <f aca="false">G12-F12</f>
        <v>0</v>
      </c>
      <c r="I12" s="22" t="n">
        <v>10000</v>
      </c>
      <c r="J12" s="22" t="n">
        <v>10000</v>
      </c>
      <c r="K12" s="70" t="n">
        <f aca="false">J12-I12</f>
        <v>0</v>
      </c>
      <c r="L12" s="22" t="n">
        <f aca="false">5000+5000</f>
        <v>10000</v>
      </c>
      <c r="M12" s="22" t="n">
        <f aca="false">5000+5000</f>
        <v>10000</v>
      </c>
      <c r="N12" s="70" t="n">
        <f aca="false">M12-L12</f>
        <v>0</v>
      </c>
      <c r="O12" s="22" t="n">
        <v>5000</v>
      </c>
      <c r="P12" s="22" t="n">
        <v>3230</v>
      </c>
      <c r="Q12" s="70" t="n">
        <f aca="false">P12-O12</f>
        <v>-1770</v>
      </c>
      <c r="R12" s="22" t="n">
        <v>5000</v>
      </c>
      <c r="S12" s="22" t="n">
        <v>5000</v>
      </c>
      <c r="T12" s="70" t="n">
        <f aca="false">S12-R12</f>
        <v>0</v>
      </c>
      <c r="U12" s="22" t="n">
        <v>5000</v>
      </c>
      <c r="V12" s="22" t="n">
        <v>5000</v>
      </c>
      <c r="W12" s="70" t="n">
        <f aca="false">V12-U12</f>
        <v>0</v>
      </c>
      <c r="X12" s="22" t="n">
        <v>10000</v>
      </c>
      <c r="Y12" s="22" t="n">
        <v>10000</v>
      </c>
      <c r="Z12" s="70" t="n">
        <f aca="false">Y12-X12</f>
        <v>0</v>
      </c>
      <c r="AA12" s="22"/>
      <c r="AB12" s="22"/>
      <c r="AC12" s="70" t="n">
        <f aca="false">AB12-AA12</f>
        <v>0</v>
      </c>
      <c r="AD12" s="22"/>
      <c r="AE12" s="22"/>
      <c r="AF12" s="70" t="n">
        <f aca="false">AE12-AD12</f>
        <v>0</v>
      </c>
      <c r="AG12" s="22" t="n">
        <v>140000</v>
      </c>
      <c r="AH12" s="22" t="n">
        <v>140000</v>
      </c>
      <c r="AI12" s="70" t="n">
        <f aca="false">AH12-AG12</f>
        <v>0</v>
      </c>
      <c r="AJ12" s="22"/>
      <c r="AK12" s="22"/>
      <c r="AL12" s="70" t="n">
        <f aca="false">AK12-AJ12</f>
        <v>0</v>
      </c>
      <c r="AM12" s="22"/>
      <c r="AN12" s="22"/>
      <c r="AO12" s="70" t="n">
        <f aca="false">AN12-AM12</f>
        <v>0</v>
      </c>
      <c r="AP12" s="22"/>
      <c r="AQ12" s="22"/>
      <c r="AR12" s="70" t="n">
        <f aca="false">AQ12-AP12</f>
        <v>0</v>
      </c>
      <c r="AS12" s="22"/>
      <c r="AT12" s="22"/>
      <c r="AU12" s="70" t="n">
        <f aca="false">AT12-AS12</f>
        <v>0</v>
      </c>
      <c r="AV12" s="22"/>
      <c r="AW12" s="22"/>
      <c r="AX12" s="70" t="n">
        <f aca="false">AW12-AV12</f>
        <v>0</v>
      </c>
      <c r="AY12" s="22"/>
      <c r="AZ12" s="22"/>
      <c r="BA12" s="70" t="n">
        <f aca="false">AZ12-AY12</f>
        <v>0</v>
      </c>
      <c r="BB12" s="22"/>
      <c r="BC12" s="22"/>
      <c r="BD12" s="70" t="n">
        <f aca="false">BC12-BB12</f>
        <v>0</v>
      </c>
      <c r="BE12" s="22"/>
      <c r="BF12" s="22"/>
      <c r="BG12" s="70" t="n">
        <f aca="false">BF12-BE12</f>
        <v>0</v>
      </c>
      <c r="BH12" s="22"/>
      <c r="BI12" s="22"/>
      <c r="BJ12" s="70" t="n">
        <f aca="false">BI12-BH12</f>
        <v>0</v>
      </c>
      <c r="BK12" s="22"/>
      <c r="BL12" s="22"/>
      <c r="BM12" s="70" t="n">
        <f aca="false">BL12-BK12</f>
        <v>0</v>
      </c>
      <c r="BN12" s="22"/>
      <c r="BO12" s="22"/>
      <c r="BP12" s="70" t="n">
        <f aca="false">BO12-BN12</f>
        <v>0</v>
      </c>
      <c r="BQ12" s="22"/>
      <c r="BR12" s="22"/>
      <c r="BS12" s="70" t="n">
        <f aca="false">BR12-BQ12</f>
        <v>0</v>
      </c>
      <c r="BT12" s="22"/>
      <c r="BU12" s="22"/>
      <c r="BV12" s="70" t="n">
        <f aca="false">BU12-BT12</f>
        <v>0</v>
      </c>
      <c r="BW12" s="22"/>
      <c r="BX12" s="22"/>
      <c r="BY12" s="70" t="n">
        <f aca="false">BX12-BW12</f>
        <v>0</v>
      </c>
      <c r="BZ12" s="22"/>
      <c r="CA12" s="22"/>
      <c r="CB12" s="70" t="n">
        <f aca="false">CA12-BZ12</f>
        <v>0</v>
      </c>
      <c r="CC12" s="22"/>
      <c r="CD12" s="22"/>
      <c r="CE12" s="70" t="n">
        <f aca="false">CD12-CC12</f>
        <v>0</v>
      </c>
      <c r="CF12" s="22"/>
      <c r="CG12" s="22"/>
      <c r="CH12" s="70" t="n">
        <f aca="false">CG12-CF12</f>
        <v>0</v>
      </c>
      <c r="CI12" s="22"/>
      <c r="CJ12" s="22"/>
      <c r="CK12" s="70" t="n">
        <f aca="false">CJ12-CI12</f>
        <v>0</v>
      </c>
      <c r="CL12" s="22"/>
      <c r="CM12" s="22"/>
      <c r="CN12" s="70" t="n">
        <f aca="false">CM12-CL12</f>
        <v>0</v>
      </c>
      <c r="CO12" s="22"/>
      <c r="CP12" s="22"/>
      <c r="CQ12" s="70" t="n">
        <f aca="false">CP12-CO12</f>
        <v>0</v>
      </c>
      <c r="CR12" s="22"/>
      <c r="CS12" s="22"/>
      <c r="CT12" s="70" t="n">
        <f aca="false">CS12-CR12</f>
        <v>0</v>
      </c>
      <c r="CU12" s="22"/>
      <c r="CV12" s="22"/>
      <c r="CW12" s="70" t="n">
        <f aca="false">CV12-CU12</f>
        <v>0</v>
      </c>
      <c r="CX12" s="22"/>
      <c r="CY12" s="22"/>
      <c r="CZ12" s="70" t="n">
        <f aca="false">CY12-CX12</f>
        <v>0</v>
      </c>
      <c r="DA12" s="22"/>
      <c r="DB12" s="22"/>
      <c r="DC12" s="70" t="n">
        <f aca="false">DB12-DA12</f>
        <v>0</v>
      </c>
      <c r="DD12" s="22"/>
      <c r="DE12" s="22"/>
      <c r="DF12" s="70" t="n">
        <f aca="false">DE12-DD12</f>
        <v>0</v>
      </c>
      <c r="DG12" s="22"/>
      <c r="DH12" s="22"/>
      <c r="DI12" s="70" t="n">
        <f aca="false">DH12-DG12</f>
        <v>0</v>
      </c>
      <c r="DJ12" s="22"/>
      <c r="DK12" s="22"/>
      <c r="DL12" s="70" t="n">
        <f aca="false">DK12-DJ12</f>
        <v>0</v>
      </c>
      <c r="DM12" s="22"/>
      <c r="DN12" s="22"/>
      <c r="DO12" s="70" t="n">
        <f aca="false">DN12-DM12</f>
        <v>0</v>
      </c>
      <c r="DP12" s="22"/>
      <c r="DQ12" s="22"/>
      <c r="DR12" s="70" t="n">
        <f aca="false">DQ12-DP12</f>
        <v>0</v>
      </c>
      <c r="DS12" s="22"/>
      <c r="DT12" s="22"/>
      <c r="DU12" s="70" t="n">
        <f aca="false">DT12-DS12</f>
        <v>0</v>
      </c>
      <c r="DV12" s="22"/>
      <c r="DW12" s="22"/>
      <c r="DX12" s="70" t="n">
        <f aca="false">DW12-DV12</f>
        <v>0</v>
      </c>
      <c r="DY12" s="22"/>
      <c r="DZ12" s="22"/>
      <c r="EA12" s="70" t="n">
        <f aca="false">DZ12-DY12</f>
        <v>0</v>
      </c>
      <c r="EB12" s="22"/>
      <c r="EC12" s="22"/>
      <c r="ED12" s="70" t="n">
        <f aca="false">EC12-EB12</f>
        <v>0</v>
      </c>
      <c r="EE12" s="22"/>
      <c r="EF12" s="22"/>
      <c r="EG12" s="70" t="n">
        <f aca="false">EF12-EE12</f>
        <v>0</v>
      </c>
      <c r="EH12" s="22"/>
      <c r="EI12" s="22"/>
      <c r="EJ12" s="70" t="n">
        <f aca="false">EI12-EH12</f>
        <v>0</v>
      </c>
      <c r="EK12" s="22"/>
      <c r="EL12" s="22"/>
      <c r="EM12" s="70" t="n">
        <f aca="false">EL12-EK12</f>
        <v>0</v>
      </c>
      <c r="EN12" s="22"/>
      <c r="EO12" s="22"/>
      <c r="EP12" s="70" t="n">
        <f aca="false">EO12-EN12</f>
        <v>0</v>
      </c>
      <c r="EQ12" s="70" t="n">
        <f aca="false">+C12+F12+I12+L12+O12+R12+U12+X12+AA12+AD12+AG12+AJ12+AM12+AP12+AS12+AV12+AY12+BB12+BE12+BH12+BK12+BN12+BQ12+BT12+BW12+BZ12+CC12+CF12+CI12+CL12+CO12+CR12+CU12+CX12+DA12+DD12+DG12+DJ12+DM12+DP12+DS12+DV12+DY12+EB12+EE12+EH12+EK12+EN12</f>
        <v>205000</v>
      </c>
      <c r="ER12" s="70" t="n">
        <f aca="false">+D12+G12+J12+M12+P12+S12+V12+Y12+AB12+AE12+AH12+AK12+AN12+AQ12+AT12+AW12+AZ12+BC12+BF12+BI12+BL12+BO12+BR12+BU12+BX12+CA12+CD12+CG12+CJ12+CM12+CP12+CS12+CV12+CY12+DB12+DE12+DH12+DK12+DN12+DQ12+DT12+DW12+DZ12+EC12+EF12+EI12+EL12+EO12</f>
        <v>203230</v>
      </c>
      <c r="ES12" s="70" t="n">
        <f aca="false">ER12-EQ12</f>
        <v>-1770</v>
      </c>
      <c r="ET12" s="22" t="n">
        <f aca="false">+ET11+ES12</f>
        <v>-33602</v>
      </c>
      <c r="EU12" s="74"/>
      <c r="EV12" s="70" t="n">
        <f aca="false">+EQ12-AG12</f>
        <v>65000</v>
      </c>
      <c r="EW12" s="70" t="n">
        <f aca="false">+ER12-AH12</f>
        <v>63230</v>
      </c>
      <c r="EX12" s="22" t="n">
        <f aca="false">+EW12-EV12</f>
        <v>-1770</v>
      </c>
      <c r="EY12" s="22" t="n">
        <f aca="false">+EY11+EX12</f>
        <v>-16002</v>
      </c>
      <c r="EZ12" s="74"/>
      <c r="FA12" s="22" t="n">
        <f aca="false">+AI12</f>
        <v>0</v>
      </c>
      <c r="FB12" s="22" t="n">
        <f aca="false">+FB11+FA12</f>
        <v>-17600</v>
      </c>
      <c r="FC12" s="74"/>
      <c r="FD12" s="74"/>
      <c r="FE12" s="74"/>
      <c r="FF12" s="74"/>
      <c r="FG12" s="74"/>
      <c r="FH12" s="74"/>
      <c r="FI12" s="74"/>
    </row>
    <row r="13" customFormat="false" ht="12.75" hidden="false" customHeight="false" outlineLevel="0" collapsed="false">
      <c r="A13" s="69" t="n">
        <f aca="false">+BaseloadMarkets!A13</f>
        <v>36685</v>
      </c>
      <c r="B13" s="69" t="str">
        <f aca="false">+BaseloadMarkets!B13</f>
        <v>Thu</v>
      </c>
      <c r="C13" s="22" t="n">
        <f aca="false">5000+5000</f>
        <v>10000</v>
      </c>
      <c r="D13" s="22" t="n">
        <f aca="false">5000+5000</f>
        <v>10000</v>
      </c>
      <c r="E13" s="70" t="n">
        <f aca="false">D13-C13</f>
        <v>0</v>
      </c>
      <c r="F13" s="22" t="n">
        <v>10000</v>
      </c>
      <c r="G13" s="22" t="n">
        <v>10000</v>
      </c>
      <c r="H13" s="70" t="n">
        <f aca="false">G13-F13</f>
        <v>0</v>
      </c>
      <c r="I13" s="22" t="n">
        <v>10000</v>
      </c>
      <c r="J13" s="22" t="n">
        <v>10000</v>
      </c>
      <c r="K13" s="70" t="n">
        <f aca="false">J13-I13</f>
        <v>0</v>
      </c>
      <c r="L13" s="22" t="n">
        <f aca="false">5000+5000</f>
        <v>10000</v>
      </c>
      <c r="M13" s="22" t="n">
        <f aca="false">5000+5000</f>
        <v>10000</v>
      </c>
      <c r="N13" s="70" t="n">
        <f aca="false">M13-L13</f>
        <v>0</v>
      </c>
      <c r="O13" s="22" t="n">
        <v>5000</v>
      </c>
      <c r="P13" s="22" t="n">
        <v>2688</v>
      </c>
      <c r="Q13" s="70" t="n">
        <f aca="false">P13-O13</f>
        <v>-2312</v>
      </c>
      <c r="R13" s="22" t="n">
        <v>5000</v>
      </c>
      <c r="S13" s="22" t="n">
        <v>5000</v>
      </c>
      <c r="T13" s="70" t="n">
        <f aca="false">S13-R13</f>
        <v>0</v>
      </c>
      <c r="U13" s="22" t="n">
        <v>5000</v>
      </c>
      <c r="V13" s="22" t="n">
        <v>5000</v>
      </c>
      <c r="W13" s="70" t="n">
        <f aca="false">V13-U13</f>
        <v>0</v>
      </c>
      <c r="X13" s="22" t="n">
        <v>10000</v>
      </c>
      <c r="Y13" s="22" t="n">
        <v>10000</v>
      </c>
      <c r="Z13" s="70" t="n">
        <f aca="false">Y13-X13</f>
        <v>0</v>
      </c>
      <c r="AA13" s="22"/>
      <c r="AB13" s="22"/>
      <c r="AC13" s="70" t="n">
        <f aca="false">AB13-AA13</f>
        <v>0</v>
      </c>
      <c r="AD13" s="22"/>
      <c r="AE13" s="22"/>
      <c r="AF13" s="70" t="n">
        <f aca="false">AE13-AD13</f>
        <v>0</v>
      </c>
      <c r="AG13" s="22" t="n">
        <v>160000</v>
      </c>
      <c r="AH13" s="22" t="n">
        <f aca="false">160000-10000+5480+2431</f>
        <v>157911</v>
      </c>
      <c r="AI13" s="70" t="n">
        <f aca="false">AH13-AG13</f>
        <v>-2089</v>
      </c>
      <c r="AJ13" s="22"/>
      <c r="AK13" s="22"/>
      <c r="AL13" s="70" t="n">
        <f aca="false">AK13-AJ13</f>
        <v>0</v>
      </c>
      <c r="AM13" s="22"/>
      <c r="AN13" s="22"/>
      <c r="AO13" s="70" t="n">
        <f aca="false">AN13-AM13</f>
        <v>0</v>
      </c>
      <c r="AP13" s="22"/>
      <c r="AQ13" s="22"/>
      <c r="AR13" s="70" t="n">
        <f aca="false">AQ13-AP13</f>
        <v>0</v>
      </c>
      <c r="AS13" s="22"/>
      <c r="AT13" s="22"/>
      <c r="AU13" s="70" t="n">
        <f aca="false">AT13-AS13</f>
        <v>0</v>
      </c>
      <c r="AV13" s="22"/>
      <c r="AW13" s="22"/>
      <c r="AX13" s="70" t="n">
        <f aca="false">AW13-AV13</f>
        <v>0</v>
      </c>
      <c r="AY13" s="22"/>
      <c r="AZ13" s="22"/>
      <c r="BA13" s="70" t="n">
        <f aca="false">AZ13-AY13</f>
        <v>0</v>
      </c>
      <c r="BB13" s="22"/>
      <c r="BC13" s="22"/>
      <c r="BD13" s="70" t="n">
        <f aca="false">BC13-BB13</f>
        <v>0</v>
      </c>
      <c r="BE13" s="22"/>
      <c r="BF13" s="22"/>
      <c r="BG13" s="70" t="n">
        <f aca="false">BF13-BE13</f>
        <v>0</v>
      </c>
      <c r="BH13" s="22"/>
      <c r="BI13" s="22"/>
      <c r="BJ13" s="70" t="n">
        <f aca="false">BI13-BH13</f>
        <v>0</v>
      </c>
      <c r="BK13" s="22"/>
      <c r="BL13" s="22"/>
      <c r="BM13" s="70" t="n">
        <f aca="false">BL13-BK13</f>
        <v>0</v>
      </c>
      <c r="BN13" s="22"/>
      <c r="BO13" s="22"/>
      <c r="BP13" s="70" t="n">
        <f aca="false">BO13-BN13</f>
        <v>0</v>
      </c>
      <c r="BQ13" s="22"/>
      <c r="BR13" s="22"/>
      <c r="BS13" s="70" t="n">
        <f aca="false">BR13-BQ13</f>
        <v>0</v>
      </c>
      <c r="BT13" s="22"/>
      <c r="BU13" s="22"/>
      <c r="BV13" s="70" t="n">
        <f aca="false">BU13-BT13</f>
        <v>0</v>
      </c>
      <c r="BW13" s="22"/>
      <c r="BX13" s="22"/>
      <c r="BY13" s="70" t="n">
        <f aca="false">BX13-BW13</f>
        <v>0</v>
      </c>
      <c r="BZ13" s="22"/>
      <c r="CA13" s="22"/>
      <c r="CB13" s="70" t="n">
        <f aca="false">CA13-BZ13</f>
        <v>0</v>
      </c>
      <c r="CC13" s="22"/>
      <c r="CD13" s="22"/>
      <c r="CE13" s="70" t="n">
        <f aca="false">CD13-CC13</f>
        <v>0</v>
      </c>
      <c r="CF13" s="22"/>
      <c r="CG13" s="22"/>
      <c r="CH13" s="70" t="n">
        <f aca="false">CG13-CF13</f>
        <v>0</v>
      </c>
      <c r="CI13" s="22"/>
      <c r="CJ13" s="22"/>
      <c r="CK13" s="70" t="n">
        <f aca="false">CJ13-CI13</f>
        <v>0</v>
      </c>
      <c r="CL13" s="22"/>
      <c r="CM13" s="22"/>
      <c r="CN13" s="70" t="n">
        <f aca="false">CM13-CL13</f>
        <v>0</v>
      </c>
      <c r="CO13" s="22"/>
      <c r="CP13" s="22"/>
      <c r="CQ13" s="70" t="n">
        <f aca="false">CP13-CO13</f>
        <v>0</v>
      </c>
      <c r="CR13" s="22"/>
      <c r="CS13" s="22"/>
      <c r="CT13" s="70" t="n">
        <f aca="false">CS13-CR13</f>
        <v>0</v>
      </c>
      <c r="CU13" s="22"/>
      <c r="CV13" s="22"/>
      <c r="CW13" s="70" t="n">
        <f aca="false">CV13-CU13</f>
        <v>0</v>
      </c>
      <c r="CX13" s="22"/>
      <c r="CY13" s="22"/>
      <c r="CZ13" s="70" t="n">
        <f aca="false">CY13-CX13</f>
        <v>0</v>
      </c>
      <c r="DA13" s="22"/>
      <c r="DB13" s="22"/>
      <c r="DC13" s="70" t="n">
        <f aca="false">DB13-DA13</f>
        <v>0</v>
      </c>
      <c r="DD13" s="22"/>
      <c r="DE13" s="22"/>
      <c r="DF13" s="70" t="n">
        <f aca="false">DE13-DD13</f>
        <v>0</v>
      </c>
      <c r="DG13" s="22"/>
      <c r="DH13" s="22"/>
      <c r="DI13" s="70" t="n">
        <f aca="false">DH13-DG13</f>
        <v>0</v>
      </c>
      <c r="DJ13" s="22"/>
      <c r="DK13" s="22"/>
      <c r="DL13" s="70" t="n">
        <f aca="false">DK13-DJ13</f>
        <v>0</v>
      </c>
      <c r="DM13" s="22"/>
      <c r="DN13" s="22"/>
      <c r="DO13" s="70" t="n">
        <f aca="false">DN13-DM13</f>
        <v>0</v>
      </c>
      <c r="DP13" s="22"/>
      <c r="DQ13" s="22"/>
      <c r="DR13" s="70" t="n">
        <f aca="false">DQ13-DP13</f>
        <v>0</v>
      </c>
      <c r="DS13" s="22"/>
      <c r="DT13" s="22"/>
      <c r="DU13" s="70" t="n">
        <f aca="false">DT13-DS13</f>
        <v>0</v>
      </c>
      <c r="DV13" s="22"/>
      <c r="DW13" s="22"/>
      <c r="DX13" s="70" t="n">
        <f aca="false">DW13-DV13</f>
        <v>0</v>
      </c>
      <c r="DY13" s="22"/>
      <c r="DZ13" s="22"/>
      <c r="EA13" s="70" t="n">
        <f aca="false">DZ13-DY13</f>
        <v>0</v>
      </c>
      <c r="EB13" s="22"/>
      <c r="EC13" s="22"/>
      <c r="ED13" s="70" t="n">
        <f aca="false">EC13-EB13</f>
        <v>0</v>
      </c>
      <c r="EE13" s="22"/>
      <c r="EF13" s="22"/>
      <c r="EG13" s="70" t="n">
        <f aca="false">EF13-EE13</f>
        <v>0</v>
      </c>
      <c r="EH13" s="22"/>
      <c r="EI13" s="22"/>
      <c r="EJ13" s="70" t="n">
        <f aca="false">EI13-EH13</f>
        <v>0</v>
      </c>
      <c r="EK13" s="22"/>
      <c r="EL13" s="22"/>
      <c r="EM13" s="70" t="n">
        <f aca="false">EL13-EK13</f>
        <v>0</v>
      </c>
      <c r="EN13" s="22"/>
      <c r="EO13" s="22"/>
      <c r="EP13" s="70" t="n">
        <f aca="false">EO13-EN13</f>
        <v>0</v>
      </c>
      <c r="EQ13" s="70" t="n">
        <f aca="false">+C13+F13+I13+L13+O13+R13+U13+X13+AA13+AD13+AG13+AJ13+AM13+AP13+AS13+AV13+AY13+BB13+BE13+BH13+BK13+BN13+BQ13+BT13+BW13+BZ13+CC13+CF13+CI13+CL13+CO13+CR13+CU13+CX13+DA13+DD13+DG13+DJ13+DM13+DP13+DS13+DV13+DY13+EB13+EE13+EH13+EK13+EN13</f>
        <v>225000</v>
      </c>
      <c r="ER13" s="70" t="n">
        <f aca="false">+D13+G13+J13+M13+P13+S13+V13+Y13+AB13+AE13+AH13+AK13+AN13+AQ13+AT13+AW13+AZ13+BC13+BF13+BI13+BL13+BO13+BR13+BU13+BX13+CA13+CD13+CG13+CJ13+CM13+CP13+CS13+CV13+CY13+DB13+DE13+DH13+DK13+DN13+DQ13+DT13+DW13+DZ13+EC13+EF13+EI13+EL13+EO13</f>
        <v>220599</v>
      </c>
      <c r="ES13" s="70" t="n">
        <f aca="false">ER13-EQ13</f>
        <v>-4401</v>
      </c>
      <c r="ET13" s="22" t="n">
        <f aca="false">+ET12+ES13</f>
        <v>-38003</v>
      </c>
      <c r="EU13" s="74"/>
      <c r="EV13" s="70" t="n">
        <f aca="false">+EQ13-AG13</f>
        <v>65000</v>
      </c>
      <c r="EW13" s="70" t="n">
        <f aca="false">+ER13-AH13</f>
        <v>62688</v>
      </c>
      <c r="EX13" s="22" t="n">
        <f aca="false">+EW13-EV13</f>
        <v>-2312</v>
      </c>
      <c r="EY13" s="22" t="n">
        <f aca="false">+EY12+EX13</f>
        <v>-18314</v>
      </c>
      <c r="EZ13" s="74"/>
      <c r="FA13" s="22" t="n">
        <f aca="false">+AI13</f>
        <v>-2089</v>
      </c>
      <c r="FB13" s="22" t="n">
        <f aca="false">+FB12+FA13</f>
        <v>-19689</v>
      </c>
      <c r="FC13" s="74"/>
      <c r="FD13" s="74"/>
      <c r="FE13" s="74"/>
      <c r="FF13" s="74"/>
      <c r="FG13" s="74"/>
      <c r="FH13" s="74"/>
      <c r="FI13" s="74"/>
    </row>
    <row r="14" customFormat="false" ht="12.75" hidden="false" customHeight="false" outlineLevel="0" collapsed="false">
      <c r="A14" s="69" t="n">
        <f aca="false">+BaseloadMarkets!A14</f>
        <v>36686</v>
      </c>
      <c r="B14" s="69" t="str">
        <f aca="false">+BaseloadMarkets!B14</f>
        <v>Fri</v>
      </c>
      <c r="C14" s="22" t="n">
        <f aca="false">5000+5000</f>
        <v>10000</v>
      </c>
      <c r="D14" s="22" t="n">
        <f aca="false">5000+5000</f>
        <v>10000</v>
      </c>
      <c r="E14" s="70" t="n">
        <f aca="false">D14-C14</f>
        <v>0</v>
      </c>
      <c r="F14" s="22" t="n">
        <v>10000</v>
      </c>
      <c r="G14" s="22" t="n">
        <v>10000</v>
      </c>
      <c r="H14" s="70" t="n">
        <f aca="false">G14-F14</f>
        <v>0</v>
      </c>
      <c r="I14" s="22" t="n">
        <v>10000</v>
      </c>
      <c r="J14" s="22" t="n">
        <v>10000</v>
      </c>
      <c r="K14" s="70" t="n">
        <f aca="false">J14-I14</f>
        <v>0</v>
      </c>
      <c r="L14" s="22" t="n">
        <f aca="false">5000+5000</f>
        <v>10000</v>
      </c>
      <c r="M14" s="22" t="n">
        <f aca="false">5000+5000</f>
        <v>10000</v>
      </c>
      <c r="N14" s="70" t="n">
        <f aca="false">M14-L14</f>
        <v>0</v>
      </c>
      <c r="O14" s="22" t="n">
        <v>5000</v>
      </c>
      <c r="P14" s="22" t="n">
        <v>5000</v>
      </c>
      <c r="Q14" s="70" t="n">
        <f aca="false">P14-O14</f>
        <v>0</v>
      </c>
      <c r="R14" s="22" t="n">
        <v>5000</v>
      </c>
      <c r="S14" s="22" t="n">
        <v>5000</v>
      </c>
      <c r="T14" s="70" t="n">
        <f aca="false">S14-R14</f>
        <v>0</v>
      </c>
      <c r="U14" s="22" t="n">
        <v>5000</v>
      </c>
      <c r="V14" s="22" t="n">
        <v>3229</v>
      </c>
      <c r="W14" s="70" t="n">
        <f aca="false">V14-U14</f>
        <v>-1771</v>
      </c>
      <c r="X14" s="22" t="n">
        <v>10000</v>
      </c>
      <c r="Y14" s="22" t="n">
        <v>4766</v>
      </c>
      <c r="Z14" s="70" t="n">
        <f aca="false">Y14-X14</f>
        <v>-5234</v>
      </c>
      <c r="AA14" s="22"/>
      <c r="AB14" s="22"/>
      <c r="AC14" s="70" t="n">
        <f aca="false">AB14-AA14</f>
        <v>0</v>
      </c>
      <c r="AD14" s="22"/>
      <c r="AE14" s="22"/>
      <c r="AF14" s="70" t="n">
        <f aca="false">AE14-AD14</f>
        <v>0</v>
      </c>
      <c r="AG14" s="22" t="n">
        <v>355000</v>
      </c>
      <c r="AH14" s="22" t="n">
        <v>336481</v>
      </c>
      <c r="AI14" s="70" t="n">
        <f aca="false">AH14-AG14</f>
        <v>-18519</v>
      </c>
      <c r="AJ14" s="22"/>
      <c r="AK14" s="22"/>
      <c r="AL14" s="70" t="n">
        <f aca="false">AK14-AJ14</f>
        <v>0</v>
      </c>
      <c r="AM14" s="22"/>
      <c r="AN14" s="22"/>
      <c r="AO14" s="70" t="n">
        <f aca="false">AN14-AM14</f>
        <v>0</v>
      </c>
      <c r="AP14" s="22"/>
      <c r="AQ14" s="22"/>
      <c r="AR14" s="70" t="n">
        <f aca="false">AQ14-AP14</f>
        <v>0</v>
      </c>
      <c r="AS14" s="22"/>
      <c r="AT14" s="22"/>
      <c r="AU14" s="70" t="n">
        <f aca="false">AT14-AS14</f>
        <v>0</v>
      </c>
      <c r="AV14" s="22"/>
      <c r="AW14" s="22"/>
      <c r="AX14" s="70" t="n">
        <f aca="false">AW14-AV14</f>
        <v>0</v>
      </c>
      <c r="AY14" s="22"/>
      <c r="AZ14" s="22"/>
      <c r="BA14" s="70" t="n">
        <f aca="false">AZ14-AY14</f>
        <v>0</v>
      </c>
      <c r="BB14" s="22"/>
      <c r="BC14" s="22"/>
      <c r="BD14" s="70" t="n">
        <f aca="false">BC14-BB14</f>
        <v>0</v>
      </c>
      <c r="BE14" s="22"/>
      <c r="BF14" s="22"/>
      <c r="BG14" s="70" t="n">
        <f aca="false">BF14-BE14</f>
        <v>0</v>
      </c>
      <c r="BH14" s="22"/>
      <c r="BI14" s="22"/>
      <c r="BJ14" s="70" t="n">
        <f aca="false">BI14-BH14</f>
        <v>0</v>
      </c>
      <c r="BK14" s="22"/>
      <c r="BL14" s="22"/>
      <c r="BM14" s="70" t="n">
        <f aca="false">BL14-BK14</f>
        <v>0</v>
      </c>
      <c r="BN14" s="22"/>
      <c r="BO14" s="22"/>
      <c r="BP14" s="70" t="n">
        <f aca="false">BO14-BN14</f>
        <v>0</v>
      </c>
      <c r="BQ14" s="22"/>
      <c r="BR14" s="22"/>
      <c r="BS14" s="70" t="n">
        <f aca="false">BR14-BQ14</f>
        <v>0</v>
      </c>
      <c r="BT14" s="22"/>
      <c r="BU14" s="22"/>
      <c r="BV14" s="70" t="n">
        <f aca="false">BU14-BT14</f>
        <v>0</v>
      </c>
      <c r="BW14" s="22"/>
      <c r="BX14" s="22"/>
      <c r="BY14" s="70" t="n">
        <f aca="false">BX14-BW14</f>
        <v>0</v>
      </c>
      <c r="BZ14" s="22"/>
      <c r="CA14" s="22"/>
      <c r="CB14" s="70" t="n">
        <f aca="false">CA14-BZ14</f>
        <v>0</v>
      </c>
      <c r="CC14" s="22"/>
      <c r="CD14" s="22"/>
      <c r="CE14" s="70" t="n">
        <f aca="false">CD14-CC14</f>
        <v>0</v>
      </c>
      <c r="CF14" s="22"/>
      <c r="CG14" s="22"/>
      <c r="CH14" s="70" t="n">
        <f aca="false">CG14-CF14</f>
        <v>0</v>
      </c>
      <c r="CI14" s="22"/>
      <c r="CJ14" s="22"/>
      <c r="CK14" s="70" t="n">
        <f aca="false">CJ14-CI14</f>
        <v>0</v>
      </c>
      <c r="CL14" s="22"/>
      <c r="CM14" s="22"/>
      <c r="CN14" s="70" t="n">
        <f aca="false">CM14-CL14</f>
        <v>0</v>
      </c>
      <c r="CO14" s="22"/>
      <c r="CP14" s="22"/>
      <c r="CQ14" s="70" t="n">
        <f aca="false">CP14-CO14</f>
        <v>0</v>
      </c>
      <c r="CR14" s="22"/>
      <c r="CS14" s="22"/>
      <c r="CT14" s="70" t="n">
        <f aca="false">CS14-CR14</f>
        <v>0</v>
      </c>
      <c r="CU14" s="22"/>
      <c r="CV14" s="22"/>
      <c r="CW14" s="70" t="n">
        <f aca="false">CV14-CU14</f>
        <v>0</v>
      </c>
      <c r="CX14" s="22"/>
      <c r="CY14" s="22"/>
      <c r="CZ14" s="70" t="n">
        <f aca="false">CY14-CX14</f>
        <v>0</v>
      </c>
      <c r="DA14" s="22"/>
      <c r="DB14" s="22"/>
      <c r="DC14" s="70" t="n">
        <f aca="false">DB14-DA14</f>
        <v>0</v>
      </c>
      <c r="DD14" s="22"/>
      <c r="DE14" s="22"/>
      <c r="DF14" s="70" t="n">
        <f aca="false">DE14-DD14</f>
        <v>0</v>
      </c>
      <c r="DG14" s="22"/>
      <c r="DH14" s="22"/>
      <c r="DI14" s="70" t="n">
        <f aca="false">DH14-DG14</f>
        <v>0</v>
      </c>
      <c r="DJ14" s="22"/>
      <c r="DK14" s="22"/>
      <c r="DL14" s="70" t="n">
        <f aca="false">DK14-DJ14</f>
        <v>0</v>
      </c>
      <c r="DM14" s="22"/>
      <c r="DN14" s="22"/>
      <c r="DO14" s="70" t="n">
        <f aca="false">DN14-DM14</f>
        <v>0</v>
      </c>
      <c r="DP14" s="22"/>
      <c r="DQ14" s="22"/>
      <c r="DR14" s="70" t="n">
        <f aca="false">DQ14-DP14</f>
        <v>0</v>
      </c>
      <c r="DS14" s="22"/>
      <c r="DT14" s="22"/>
      <c r="DU14" s="70" t="n">
        <f aca="false">DT14-DS14</f>
        <v>0</v>
      </c>
      <c r="DV14" s="22"/>
      <c r="DW14" s="22"/>
      <c r="DX14" s="70" t="n">
        <f aca="false">DW14-DV14</f>
        <v>0</v>
      </c>
      <c r="DY14" s="22"/>
      <c r="DZ14" s="22"/>
      <c r="EA14" s="70" t="n">
        <f aca="false">DZ14-DY14</f>
        <v>0</v>
      </c>
      <c r="EB14" s="22"/>
      <c r="EC14" s="22"/>
      <c r="ED14" s="70" t="n">
        <f aca="false">EC14-EB14</f>
        <v>0</v>
      </c>
      <c r="EE14" s="22"/>
      <c r="EF14" s="22"/>
      <c r="EG14" s="70" t="n">
        <f aca="false">EF14-EE14</f>
        <v>0</v>
      </c>
      <c r="EH14" s="22"/>
      <c r="EI14" s="22"/>
      <c r="EJ14" s="70" t="n">
        <f aca="false">EI14-EH14</f>
        <v>0</v>
      </c>
      <c r="EK14" s="22"/>
      <c r="EL14" s="22"/>
      <c r="EM14" s="70" t="n">
        <f aca="false">EL14-EK14</f>
        <v>0</v>
      </c>
      <c r="EN14" s="22"/>
      <c r="EO14" s="22"/>
      <c r="EP14" s="70" t="n">
        <f aca="false">EO14-EN14</f>
        <v>0</v>
      </c>
      <c r="EQ14" s="70" t="n">
        <f aca="false">+C14+F14+I14+L14+O14+R14+U14+X14+AA14+AD14+AG14+AJ14+AM14+AP14+AS14+AV14+AY14+BB14+BE14+BH14+BK14+BN14+BQ14+BT14+BW14+BZ14+CC14+CF14+CI14+CL14+CO14+CR14+CU14+CX14+DA14+DD14+DG14+DJ14+DM14+DP14+DS14+DV14+DY14+EB14+EE14+EH14+EK14+EN14</f>
        <v>420000</v>
      </c>
      <c r="ER14" s="70" t="n">
        <f aca="false">+D14+G14+J14+M14+P14+S14+V14+Y14+AB14+AE14+AH14+AK14+AN14+AQ14+AT14+AW14+AZ14+BC14+BF14+BI14+BL14+BO14+BR14+BU14+BX14+CA14+CD14+CG14+CJ14+CM14+CP14+CS14+CV14+CY14+DB14+DE14+DH14+DK14+DN14+DQ14+DT14+DW14+DZ14+EC14+EF14+EI14+EL14+EO14</f>
        <v>394476</v>
      </c>
      <c r="ES14" s="70" t="n">
        <f aca="false">ER14-EQ14</f>
        <v>-25524</v>
      </c>
      <c r="ET14" s="22" t="n">
        <f aca="false">+ET13+ES14</f>
        <v>-63527</v>
      </c>
      <c r="EU14" s="74"/>
      <c r="EV14" s="70" t="n">
        <f aca="false">+EQ14-AG14</f>
        <v>65000</v>
      </c>
      <c r="EW14" s="70" t="n">
        <f aca="false">+ER14-AH14</f>
        <v>57995</v>
      </c>
      <c r="EX14" s="22" t="n">
        <f aca="false">+EW14-EV14</f>
        <v>-7005</v>
      </c>
      <c r="EY14" s="22" t="n">
        <f aca="false">+EY13+EX14</f>
        <v>-25319</v>
      </c>
      <c r="EZ14" s="74"/>
      <c r="FA14" s="22" t="n">
        <f aca="false">+AI14</f>
        <v>-18519</v>
      </c>
      <c r="FB14" s="22" t="n">
        <f aca="false">+FB13+FA14</f>
        <v>-38208</v>
      </c>
      <c r="FC14" s="74"/>
      <c r="FD14" s="74"/>
      <c r="FE14" s="74"/>
      <c r="FF14" s="74"/>
      <c r="FG14" s="74"/>
      <c r="FH14" s="74"/>
      <c r="FI14" s="74"/>
    </row>
    <row r="15" customFormat="false" ht="12.75" hidden="false" customHeight="false" outlineLevel="0" collapsed="false">
      <c r="A15" s="69" t="n">
        <f aca="false">+BaseloadMarkets!A15</f>
        <v>36687</v>
      </c>
      <c r="B15" s="69" t="str">
        <f aca="false">+BaseloadMarkets!B15</f>
        <v>Sat</v>
      </c>
      <c r="C15" s="22" t="n">
        <f aca="false">5000+5000</f>
        <v>10000</v>
      </c>
      <c r="D15" s="22" t="n">
        <f aca="false">5000+5000</f>
        <v>10000</v>
      </c>
      <c r="E15" s="70" t="n">
        <f aca="false">D15-C15</f>
        <v>0</v>
      </c>
      <c r="F15" s="22" t="n">
        <v>10000</v>
      </c>
      <c r="G15" s="22" t="n">
        <v>10000</v>
      </c>
      <c r="H15" s="70" t="n">
        <f aca="false">G15-F15</f>
        <v>0</v>
      </c>
      <c r="I15" s="22" t="n">
        <v>10000</v>
      </c>
      <c r="J15" s="22" t="n">
        <v>10000</v>
      </c>
      <c r="K15" s="70" t="n">
        <f aca="false">J15-I15</f>
        <v>0</v>
      </c>
      <c r="L15" s="22" t="n">
        <f aca="false">5000+5000</f>
        <v>10000</v>
      </c>
      <c r="M15" s="22" t="n">
        <f aca="false">5000+5000</f>
        <v>10000</v>
      </c>
      <c r="N15" s="70" t="n">
        <f aca="false">M15-L15</f>
        <v>0</v>
      </c>
      <c r="O15" s="22" t="n">
        <v>5000</v>
      </c>
      <c r="P15" s="22" t="n">
        <v>5000</v>
      </c>
      <c r="Q15" s="70" t="n">
        <f aca="false">P15-O15</f>
        <v>0</v>
      </c>
      <c r="R15" s="22" t="n">
        <v>5000</v>
      </c>
      <c r="S15" s="22" t="n">
        <v>5000</v>
      </c>
      <c r="T15" s="70" t="n">
        <f aca="false">S15-R15</f>
        <v>0</v>
      </c>
      <c r="U15" s="22" t="n">
        <v>5000</v>
      </c>
      <c r="V15" s="22" t="n">
        <v>5000</v>
      </c>
      <c r="W15" s="70" t="n">
        <f aca="false">V15-U15</f>
        <v>0</v>
      </c>
      <c r="X15" s="22" t="n">
        <v>10000</v>
      </c>
      <c r="Y15" s="22" t="n">
        <v>10000</v>
      </c>
      <c r="Z15" s="70" t="n">
        <f aca="false">Y15-X15</f>
        <v>0</v>
      </c>
      <c r="AA15" s="22"/>
      <c r="AB15" s="22"/>
      <c r="AC15" s="70" t="n">
        <f aca="false">AB15-AA15</f>
        <v>0</v>
      </c>
      <c r="AD15" s="22"/>
      <c r="AE15" s="22"/>
      <c r="AF15" s="70" t="n">
        <f aca="false">AE15-AD15</f>
        <v>0</v>
      </c>
      <c r="AG15" s="22" t="n">
        <v>105000</v>
      </c>
      <c r="AH15" s="22" t="n">
        <v>105000</v>
      </c>
      <c r="AI15" s="70" t="n">
        <f aca="false">AH15-AG15</f>
        <v>0</v>
      </c>
      <c r="AJ15" s="22"/>
      <c r="AK15" s="22"/>
      <c r="AL15" s="70" t="n">
        <f aca="false">AK15-AJ15</f>
        <v>0</v>
      </c>
      <c r="AM15" s="22"/>
      <c r="AN15" s="22"/>
      <c r="AO15" s="70" t="n">
        <f aca="false">AN15-AM15</f>
        <v>0</v>
      </c>
      <c r="AP15" s="22"/>
      <c r="AQ15" s="22"/>
      <c r="AR15" s="70" t="n">
        <f aca="false">AQ15-AP15</f>
        <v>0</v>
      </c>
      <c r="AS15" s="22"/>
      <c r="AT15" s="22"/>
      <c r="AU15" s="70" t="n">
        <f aca="false">AT15-AS15</f>
        <v>0</v>
      </c>
      <c r="AV15" s="22"/>
      <c r="AW15" s="22"/>
      <c r="AX15" s="70" t="n">
        <f aca="false">AW15-AV15</f>
        <v>0</v>
      </c>
      <c r="AY15" s="22"/>
      <c r="AZ15" s="22"/>
      <c r="BA15" s="70" t="n">
        <f aca="false">AZ15-AY15</f>
        <v>0</v>
      </c>
      <c r="BB15" s="22"/>
      <c r="BC15" s="22"/>
      <c r="BD15" s="70" t="n">
        <f aca="false">BC15-BB15</f>
        <v>0</v>
      </c>
      <c r="BE15" s="22"/>
      <c r="BF15" s="22"/>
      <c r="BG15" s="70" t="n">
        <f aca="false">BF15-BE15</f>
        <v>0</v>
      </c>
      <c r="BH15" s="22"/>
      <c r="BI15" s="22"/>
      <c r="BJ15" s="70" t="n">
        <f aca="false">BI15-BH15</f>
        <v>0</v>
      </c>
      <c r="BK15" s="22"/>
      <c r="BL15" s="22"/>
      <c r="BM15" s="70" t="n">
        <f aca="false">BL15-BK15</f>
        <v>0</v>
      </c>
      <c r="BN15" s="22"/>
      <c r="BO15" s="22"/>
      <c r="BP15" s="70" t="n">
        <f aca="false">BO15-BN15</f>
        <v>0</v>
      </c>
      <c r="BQ15" s="22"/>
      <c r="BR15" s="22"/>
      <c r="BS15" s="70" t="n">
        <f aca="false">BR15-BQ15</f>
        <v>0</v>
      </c>
      <c r="BT15" s="22"/>
      <c r="BU15" s="22"/>
      <c r="BV15" s="70" t="n">
        <f aca="false">BU15-BT15</f>
        <v>0</v>
      </c>
      <c r="BW15" s="22"/>
      <c r="BX15" s="22"/>
      <c r="BY15" s="70" t="n">
        <f aca="false">BX15-BW15</f>
        <v>0</v>
      </c>
      <c r="BZ15" s="22"/>
      <c r="CA15" s="22"/>
      <c r="CB15" s="70" t="n">
        <f aca="false">CA15-BZ15</f>
        <v>0</v>
      </c>
      <c r="CC15" s="22"/>
      <c r="CD15" s="22"/>
      <c r="CE15" s="70" t="n">
        <f aca="false">CD15-CC15</f>
        <v>0</v>
      </c>
      <c r="CF15" s="22"/>
      <c r="CG15" s="22"/>
      <c r="CH15" s="70" t="n">
        <f aca="false">CG15-CF15</f>
        <v>0</v>
      </c>
      <c r="CI15" s="22"/>
      <c r="CJ15" s="22"/>
      <c r="CK15" s="70" t="n">
        <f aca="false">CJ15-CI15</f>
        <v>0</v>
      </c>
      <c r="CL15" s="22"/>
      <c r="CM15" s="22"/>
      <c r="CN15" s="70" t="n">
        <f aca="false">CM15-CL15</f>
        <v>0</v>
      </c>
      <c r="CO15" s="22"/>
      <c r="CP15" s="22"/>
      <c r="CQ15" s="70" t="n">
        <f aca="false">CP15-CO15</f>
        <v>0</v>
      </c>
      <c r="CR15" s="22"/>
      <c r="CS15" s="22"/>
      <c r="CT15" s="70" t="n">
        <f aca="false">CS15-CR15</f>
        <v>0</v>
      </c>
      <c r="CU15" s="22"/>
      <c r="CV15" s="22"/>
      <c r="CW15" s="70" t="n">
        <f aca="false">CV15-CU15</f>
        <v>0</v>
      </c>
      <c r="CX15" s="22"/>
      <c r="CY15" s="22"/>
      <c r="CZ15" s="70" t="n">
        <f aca="false">CY15-CX15</f>
        <v>0</v>
      </c>
      <c r="DA15" s="22"/>
      <c r="DB15" s="22"/>
      <c r="DC15" s="70" t="n">
        <f aca="false">DB15-DA15</f>
        <v>0</v>
      </c>
      <c r="DD15" s="22"/>
      <c r="DE15" s="22"/>
      <c r="DF15" s="70" t="n">
        <f aca="false">DE15-DD15</f>
        <v>0</v>
      </c>
      <c r="DG15" s="22"/>
      <c r="DH15" s="22"/>
      <c r="DI15" s="70" t="n">
        <f aca="false">DH15-DG15</f>
        <v>0</v>
      </c>
      <c r="DJ15" s="22"/>
      <c r="DK15" s="22"/>
      <c r="DL15" s="70" t="n">
        <f aca="false">DK15-DJ15</f>
        <v>0</v>
      </c>
      <c r="DM15" s="22"/>
      <c r="DN15" s="22"/>
      <c r="DO15" s="70" t="n">
        <f aca="false">DN15-DM15</f>
        <v>0</v>
      </c>
      <c r="DP15" s="22"/>
      <c r="DQ15" s="22"/>
      <c r="DR15" s="70" t="n">
        <f aca="false">DQ15-DP15</f>
        <v>0</v>
      </c>
      <c r="DS15" s="22"/>
      <c r="DT15" s="22"/>
      <c r="DU15" s="70" t="n">
        <f aca="false">DT15-DS15</f>
        <v>0</v>
      </c>
      <c r="DV15" s="22"/>
      <c r="DW15" s="22"/>
      <c r="DX15" s="70" t="n">
        <f aca="false">DW15-DV15</f>
        <v>0</v>
      </c>
      <c r="DY15" s="22"/>
      <c r="DZ15" s="22"/>
      <c r="EA15" s="70" t="n">
        <f aca="false">DZ15-DY15</f>
        <v>0</v>
      </c>
      <c r="EB15" s="22"/>
      <c r="EC15" s="22"/>
      <c r="ED15" s="70" t="n">
        <f aca="false">EC15-EB15</f>
        <v>0</v>
      </c>
      <c r="EE15" s="22"/>
      <c r="EF15" s="22"/>
      <c r="EG15" s="70" t="n">
        <f aca="false">EF15-EE15</f>
        <v>0</v>
      </c>
      <c r="EH15" s="22"/>
      <c r="EI15" s="22"/>
      <c r="EJ15" s="70" t="n">
        <f aca="false">EI15-EH15</f>
        <v>0</v>
      </c>
      <c r="EK15" s="22"/>
      <c r="EL15" s="22"/>
      <c r="EM15" s="70" t="n">
        <f aca="false">EL15-EK15</f>
        <v>0</v>
      </c>
      <c r="EN15" s="22"/>
      <c r="EO15" s="22"/>
      <c r="EP15" s="70" t="n">
        <f aca="false">EO15-EN15</f>
        <v>0</v>
      </c>
      <c r="EQ15" s="70" t="n">
        <f aca="false">+C15+F15+I15+L15+O15+R15+U15+X15+AA15+AD15+AG15+AJ15+AM15+AP15+AS15+AV15+AY15+BB15+BE15+BH15+BK15+BN15+BQ15+BT15+BW15+BZ15+CC15+CF15+CI15+CL15+CO15+CR15+CU15+CX15+DA15+DD15+DG15+DJ15+DM15+DP15+DS15+DV15+DY15+EB15+EE15+EH15+EK15+EN15</f>
        <v>170000</v>
      </c>
      <c r="ER15" s="70" t="n">
        <f aca="false">+D15+G15+J15+M15+P15+S15+V15+Y15+AB15+AE15+AH15+AK15+AN15+AQ15+AT15+AW15+AZ15+BC15+BF15+BI15+BL15+BO15+BR15+BU15+BX15+CA15+CD15+CG15+CJ15+CM15+CP15+CS15+CV15+CY15+DB15+DE15+DH15+DK15+DN15+DQ15+DT15+DW15+DZ15+EC15+EF15+EI15+EL15+EO15</f>
        <v>170000</v>
      </c>
      <c r="ES15" s="70" t="n">
        <f aca="false">ER15-EQ15</f>
        <v>0</v>
      </c>
      <c r="ET15" s="22" t="n">
        <f aca="false">+ET14+ES15</f>
        <v>-63527</v>
      </c>
      <c r="EU15" s="74"/>
      <c r="EV15" s="70" t="n">
        <f aca="false">+EQ15-AG15</f>
        <v>65000</v>
      </c>
      <c r="EW15" s="70" t="n">
        <f aca="false">+ER15-AH15</f>
        <v>65000</v>
      </c>
      <c r="EX15" s="22" t="n">
        <f aca="false">+EW15-EV15</f>
        <v>0</v>
      </c>
      <c r="EY15" s="22" t="n">
        <f aca="false">+EY14+EX15</f>
        <v>-25319</v>
      </c>
      <c r="EZ15" s="74"/>
      <c r="FA15" s="22" t="n">
        <f aca="false">+AI15</f>
        <v>0</v>
      </c>
      <c r="FB15" s="22" t="n">
        <f aca="false">+FB14+FA15</f>
        <v>-38208</v>
      </c>
      <c r="FC15" s="74"/>
      <c r="FD15" s="74"/>
      <c r="FE15" s="74"/>
      <c r="FF15" s="74"/>
      <c r="FG15" s="74"/>
      <c r="FH15" s="74"/>
      <c r="FI15" s="74"/>
    </row>
    <row r="16" customFormat="false" ht="12.75" hidden="false" customHeight="false" outlineLevel="0" collapsed="false">
      <c r="A16" s="69" t="n">
        <f aca="false">+BaseloadMarkets!A16</f>
        <v>36688</v>
      </c>
      <c r="B16" s="69" t="str">
        <f aca="false">+BaseloadMarkets!B16</f>
        <v>Sun</v>
      </c>
      <c r="C16" s="22" t="n">
        <f aca="false">5000+5000</f>
        <v>10000</v>
      </c>
      <c r="D16" s="22" t="n">
        <f aca="false">5000+5000</f>
        <v>10000</v>
      </c>
      <c r="E16" s="70" t="n">
        <f aca="false">D16-C16</f>
        <v>0</v>
      </c>
      <c r="F16" s="22" t="n">
        <v>10000</v>
      </c>
      <c r="G16" s="22" t="n">
        <v>10000</v>
      </c>
      <c r="H16" s="70" t="n">
        <f aca="false">G16-F16</f>
        <v>0</v>
      </c>
      <c r="I16" s="22" t="n">
        <v>10000</v>
      </c>
      <c r="J16" s="22" t="n">
        <v>10000</v>
      </c>
      <c r="K16" s="70" t="n">
        <f aca="false">J16-I16</f>
        <v>0</v>
      </c>
      <c r="L16" s="22" t="n">
        <f aca="false">5000+5000</f>
        <v>10000</v>
      </c>
      <c r="M16" s="22" t="n">
        <f aca="false">5000+5000</f>
        <v>10000</v>
      </c>
      <c r="N16" s="70" t="n">
        <f aca="false">M16-L16</f>
        <v>0</v>
      </c>
      <c r="O16" s="22" t="n">
        <v>5000</v>
      </c>
      <c r="P16" s="22" t="n">
        <v>5000</v>
      </c>
      <c r="Q16" s="70" t="n">
        <f aca="false">P16-O16</f>
        <v>0</v>
      </c>
      <c r="R16" s="22" t="n">
        <v>5000</v>
      </c>
      <c r="S16" s="22" t="n">
        <v>5000</v>
      </c>
      <c r="T16" s="70" t="n">
        <f aca="false">S16-R16</f>
        <v>0</v>
      </c>
      <c r="U16" s="22" t="n">
        <v>5000</v>
      </c>
      <c r="V16" s="22" t="n">
        <v>5000</v>
      </c>
      <c r="W16" s="70" t="n">
        <f aca="false">V16-U16</f>
        <v>0</v>
      </c>
      <c r="X16" s="22" t="n">
        <v>10000</v>
      </c>
      <c r="Y16" s="22" t="n">
        <v>10000</v>
      </c>
      <c r="Z16" s="70" t="n">
        <f aca="false">Y16-X16</f>
        <v>0</v>
      </c>
      <c r="AA16" s="22"/>
      <c r="AB16" s="22"/>
      <c r="AC16" s="70" t="n">
        <f aca="false">AB16-AA16</f>
        <v>0</v>
      </c>
      <c r="AD16" s="22"/>
      <c r="AE16" s="22"/>
      <c r="AF16" s="70" t="n">
        <f aca="false">AE16-AD16</f>
        <v>0</v>
      </c>
      <c r="AG16" s="22" t="n">
        <v>105000</v>
      </c>
      <c r="AH16" s="22" t="n">
        <v>105000</v>
      </c>
      <c r="AI16" s="70" t="n">
        <f aca="false">AH16-AG16</f>
        <v>0</v>
      </c>
      <c r="AJ16" s="22"/>
      <c r="AK16" s="22"/>
      <c r="AL16" s="70" t="n">
        <f aca="false">AK16-AJ16</f>
        <v>0</v>
      </c>
      <c r="AM16" s="22"/>
      <c r="AN16" s="22"/>
      <c r="AO16" s="70" t="n">
        <f aca="false">AN16-AM16</f>
        <v>0</v>
      </c>
      <c r="AP16" s="22"/>
      <c r="AQ16" s="22"/>
      <c r="AR16" s="70" t="n">
        <f aca="false">AQ16-AP16</f>
        <v>0</v>
      </c>
      <c r="AS16" s="22"/>
      <c r="AT16" s="22"/>
      <c r="AU16" s="70" t="n">
        <f aca="false">AT16-AS16</f>
        <v>0</v>
      </c>
      <c r="AV16" s="22"/>
      <c r="AW16" s="22"/>
      <c r="AX16" s="70" t="n">
        <f aca="false">AW16-AV16</f>
        <v>0</v>
      </c>
      <c r="AY16" s="22"/>
      <c r="AZ16" s="22"/>
      <c r="BA16" s="70" t="n">
        <f aca="false">AZ16-AY16</f>
        <v>0</v>
      </c>
      <c r="BB16" s="22"/>
      <c r="BC16" s="22"/>
      <c r="BD16" s="70" t="n">
        <f aca="false">BC16-BB16</f>
        <v>0</v>
      </c>
      <c r="BE16" s="22"/>
      <c r="BF16" s="22"/>
      <c r="BG16" s="70" t="n">
        <f aca="false">BF16-BE16</f>
        <v>0</v>
      </c>
      <c r="BH16" s="22"/>
      <c r="BI16" s="22"/>
      <c r="BJ16" s="70" t="n">
        <f aca="false">BI16-BH16</f>
        <v>0</v>
      </c>
      <c r="BK16" s="22"/>
      <c r="BL16" s="22"/>
      <c r="BM16" s="70" t="n">
        <f aca="false">BL16-BK16</f>
        <v>0</v>
      </c>
      <c r="BN16" s="22"/>
      <c r="BO16" s="22"/>
      <c r="BP16" s="70" t="n">
        <f aca="false">BO16-BN16</f>
        <v>0</v>
      </c>
      <c r="BQ16" s="22"/>
      <c r="BR16" s="22"/>
      <c r="BS16" s="70" t="n">
        <f aca="false">BR16-BQ16</f>
        <v>0</v>
      </c>
      <c r="BT16" s="22"/>
      <c r="BU16" s="22"/>
      <c r="BV16" s="70" t="n">
        <f aca="false">BU16-BT16</f>
        <v>0</v>
      </c>
      <c r="BW16" s="22"/>
      <c r="BX16" s="22"/>
      <c r="BY16" s="70" t="n">
        <f aca="false">BX16-BW16</f>
        <v>0</v>
      </c>
      <c r="BZ16" s="22"/>
      <c r="CA16" s="22"/>
      <c r="CB16" s="70" t="n">
        <f aca="false">CA16-BZ16</f>
        <v>0</v>
      </c>
      <c r="CC16" s="22"/>
      <c r="CD16" s="22"/>
      <c r="CE16" s="70" t="n">
        <f aca="false">CD16-CC16</f>
        <v>0</v>
      </c>
      <c r="CF16" s="22"/>
      <c r="CG16" s="22"/>
      <c r="CH16" s="70" t="n">
        <f aca="false">CG16-CF16</f>
        <v>0</v>
      </c>
      <c r="CI16" s="22"/>
      <c r="CJ16" s="22"/>
      <c r="CK16" s="70" t="n">
        <f aca="false">CJ16-CI16</f>
        <v>0</v>
      </c>
      <c r="CL16" s="22"/>
      <c r="CM16" s="22"/>
      <c r="CN16" s="70" t="n">
        <f aca="false">CM16-CL16</f>
        <v>0</v>
      </c>
      <c r="CO16" s="22"/>
      <c r="CP16" s="22"/>
      <c r="CQ16" s="70" t="n">
        <f aca="false">CP16-CO16</f>
        <v>0</v>
      </c>
      <c r="CR16" s="22"/>
      <c r="CS16" s="22"/>
      <c r="CT16" s="70" t="n">
        <f aca="false">CS16-CR16</f>
        <v>0</v>
      </c>
      <c r="CU16" s="22"/>
      <c r="CV16" s="22"/>
      <c r="CW16" s="70" t="n">
        <f aca="false">CV16-CU16</f>
        <v>0</v>
      </c>
      <c r="CX16" s="22"/>
      <c r="CY16" s="22"/>
      <c r="CZ16" s="70" t="n">
        <f aca="false">CY16-CX16</f>
        <v>0</v>
      </c>
      <c r="DA16" s="22"/>
      <c r="DB16" s="22"/>
      <c r="DC16" s="70" t="n">
        <f aca="false">DB16-DA16</f>
        <v>0</v>
      </c>
      <c r="DD16" s="22"/>
      <c r="DE16" s="22"/>
      <c r="DF16" s="70" t="n">
        <f aca="false">DE16-DD16</f>
        <v>0</v>
      </c>
      <c r="DG16" s="22"/>
      <c r="DH16" s="22"/>
      <c r="DI16" s="70" t="n">
        <f aca="false">DH16-DG16</f>
        <v>0</v>
      </c>
      <c r="DJ16" s="22"/>
      <c r="DK16" s="22"/>
      <c r="DL16" s="70" t="n">
        <f aca="false">DK16-DJ16</f>
        <v>0</v>
      </c>
      <c r="DM16" s="22"/>
      <c r="DN16" s="22"/>
      <c r="DO16" s="70" t="n">
        <f aca="false">DN16-DM16</f>
        <v>0</v>
      </c>
      <c r="DP16" s="22"/>
      <c r="DQ16" s="22"/>
      <c r="DR16" s="70" t="n">
        <f aca="false">DQ16-DP16</f>
        <v>0</v>
      </c>
      <c r="DS16" s="22"/>
      <c r="DT16" s="22"/>
      <c r="DU16" s="70" t="n">
        <f aca="false">DT16-DS16</f>
        <v>0</v>
      </c>
      <c r="DV16" s="22"/>
      <c r="DW16" s="22"/>
      <c r="DX16" s="70" t="n">
        <f aca="false">DW16-DV16</f>
        <v>0</v>
      </c>
      <c r="DY16" s="22"/>
      <c r="DZ16" s="22"/>
      <c r="EA16" s="70" t="n">
        <f aca="false">DZ16-DY16</f>
        <v>0</v>
      </c>
      <c r="EB16" s="22"/>
      <c r="EC16" s="22"/>
      <c r="ED16" s="70" t="n">
        <f aca="false">EC16-EB16</f>
        <v>0</v>
      </c>
      <c r="EE16" s="22"/>
      <c r="EF16" s="22"/>
      <c r="EG16" s="70" t="n">
        <f aca="false">EF16-EE16</f>
        <v>0</v>
      </c>
      <c r="EH16" s="22"/>
      <c r="EI16" s="22"/>
      <c r="EJ16" s="70" t="n">
        <f aca="false">EI16-EH16</f>
        <v>0</v>
      </c>
      <c r="EK16" s="22"/>
      <c r="EL16" s="22"/>
      <c r="EM16" s="70" t="n">
        <f aca="false">EL16-EK16</f>
        <v>0</v>
      </c>
      <c r="EN16" s="22"/>
      <c r="EO16" s="22"/>
      <c r="EP16" s="70" t="n">
        <f aca="false">EO16-EN16</f>
        <v>0</v>
      </c>
      <c r="EQ16" s="70" t="n">
        <f aca="false">+C16+F16+I16+L16+O16+R16+U16+X16+AA16+AD16+AG16+AJ16+AM16+AP16+AS16+AV16+AY16+BB16+BE16+BH16+BK16+BN16+BQ16+BT16+BW16+BZ16+CC16+CF16+CI16+CL16+CO16+CR16+CU16+CX16+DA16+DD16+DG16+DJ16+DM16+DP16+DS16+DV16+DY16+EB16+EE16+EH16+EK16+EN16</f>
        <v>170000</v>
      </c>
      <c r="ER16" s="70" t="n">
        <f aca="false">+D16+G16+J16+M16+P16+S16+V16+Y16+AB16+AE16+AH16+AK16+AN16+AQ16+AT16+AW16+AZ16+BC16+BF16+BI16+BL16+BO16+BR16+BU16+BX16+CA16+CD16+CG16+CJ16+CM16+CP16+CS16+CV16+CY16+DB16+DE16+DH16+DK16+DN16+DQ16+DT16+DW16+DZ16+EC16+EF16+EI16+EL16+EO16</f>
        <v>170000</v>
      </c>
      <c r="ES16" s="70" t="n">
        <f aca="false">ER16-EQ16</f>
        <v>0</v>
      </c>
      <c r="ET16" s="22" t="n">
        <f aca="false">+ET15+ES16</f>
        <v>-63527</v>
      </c>
      <c r="EU16" s="74"/>
      <c r="EV16" s="70" t="n">
        <f aca="false">+EQ16-AG16</f>
        <v>65000</v>
      </c>
      <c r="EW16" s="70" t="n">
        <f aca="false">+ER16-AH16</f>
        <v>65000</v>
      </c>
      <c r="EX16" s="22" t="n">
        <f aca="false">+EW16-EV16</f>
        <v>0</v>
      </c>
      <c r="EY16" s="22" t="n">
        <f aca="false">+EY15+EX16</f>
        <v>-25319</v>
      </c>
      <c r="EZ16" s="74"/>
      <c r="FA16" s="22" t="n">
        <f aca="false">+AI16</f>
        <v>0</v>
      </c>
      <c r="FB16" s="22" t="n">
        <f aca="false">+FB15+FA16</f>
        <v>-38208</v>
      </c>
      <c r="FC16" s="74"/>
      <c r="FD16" s="74"/>
      <c r="FE16" s="74"/>
      <c r="FF16" s="74"/>
      <c r="FG16" s="74"/>
      <c r="FH16" s="74"/>
      <c r="FI16" s="74"/>
    </row>
    <row r="17" customFormat="false" ht="12.75" hidden="false" customHeight="false" outlineLevel="0" collapsed="false">
      <c r="A17" s="69" t="n">
        <f aca="false">+BaseloadMarkets!A17</f>
        <v>36689</v>
      </c>
      <c r="B17" s="69" t="str">
        <f aca="false">+BaseloadMarkets!B17</f>
        <v>Mon</v>
      </c>
      <c r="C17" s="22" t="n">
        <f aca="false">5000+5000</f>
        <v>10000</v>
      </c>
      <c r="D17" s="22" t="n">
        <f aca="false">5000+5000</f>
        <v>10000</v>
      </c>
      <c r="E17" s="70" t="n">
        <f aca="false">D17-C17</f>
        <v>0</v>
      </c>
      <c r="F17" s="22" t="n">
        <v>10000</v>
      </c>
      <c r="G17" s="22" t="n">
        <v>10000</v>
      </c>
      <c r="H17" s="70" t="n">
        <f aca="false">G17-F17</f>
        <v>0</v>
      </c>
      <c r="I17" s="22" t="n">
        <v>10000</v>
      </c>
      <c r="J17" s="22" t="n">
        <v>10000</v>
      </c>
      <c r="K17" s="70" t="n">
        <f aca="false">J17-I17</f>
        <v>0</v>
      </c>
      <c r="L17" s="22" t="n">
        <f aca="false">5000+5000</f>
        <v>10000</v>
      </c>
      <c r="M17" s="22" t="n">
        <f aca="false">5000+5000</f>
        <v>10000</v>
      </c>
      <c r="N17" s="70" t="n">
        <f aca="false">M17-L17</f>
        <v>0</v>
      </c>
      <c r="O17" s="22" t="n">
        <v>5000</v>
      </c>
      <c r="P17" s="22" t="n">
        <v>5000</v>
      </c>
      <c r="Q17" s="70" t="n">
        <f aca="false">P17-O17</f>
        <v>0</v>
      </c>
      <c r="R17" s="22" t="n">
        <v>5000</v>
      </c>
      <c r="S17" s="22" t="n">
        <v>5000</v>
      </c>
      <c r="T17" s="70" t="n">
        <f aca="false">S17-R17</f>
        <v>0</v>
      </c>
      <c r="U17" s="22" t="n">
        <v>5000</v>
      </c>
      <c r="V17" s="22" t="n">
        <v>5000</v>
      </c>
      <c r="W17" s="70" t="n">
        <f aca="false">V17-U17</f>
        <v>0</v>
      </c>
      <c r="X17" s="22" t="n">
        <v>10000</v>
      </c>
      <c r="Y17" s="22" t="n">
        <v>10000</v>
      </c>
      <c r="Z17" s="70" t="n">
        <f aca="false">Y17-X17</f>
        <v>0</v>
      </c>
      <c r="AA17" s="22"/>
      <c r="AB17" s="22"/>
      <c r="AC17" s="70" t="n">
        <f aca="false">AB17-AA17</f>
        <v>0</v>
      </c>
      <c r="AD17" s="22"/>
      <c r="AE17" s="22"/>
      <c r="AF17" s="70" t="n">
        <f aca="false">AE17-AD17</f>
        <v>0</v>
      </c>
      <c r="AG17" s="22" t="n">
        <v>105000</v>
      </c>
      <c r="AH17" s="22" t="n">
        <v>105000</v>
      </c>
      <c r="AI17" s="70" t="n">
        <f aca="false">AH17-AG17</f>
        <v>0</v>
      </c>
      <c r="AJ17" s="22"/>
      <c r="AK17" s="22"/>
      <c r="AL17" s="70" t="n">
        <f aca="false">AK17-AJ17</f>
        <v>0</v>
      </c>
      <c r="AM17" s="22"/>
      <c r="AN17" s="22"/>
      <c r="AO17" s="70" t="n">
        <f aca="false">AN17-AM17</f>
        <v>0</v>
      </c>
      <c r="AP17" s="22"/>
      <c r="AQ17" s="22"/>
      <c r="AR17" s="70" t="n">
        <f aca="false">AQ17-AP17</f>
        <v>0</v>
      </c>
      <c r="AS17" s="22"/>
      <c r="AT17" s="22"/>
      <c r="AU17" s="70" t="n">
        <f aca="false">AT17-AS17</f>
        <v>0</v>
      </c>
      <c r="AV17" s="22"/>
      <c r="AW17" s="22"/>
      <c r="AX17" s="70" t="n">
        <f aca="false">AW17-AV17</f>
        <v>0</v>
      </c>
      <c r="AY17" s="22"/>
      <c r="AZ17" s="22"/>
      <c r="BA17" s="70" t="n">
        <f aca="false">AZ17-AY17</f>
        <v>0</v>
      </c>
      <c r="BB17" s="22"/>
      <c r="BC17" s="22"/>
      <c r="BD17" s="70" t="n">
        <f aca="false">BC17-BB17</f>
        <v>0</v>
      </c>
      <c r="BE17" s="22"/>
      <c r="BF17" s="22"/>
      <c r="BG17" s="70" t="n">
        <f aca="false">BF17-BE17</f>
        <v>0</v>
      </c>
      <c r="BH17" s="22"/>
      <c r="BI17" s="22"/>
      <c r="BJ17" s="70" t="n">
        <f aca="false">BI17-BH17</f>
        <v>0</v>
      </c>
      <c r="BK17" s="22"/>
      <c r="BL17" s="22"/>
      <c r="BM17" s="70" t="n">
        <f aca="false">BL17-BK17</f>
        <v>0</v>
      </c>
      <c r="BN17" s="22"/>
      <c r="BO17" s="22"/>
      <c r="BP17" s="70" t="n">
        <f aca="false">BO17-BN17</f>
        <v>0</v>
      </c>
      <c r="BQ17" s="22"/>
      <c r="BR17" s="22"/>
      <c r="BS17" s="70" t="n">
        <f aca="false">BR17-BQ17</f>
        <v>0</v>
      </c>
      <c r="BT17" s="22"/>
      <c r="BU17" s="22"/>
      <c r="BV17" s="70" t="n">
        <f aca="false">BU17-BT17</f>
        <v>0</v>
      </c>
      <c r="BW17" s="22"/>
      <c r="BX17" s="22"/>
      <c r="BY17" s="70" t="n">
        <f aca="false">BX17-BW17</f>
        <v>0</v>
      </c>
      <c r="BZ17" s="22"/>
      <c r="CA17" s="22"/>
      <c r="CB17" s="70" t="n">
        <f aca="false">CA17-BZ17</f>
        <v>0</v>
      </c>
      <c r="CC17" s="22"/>
      <c r="CD17" s="22"/>
      <c r="CE17" s="70" t="n">
        <f aca="false">CD17-CC17</f>
        <v>0</v>
      </c>
      <c r="CF17" s="22"/>
      <c r="CG17" s="22"/>
      <c r="CH17" s="70" t="n">
        <f aca="false">CG17-CF17</f>
        <v>0</v>
      </c>
      <c r="CI17" s="22"/>
      <c r="CJ17" s="22"/>
      <c r="CK17" s="70" t="n">
        <f aca="false">CJ17-CI17</f>
        <v>0</v>
      </c>
      <c r="CL17" s="22"/>
      <c r="CM17" s="22"/>
      <c r="CN17" s="70" t="n">
        <f aca="false">CM17-CL17</f>
        <v>0</v>
      </c>
      <c r="CO17" s="22"/>
      <c r="CP17" s="22"/>
      <c r="CQ17" s="70" t="n">
        <f aca="false">CP17-CO17</f>
        <v>0</v>
      </c>
      <c r="CR17" s="22"/>
      <c r="CS17" s="22"/>
      <c r="CT17" s="70" t="n">
        <f aca="false">CS17-CR17</f>
        <v>0</v>
      </c>
      <c r="CU17" s="22"/>
      <c r="CV17" s="22"/>
      <c r="CW17" s="70" t="n">
        <f aca="false">CV17-CU17</f>
        <v>0</v>
      </c>
      <c r="CX17" s="22"/>
      <c r="CY17" s="22"/>
      <c r="CZ17" s="70" t="n">
        <f aca="false">CY17-CX17</f>
        <v>0</v>
      </c>
      <c r="DA17" s="22"/>
      <c r="DB17" s="22"/>
      <c r="DC17" s="70" t="n">
        <f aca="false">DB17-DA17</f>
        <v>0</v>
      </c>
      <c r="DD17" s="22"/>
      <c r="DE17" s="22"/>
      <c r="DF17" s="70" t="n">
        <f aca="false">DE17-DD17</f>
        <v>0</v>
      </c>
      <c r="DG17" s="22"/>
      <c r="DH17" s="22"/>
      <c r="DI17" s="70" t="n">
        <f aca="false">DH17-DG17</f>
        <v>0</v>
      </c>
      <c r="DJ17" s="22"/>
      <c r="DK17" s="22"/>
      <c r="DL17" s="70" t="n">
        <f aca="false">DK17-DJ17</f>
        <v>0</v>
      </c>
      <c r="DM17" s="22"/>
      <c r="DN17" s="22"/>
      <c r="DO17" s="70" t="n">
        <f aca="false">DN17-DM17</f>
        <v>0</v>
      </c>
      <c r="DP17" s="22"/>
      <c r="DQ17" s="22"/>
      <c r="DR17" s="70" t="n">
        <f aca="false">DQ17-DP17</f>
        <v>0</v>
      </c>
      <c r="DS17" s="22"/>
      <c r="DT17" s="22"/>
      <c r="DU17" s="70" t="n">
        <f aca="false">DT17-DS17</f>
        <v>0</v>
      </c>
      <c r="DV17" s="22"/>
      <c r="DW17" s="22"/>
      <c r="DX17" s="70" t="n">
        <f aca="false">DW17-DV17</f>
        <v>0</v>
      </c>
      <c r="DY17" s="22"/>
      <c r="DZ17" s="22"/>
      <c r="EA17" s="70" t="n">
        <f aca="false">DZ17-DY17</f>
        <v>0</v>
      </c>
      <c r="EB17" s="22"/>
      <c r="EC17" s="22"/>
      <c r="ED17" s="70" t="n">
        <f aca="false">EC17-EB17</f>
        <v>0</v>
      </c>
      <c r="EE17" s="22"/>
      <c r="EF17" s="22"/>
      <c r="EG17" s="70" t="n">
        <f aca="false">EF17-EE17</f>
        <v>0</v>
      </c>
      <c r="EH17" s="22"/>
      <c r="EI17" s="22"/>
      <c r="EJ17" s="70" t="n">
        <f aca="false">EI17-EH17</f>
        <v>0</v>
      </c>
      <c r="EK17" s="22"/>
      <c r="EL17" s="22"/>
      <c r="EM17" s="70" t="n">
        <f aca="false">EL17-EK17</f>
        <v>0</v>
      </c>
      <c r="EN17" s="22"/>
      <c r="EO17" s="22"/>
      <c r="EP17" s="70" t="n">
        <f aca="false">EO17-EN17</f>
        <v>0</v>
      </c>
      <c r="EQ17" s="70" t="n">
        <f aca="false">+C17+F17+I17+L17+O17+R17+U17+X17+AA17+AD17+AG17+AJ17+AM17+AP17+AS17+AV17+AY17+BB17+BE17+BH17+BK17+BN17+BQ17+BT17+BW17+BZ17+CC17+CF17+CI17+CL17+CO17+CR17+CU17+CX17+DA17+DD17+DG17+DJ17+DM17+DP17+DS17+DV17+DY17+EB17+EE17+EH17+EK17+EN17</f>
        <v>170000</v>
      </c>
      <c r="ER17" s="70" t="n">
        <f aca="false">+D17+G17+J17+M17+P17+S17+V17+Y17+AB17+AE17+AH17+AK17+AN17+AQ17+AT17+AW17+AZ17+BC17+BF17+BI17+BL17+BO17+BR17+BU17+BX17+CA17+CD17+CG17+CJ17+CM17+CP17+CS17+CV17+CY17+DB17+DE17+DH17+DK17+DN17+DQ17+DT17+DW17+DZ17+EC17+EF17+EI17+EL17+EO17</f>
        <v>170000</v>
      </c>
      <c r="ES17" s="70" t="n">
        <f aca="false">ER17-EQ17</f>
        <v>0</v>
      </c>
      <c r="ET17" s="22" t="n">
        <f aca="false">+ET16+ES17</f>
        <v>-63527</v>
      </c>
      <c r="EU17" s="74"/>
      <c r="EV17" s="70" t="n">
        <f aca="false">+EQ17-AG17</f>
        <v>65000</v>
      </c>
      <c r="EW17" s="70" t="n">
        <f aca="false">+ER17-AH17</f>
        <v>65000</v>
      </c>
      <c r="EX17" s="22" t="n">
        <f aca="false">+EW17-EV17</f>
        <v>0</v>
      </c>
      <c r="EY17" s="22" t="n">
        <f aca="false">+EY16+EX17</f>
        <v>-25319</v>
      </c>
      <c r="EZ17" s="74"/>
      <c r="FA17" s="22" t="n">
        <f aca="false">+AI17</f>
        <v>0</v>
      </c>
      <c r="FB17" s="22" t="n">
        <f aca="false">+FB16+FA17</f>
        <v>-38208</v>
      </c>
      <c r="FC17" s="74"/>
      <c r="FD17" s="74"/>
      <c r="FE17" s="74"/>
      <c r="FF17" s="74"/>
      <c r="FG17" s="74"/>
      <c r="FH17" s="74"/>
      <c r="FI17" s="74"/>
    </row>
    <row r="18" customFormat="false" ht="12.75" hidden="false" customHeight="false" outlineLevel="0" collapsed="false">
      <c r="A18" s="69" t="n">
        <f aca="false">+BaseloadMarkets!A18</f>
        <v>36690</v>
      </c>
      <c r="B18" s="69" t="str">
        <f aca="false">+BaseloadMarkets!B18</f>
        <v>Tues</v>
      </c>
      <c r="C18" s="22" t="n">
        <f aca="false">5000+5000</f>
        <v>10000</v>
      </c>
      <c r="D18" s="22" t="n">
        <f aca="false">5000+5000</f>
        <v>10000</v>
      </c>
      <c r="E18" s="70" t="n">
        <f aca="false">D18-C18</f>
        <v>0</v>
      </c>
      <c r="F18" s="22" t="n">
        <v>10000</v>
      </c>
      <c r="G18" s="22" t="n">
        <v>10000</v>
      </c>
      <c r="H18" s="70" t="n">
        <f aca="false">G18-F18</f>
        <v>0</v>
      </c>
      <c r="I18" s="22" t="n">
        <v>10000</v>
      </c>
      <c r="J18" s="22" t="n">
        <v>10000</v>
      </c>
      <c r="K18" s="70" t="n">
        <f aca="false">J18-I18</f>
        <v>0</v>
      </c>
      <c r="L18" s="22" t="n">
        <f aca="false">5000+5000</f>
        <v>10000</v>
      </c>
      <c r="M18" s="22" t="n">
        <f aca="false">5000+5000</f>
        <v>10000</v>
      </c>
      <c r="N18" s="70" t="n">
        <f aca="false">M18-L18</f>
        <v>0</v>
      </c>
      <c r="O18" s="22" t="n">
        <v>5000</v>
      </c>
      <c r="P18" s="22" t="n">
        <v>3297</v>
      </c>
      <c r="Q18" s="70" t="n">
        <f aca="false">P18-O18</f>
        <v>-1703</v>
      </c>
      <c r="R18" s="22" t="n">
        <v>5000</v>
      </c>
      <c r="S18" s="22" t="n">
        <v>5000</v>
      </c>
      <c r="T18" s="70" t="n">
        <f aca="false">S18-R18</f>
        <v>0</v>
      </c>
      <c r="U18" s="22" t="n">
        <v>5000</v>
      </c>
      <c r="V18" s="22" t="n">
        <v>5000</v>
      </c>
      <c r="W18" s="70" t="n">
        <f aca="false">V18-U18</f>
        <v>0</v>
      </c>
      <c r="X18" s="22" t="n">
        <v>10000</v>
      </c>
      <c r="Y18" s="22" t="n">
        <v>10000</v>
      </c>
      <c r="Z18" s="70" t="n">
        <f aca="false">Y18-X18</f>
        <v>0</v>
      </c>
      <c r="AA18" s="22"/>
      <c r="AB18" s="22"/>
      <c r="AC18" s="70" t="n">
        <f aca="false">AB18-AA18</f>
        <v>0</v>
      </c>
      <c r="AD18" s="22"/>
      <c r="AE18" s="22"/>
      <c r="AF18" s="70" t="n">
        <f aca="false">AE18-AD18</f>
        <v>0</v>
      </c>
      <c r="AG18" s="22" t="n">
        <v>635000</v>
      </c>
      <c r="AH18" s="22" t="n">
        <f aca="false">635000-26000+17146</f>
        <v>626146</v>
      </c>
      <c r="AI18" s="70" t="n">
        <f aca="false">AH18-AG18</f>
        <v>-8854</v>
      </c>
      <c r="AJ18" s="22"/>
      <c r="AK18" s="22"/>
      <c r="AL18" s="70" t="n">
        <f aca="false">AK18-AJ18</f>
        <v>0</v>
      </c>
      <c r="AM18" s="22"/>
      <c r="AN18" s="22"/>
      <c r="AO18" s="70" t="n">
        <f aca="false">AN18-AM18</f>
        <v>0</v>
      </c>
      <c r="AP18" s="22"/>
      <c r="AQ18" s="22"/>
      <c r="AR18" s="70" t="n">
        <f aca="false">AQ18-AP18</f>
        <v>0</v>
      </c>
      <c r="AS18" s="22"/>
      <c r="AT18" s="22"/>
      <c r="AU18" s="70" t="n">
        <f aca="false">AT18-AS18</f>
        <v>0</v>
      </c>
      <c r="AV18" s="22"/>
      <c r="AW18" s="22"/>
      <c r="AX18" s="70" t="n">
        <f aca="false">AW18-AV18</f>
        <v>0</v>
      </c>
      <c r="AY18" s="22"/>
      <c r="AZ18" s="22"/>
      <c r="BA18" s="70" t="n">
        <f aca="false">AZ18-AY18</f>
        <v>0</v>
      </c>
      <c r="BB18" s="22"/>
      <c r="BC18" s="22"/>
      <c r="BD18" s="70" t="n">
        <f aca="false">BC18-BB18</f>
        <v>0</v>
      </c>
      <c r="BE18" s="22"/>
      <c r="BF18" s="22"/>
      <c r="BG18" s="70" t="n">
        <f aca="false">BF18-BE18</f>
        <v>0</v>
      </c>
      <c r="BH18" s="22"/>
      <c r="BI18" s="22"/>
      <c r="BJ18" s="70" t="n">
        <f aca="false">BI18-BH18</f>
        <v>0</v>
      </c>
      <c r="BK18" s="22"/>
      <c r="BL18" s="22"/>
      <c r="BM18" s="70" t="n">
        <f aca="false">BL18-BK18</f>
        <v>0</v>
      </c>
      <c r="BN18" s="22"/>
      <c r="BO18" s="22"/>
      <c r="BP18" s="70" t="n">
        <f aca="false">BO18-BN18</f>
        <v>0</v>
      </c>
      <c r="BQ18" s="22"/>
      <c r="BR18" s="22"/>
      <c r="BS18" s="70" t="n">
        <f aca="false">BR18-BQ18</f>
        <v>0</v>
      </c>
      <c r="BT18" s="22"/>
      <c r="BU18" s="22"/>
      <c r="BV18" s="70" t="n">
        <f aca="false">BU18-BT18</f>
        <v>0</v>
      </c>
      <c r="BW18" s="22"/>
      <c r="BX18" s="22"/>
      <c r="BY18" s="70" t="n">
        <f aca="false">BX18-BW18</f>
        <v>0</v>
      </c>
      <c r="BZ18" s="22"/>
      <c r="CA18" s="22"/>
      <c r="CB18" s="70" t="n">
        <f aca="false">CA18-BZ18</f>
        <v>0</v>
      </c>
      <c r="CC18" s="22"/>
      <c r="CD18" s="22"/>
      <c r="CE18" s="70" t="n">
        <f aca="false">CD18-CC18</f>
        <v>0</v>
      </c>
      <c r="CF18" s="22"/>
      <c r="CG18" s="22"/>
      <c r="CH18" s="70" t="n">
        <f aca="false">CG18-CF18</f>
        <v>0</v>
      </c>
      <c r="CI18" s="22"/>
      <c r="CJ18" s="22"/>
      <c r="CK18" s="70" t="n">
        <f aca="false">CJ18-CI18</f>
        <v>0</v>
      </c>
      <c r="CL18" s="22"/>
      <c r="CM18" s="22"/>
      <c r="CN18" s="70" t="n">
        <f aca="false">CM18-CL18</f>
        <v>0</v>
      </c>
      <c r="CO18" s="22"/>
      <c r="CP18" s="22"/>
      <c r="CQ18" s="70" t="n">
        <f aca="false">CP18-CO18</f>
        <v>0</v>
      </c>
      <c r="CR18" s="22"/>
      <c r="CS18" s="22"/>
      <c r="CT18" s="70" t="n">
        <f aca="false">CS18-CR18</f>
        <v>0</v>
      </c>
      <c r="CU18" s="22"/>
      <c r="CV18" s="22"/>
      <c r="CW18" s="70" t="n">
        <f aca="false">CV18-CU18</f>
        <v>0</v>
      </c>
      <c r="CX18" s="22"/>
      <c r="CY18" s="22"/>
      <c r="CZ18" s="70" t="n">
        <f aca="false">CY18-CX18</f>
        <v>0</v>
      </c>
      <c r="DA18" s="22"/>
      <c r="DB18" s="22"/>
      <c r="DC18" s="70" t="n">
        <f aca="false">DB18-DA18</f>
        <v>0</v>
      </c>
      <c r="DD18" s="22"/>
      <c r="DE18" s="22"/>
      <c r="DF18" s="70" t="n">
        <f aca="false">DE18-DD18</f>
        <v>0</v>
      </c>
      <c r="DG18" s="22"/>
      <c r="DH18" s="22"/>
      <c r="DI18" s="70" t="n">
        <f aca="false">DH18-DG18</f>
        <v>0</v>
      </c>
      <c r="DJ18" s="22"/>
      <c r="DK18" s="22"/>
      <c r="DL18" s="70" t="n">
        <f aca="false">DK18-DJ18</f>
        <v>0</v>
      </c>
      <c r="DM18" s="22"/>
      <c r="DN18" s="22"/>
      <c r="DO18" s="70" t="n">
        <f aca="false">DN18-DM18</f>
        <v>0</v>
      </c>
      <c r="DP18" s="22"/>
      <c r="DQ18" s="22"/>
      <c r="DR18" s="70" t="n">
        <f aca="false">DQ18-DP18</f>
        <v>0</v>
      </c>
      <c r="DS18" s="22"/>
      <c r="DT18" s="22"/>
      <c r="DU18" s="70" t="n">
        <f aca="false">DT18-DS18</f>
        <v>0</v>
      </c>
      <c r="DV18" s="22"/>
      <c r="DW18" s="22"/>
      <c r="DX18" s="70" t="n">
        <f aca="false">DW18-DV18</f>
        <v>0</v>
      </c>
      <c r="DY18" s="22"/>
      <c r="DZ18" s="22"/>
      <c r="EA18" s="70" t="n">
        <f aca="false">DZ18-DY18</f>
        <v>0</v>
      </c>
      <c r="EB18" s="22"/>
      <c r="EC18" s="22"/>
      <c r="ED18" s="70" t="n">
        <f aca="false">EC18-EB18</f>
        <v>0</v>
      </c>
      <c r="EE18" s="22"/>
      <c r="EF18" s="22"/>
      <c r="EG18" s="70" t="n">
        <f aca="false">EF18-EE18</f>
        <v>0</v>
      </c>
      <c r="EH18" s="22"/>
      <c r="EI18" s="22"/>
      <c r="EJ18" s="70" t="n">
        <f aca="false">EI18-EH18</f>
        <v>0</v>
      </c>
      <c r="EK18" s="22"/>
      <c r="EL18" s="22"/>
      <c r="EM18" s="70" t="n">
        <f aca="false">EL18-EK18</f>
        <v>0</v>
      </c>
      <c r="EN18" s="22"/>
      <c r="EO18" s="22"/>
      <c r="EP18" s="70" t="n">
        <f aca="false">EO18-EN18</f>
        <v>0</v>
      </c>
      <c r="EQ18" s="70" t="n">
        <f aca="false">+C18+F18+I18+L18+O18+R18+U18+X18+AA18+AD18+AG18+AJ18+AM18+AP18+AS18+AV18+AY18+BB18+BE18+BH18+BK18+BN18+BQ18+BT18+BW18+BZ18+CC18+CF18+CI18+CL18+CO18+CR18+CU18+CX18+DA18+DD18+DG18+DJ18+DM18+DP18+DS18+DV18+DY18+EB18+EE18+EH18+EK18+EN18</f>
        <v>700000</v>
      </c>
      <c r="ER18" s="70" t="n">
        <f aca="false">+D18+G18+J18+M18+P18+S18+V18+Y18+AB18+AE18+AH18+AK18+AN18+AQ18+AT18+AW18+AZ18+BC18+BF18+BI18+BL18+BO18+BR18+BU18+BX18+CA18+CD18+CG18+CJ18+CM18+CP18+CS18+CV18+CY18+DB18+DE18+DH18+DK18+DN18+DQ18+DT18+DW18+DZ18+EC18+EF18+EI18+EL18+EO18</f>
        <v>689443</v>
      </c>
      <c r="ES18" s="70" t="n">
        <f aca="false">ER18-EQ18</f>
        <v>-10557</v>
      </c>
      <c r="ET18" s="22" t="n">
        <f aca="false">+ET17+ES18</f>
        <v>-74084</v>
      </c>
      <c r="EU18" s="74"/>
      <c r="EV18" s="70" t="n">
        <f aca="false">+EQ18-AG18</f>
        <v>65000</v>
      </c>
      <c r="EW18" s="70" t="n">
        <f aca="false">+ER18-AH18</f>
        <v>63297</v>
      </c>
      <c r="EX18" s="22" t="n">
        <f aca="false">+EW18-EV18</f>
        <v>-1703</v>
      </c>
      <c r="EY18" s="22" t="n">
        <f aca="false">+EY17+EX18</f>
        <v>-27022</v>
      </c>
      <c r="EZ18" s="74"/>
      <c r="FA18" s="22" t="n">
        <f aca="false">+AI18</f>
        <v>-8854</v>
      </c>
      <c r="FB18" s="22" t="n">
        <f aca="false">+FB17+FA18</f>
        <v>-47062</v>
      </c>
      <c r="FC18" s="74"/>
      <c r="FD18" s="74"/>
      <c r="FE18" s="74"/>
      <c r="FF18" s="74"/>
      <c r="FG18" s="74"/>
      <c r="FH18" s="74"/>
      <c r="FI18" s="74"/>
    </row>
    <row r="19" customFormat="false" ht="12.75" hidden="false" customHeight="false" outlineLevel="0" collapsed="false">
      <c r="A19" s="69" t="n">
        <f aca="false">+BaseloadMarkets!A19</f>
        <v>36691</v>
      </c>
      <c r="B19" s="69" t="str">
        <f aca="false">+BaseloadMarkets!B19</f>
        <v>Wed</v>
      </c>
      <c r="C19" s="22" t="n">
        <f aca="false">5000+5000</f>
        <v>10000</v>
      </c>
      <c r="D19" s="22" t="n">
        <f aca="false">5000+5000</f>
        <v>10000</v>
      </c>
      <c r="E19" s="70" t="n">
        <f aca="false">D19-C19</f>
        <v>0</v>
      </c>
      <c r="F19" s="22" t="n">
        <v>10000</v>
      </c>
      <c r="G19" s="22" t="n">
        <v>10000</v>
      </c>
      <c r="H19" s="70" t="n">
        <f aca="false">G19-F19</f>
        <v>0</v>
      </c>
      <c r="I19" s="22" t="n">
        <v>10000</v>
      </c>
      <c r="J19" s="22" t="n">
        <v>10000</v>
      </c>
      <c r="K19" s="70" t="n">
        <f aca="false">J19-I19</f>
        <v>0</v>
      </c>
      <c r="L19" s="22" t="n">
        <f aca="false">5000+5000</f>
        <v>10000</v>
      </c>
      <c r="M19" s="22" t="n">
        <f aca="false">5000+5000</f>
        <v>10000</v>
      </c>
      <c r="N19" s="70" t="n">
        <f aca="false">M19-L19</f>
        <v>0</v>
      </c>
      <c r="O19" s="22" t="n">
        <v>5000</v>
      </c>
      <c r="P19" s="22" t="n">
        <v>5000</v>
      </c>
      <c r="Q19" s="70" t="n">
        <f aca="false">P19-O19</f>
        <v>0</v>
      </c>
      <c r="R19" s="22" t="n">
        <v>5000</v>
      </c>
      <c r="S19" s="22" t="n">
        <v>5000</v>
      </c>
      <c r="T19" s="70" t="n">
        <f aca="false">S19-R19</f>
        <v>0</v>
      </c>
      <c r="U19" s="22" t="n">
        <v>5000</v>
      </c>
      <c r="V19" s="22" t="n">
        <v>5000</v>
      </c>
      <c r="W19" s="70" t="n">
        <f aca="false">V19-U19</f>
        <v>0</v>
      </c>
      <c r="X19" s="22" t="n">
        <v>10000</v>
      </c>
      <c r="Y19" s="22" t="n">
        <v>10000</v>
      </c>
      <c r="Z19" s="70" t="n">
        <f aca="false">Y19-X19</f>
        <v>0</v>
      </c>
      <c r="AA19" s="22"/>
      <c r="AB19" s="22"/>
      <c r="AC19" s="70" t="n">
        <f aca="false">AB19-AA19</f>
        <v>0</v>
      </c>
      <c r="AD19" s="22"/>
      <c r="AE19" s="22"/>
      <c r="AF19" s="70" t="n">
        <f aca="false">AE19-AD19</f>
        <v>0</v>
      </c>
      <c r="AG19" s="22" t="n">
        <v>370000</v>
      </c>
      <c r="AH19" s="22" t="n">
        <f aca="false">370000</f>
        <v>370000</v>
      </c>
      <c r="AI19" s="70" t="n">
        <f aca="false">AH19-AG19</f>
        <v>0</v>
      </c>
      <c r="AJ19" s="22"/>
      <c r="AK19" s="22"/>
      <c r="AL19" s="70" t="n">
        <f aca="false">AK19-AJ19</f>
        <v>0</v>
      </c>
      <c r="AM19" s="22"/>
      <c r="AN19" s="22"/>
      <c r="AO19" s="70" t="n">
        <f aca="false">AN19-AM19</f>
        <v>0</v>
      </c>
      <c r="AP19" s="22"/>
      <c r="AQ19" s="22"/>
      <c r="AR19" s="70" t="n">
        <f aca="false">AQ19-AP19</f>
        <v>0</v>
      </c>
      <c r="AS19" s="22"/>
      <c r="AT19" s="22"/>
      <c r="AU19" s="70" t="n">
        <f aca="false">AT19-AS19</f>
        <v>0</v>
      </c>
      <c r="AV19" s="22"/>
      <c r="AW19" s="22"/>
      <c r="AX19" s="70" t="n">
        <f aca="false">AW19-AV19</f>
        <v>0</v>
      </c>
      <c r="AY19" s="22"/>
      <c r="AZ19" s="22"/>
      <c r="BA19" s="70" t="n">
        <f aca="false">AZ19-AY19</f>
        <v>0</v>
      </c>
      <c r="BB19" s="22"/>
      <c r="BC19" s="22"/>
      <c r="BD19" s="70" t="n">
        <f aca="false">BC19-BB19</f>
        <v>0</v>
      </c>
      <c r="BE19" s="22"/>
      <c r="BF19" s="22"/>
      <c r="BG19" s="70" t="n">
        <f aca="false">BF19-BE19</f>
        <v>0</v>
      </c>
      <c r="BH19" s="22"/>
      <c r="BI19" s="22"/>
      <c r="BJ19" s="70" t="n">
        <f aca="false">BI19-BH19</f>
        <v>0</v>
      </c>
      <c r="BK19" s="22"/>
      <c r="BL19" s="22"/>
      <c r="BM19" s="70" t="n">
        <f aca="false">BL19-BK19</f>
        <v>0</v>
      </c>
      <c r="BN19" s="22"/>
      <c r="BO19" s="22"/>
      <c r="BP19" s="70" t="n">
        <f aca="false">BO19-BN19</f>
        <v>0</v>
      </c>
      <c r="BQ19" s="22"/>
      <c r="BR19" s="22"/>
      <c r="BS19" s="70" t="n">
        <f aca="false">BR19-BQ19</f>
        <v>0</v>
      </c>
      <c r="BT19" s="22"/>
      <c r="BU19" s="22"/>
      <c r="BV19" s="70" t="n">
        <f aca="false">BU19-BT19</f>
        <v>0</v>
      </c>
      <c r="BW19" s="22"/>
      <c r="BX19" s="22"/>
      <c r="BY19" s="70" t="n">
        <f aca="false">BX19-BW19</f>
        <v>0</v>
      </c>
      <c r="BZ19" s="22"/>
      <c r="CA19" s="22"/>
      <c r="CB19" s="70" t="n">
        <f aca="false">CA19-BZ19</f>
        <v>0</v>
      </c>
      <c r="CC19" s="22"/>
      <c r="CD19" s="22"/>
      <c r="CE19" s="70" t="n">
        <f aca="false">CD19-CC19</f>
        <v>0</v>
      </c>
      <c r="CF19" s="22"/>
      <c r="CG19" s="22"/>
      <c r="CH19" s="70" t="n">
        <f aca="false">CG19-CF19</f>
        <v>0</v>
      </c>
      <c r="CI19" s="22"/>
      <c r="CJ19" s="22"/>
      <c r="CK19" s="70" t="n">
        <f aca="false">CJ19-CI19</f>
        <v>0</v>
      </c>
      <c r="CL19" s="22"/>
      <c r="CM19" s="22"/>
      <c r="CN19" s="70" t="n">
        <f aca="false">CM19-CL19</f>
        <v>0</v>
      </c>
      <c r="CO19" s="22"/>
      <c r="CP19" s="22"/>
      <c r="CQ19" s="70" t="n">
        <f aca="false">CP19-CO19</f>
        <v>0</v>
      </c>
      <c r="CR19" s="22"/>
      <c r="CS19" s="22"/>
      <c r="CT19" s="70" t="n">
        <f aca="false">CS19-CR19</f>
        <v>0</v>
      </c>
      <c r="CU19" s="22"/>
      <c r="CV19" s="22"/>
      <c r="CW19" s="70" t="n">
        <f aca="false">CV19-CU19</f>
        <v>0</v>
      </c>
      <c r="CX19" s="22"/>
      <c r="CY19" s="22"/>
      <c r="CZ19" s="70" t="n">
        <f aca="false">CY19-CX19</f>
        <v>0</v>
      </c>
      <c r="DA19" s="22"/>
      <c r="DB19" s="22"/>
      <c r="DC19" s="70" t="n">
        <f aca="false">DB19-DA19</f>
        <v>0</v>
      </c>
      <c r="DD19" s="22"/>
      <c r="DE19" s="22"/>
      <c r="DF19" s="70" t="n">
        <f aca="false">DE19-DD19</f>
        <v>0</v>
      </c>
      <c r="DG19" s="22"/>
      <c r="DH19" s="22"/>
      <c r="DI19" s="70" t="n">
        <f aca="false">DH19-DG19</f>
        <v>0</v>
      </c>
      <c r="DJ19" s="22"/>
      <c r="DK19" s="22"/>
      <c r="DL19" s="70" t="n">
        <f aca="false">DK19-DJ19</f>
        <v>0</v>
      </c>
      <c r="DM19" s="22"/>
      <c r="DN19" s="22"/>
      <c r="DO19" s="70" t="n">
        <f aca="false">DN19-DM19</f>
        <v>0</v>
      </c>
      <c r="DP19" s="22"/>
      <c r="DQ19" s="22"/>
      <c r="DR19" s="70" t="n">
        <f aca="false">DQ19-DP19</f>
        <v>0</v>
      </c>
      <c r="DS19" s="22"/>
      <c r="DT19" s="22"/>
      <c r="DU19" s="70" t="n">
        <f aca="false">DT19-DS19</f>
        <v>0</v>
      </c>
      <c r="DV19" s="22"/>
      <c r="DW19" s="22"/>
      <c r="DX19" s="70" t="n">
        <f aca="false">DW19-DV19</f>
        <v>0</v>
      </c>
      <c r="DY19" s="22"/>
      <c r="DZ19" s="22"/>
      <c r="EA19" s="70" t="n">
        <f aca="false">DZ19-DY19</f>
        <v>0</v>
      </c>
      <c r="EB19" s="22"/>
      <c r="EC19" s="22"/>
      <c r="ED19" s="70" t="n">
        <f aca="false">EC19-EB19</f>
        <v>0</v>
      </c>
      <c r="EE19" s="22"/>
      <c r="EF19" s="22"/>
      <c r="EG19" s="70" t="n">
        <f aca="false">EF19-EE19</f>
        <v>0</v>
      </c>
      <c r="EH19" s="22"/>
      <c r="EI19" s="22"/>
      <c r="EJ19" s="70" t="n">
        <f aca="false">EI19-EH19</f>
        <v>0</v>
      </c>
      <c r="EK19" s="22"/>
      <c r="EL19" s="22"/>
      <c r="EM19" s="70" t="n">
        <f aca="false">EL19-EK19</f>
        <v>0</v>
      </c>
      <c r="EN19" s="22"/>
      <c r="EO19" s="22"/>
      <c r="EP19" s="70" t="n">
        <f aca="false">EO19-EN19</f>
        <v>0</v>
      </c>
      <c r="EQ19" s="70" t="n">
        <f aca="false">+C19+F19+I19+L19+O19+R19+U19+X19+AA19+AD19+AG19+AJ19+AM19+AP19+AS19+AV19+AY19+BB19+BE19+BH19+BK19+BN19+BQ19+BT19+BW19+BZ19+CC19+CF19+CI19+CL19+CO19+CR19+CU19+CX19+DA19+DD19+DG19+DJ19+DM19+DP19+DS19+DV19+DY19+EB19+EE19+EH19+EK19+EN19</f>
        <v>435000</v>
      </c>
      <c r="ER19" s="70" t="n">
        <f aca="false">+D19+G19+J19+M19+P19+S19+V19+Y19+AB19+AE19+AH19+AK19+AN19+AQ19+AT19+AW19+AZ19+BC19+BF19+BI19+BL19+BO19+BR19+BU19+BX19+CA19+CD19+CG19+CJ19+CM19+CP19+CS19+CV19+CY19+DB19+DE19+DH19+DK19+DN19+DQ19+DT19+DW19+DZ19+EC19+EF19+EI19+EL19+EO19</f>
        <v>435000</v>
      </c>
      <c r="ES19" s="70" t="n">
        <f aca="false">ER19-EQ19</f>
        <v>0</v>
      </c>
      <c r="ET19" s="22" t="n">
        <f aca="false">+ET18+ES19</f>
        <v>-74084</v>
      </c>
      <c r="EU19" s="74"/>
      <c r="EV19" s="70" t="n">
        <f aca="false">+EQ19-AG19</f>
        <v>65000</v>
      </c>
      <c r="EW19" s="70" t="n">
        <f aca="false">+ER19-AH19</f>
        <v>65000</v>
      </c>
      <c r="EX19" s="22" t="n">
        <f aca="false">+EW19-EV19</f>
        <v>0</v>
      </c>
      <c r="EY19" s="22" t="n">
        <f aca="false">+EY18+EX19</f>
        <v>-27022</v>
      </c>
      <c r="EZ19" s="74"/>
      <c r="FA19" s="22" t="n">
        <f aca="false">+AI19</f>
        <v>0</v>
      </c>
      <c r="FB19" s="22" t="n">
        <f aca="false">+FB18+FA19</f>
        <v>-47062</v>
      </c>
      <c r="FC19" s="74"/>
      <c r="FD19" s="74"/>
      <c r="FE19" s="74"/>
      <c r="FF19" s="74"/>
      <c r="FG19" s="74"/>
      <c r="FH19" s="74"/>
      <c r="FI19" s="74"/>
    </row>
    <row r="20" customFormat="false" ht="12.75" hidden="false" customHeight="false" outlineLevel="0" collapsed="false">
      <c r="A20" s="69" t="n">
        <f aca="false">+BaseloadMarkets!A20</f>
        <v>36692</v>
      </c>
      <c r="B20" s="69" t="str">
        <f aca="false">+BaseloadMarkets!B20</f>
        <v>Thu</v>
      </c>
      <c r="C20" s="22" t="n">
        <f aca="false">5000+5000</f>
        <v>10000</v>
      </c>
      <c r="D20" s="22" t="n">
        <f aca="false">5000+5000</f>
        <v>10000</v>
      </c>
      <c r="E20" s="70" t="n">
        <f aca="false">D20-C20</f>
        <v>0</v>
      </c>
      <c r="F20" s="22" t="n">
        <v>10000</v>
      </c>
      <c r="G20" s="22" t="n">
        <v>10000</v>
      </c>
      <c r="H20" s="70" t="n">
        <f aca="false">G20-F20</f>
        <v>0</v>
      </c>
      <c r="I20" s="22" t="n">
        <v>10000</v>
      </c>
      <c r="J20" s="22" t="n">
        <v>10000</v>
      </c>
      <c r="K20" s="70" t="n">
        <f aca="false">J20-I20</f>
        <v>0</v>
      </c>
      <c r="L20" s="22" t="n">
        <f aca="false">5000+5000</f>
        <v>10000</v>
      </c>
      <c r="M20" s="22" t="n">
        <f aca="false">5000+5000</f>
        <v>10000</v>
      </c>
      <c r="N20" s="70" t="n">
        <f aca="false">M20-L20</f>
        <v>0</v>
      </c>
      <c r="O20" s="22" t="n">
        <v>5000</v>
      </c>
      <c r="P20" s="22" t="n">
        <v>5000</v>
      </c>
      <c r="Q20" s="70" t="n">
        <f aca="false">P20-O20</f>
        <v>0</v>
      </c>
      <c r="R20" s="22" t="n">
        <v>5000</v>
      </c>
      <c r="S20" s="22" t="n">
        <v>5000</v>
      </c>
      <c r="T20" s="70" t="n">
        <f aca="false">S20-R20</f>
        <v>0</v>
      </c>
      <c r="U20" s="22" t="n">
        <v>5000</v>
      </c>
      <c r="V20" s="22" t="n">
        <v>5000</v>
      </c>
      <c r="W20" s="70" t="n">
        <f aca="false">V20-U20</f>
        <v>0</v>
      </c>
      <c r="X20" s="22" t="n">
        <v>10000</v>
      </c>
      <c r="Y20" s="22" t="n">
        <v>10000</v>
      </c>
      <c r="Z20" s="70" t="n">
        <f aca="false">Y20-X20</f>
        <v>0</v>
      </c>
      <c r="AA20" s="22"/>
      <c r="AB20" s="22"/>
      <c r="AC20" s="70" t="n">
        <f aca="false">AB20-AA20</f>
        <v>0</v>
      </c>
      <c r="AD20" s="22"/>
      <c r="AE20" s="22"/>
      <c r="AF20" s="70" t="n">
        <f aca="false">AE20-AD20</f>
        <v>0</v>
      </c>
      <c r="AG20" s="22" t="n">
        <v>235000</v>
      </c>
      <c r="AH20" s="22" t="n">
        <f aca="false">235000-25000+22456</f>
        <v>232456</v>
      </c>
      <c r="AI20" s="70" t="n">
        <f aca="false">AH20-AG20</f>
        <v>-2544</v>
      </c>
      <c r="AJ20" s="22"/>
      <c r="AK20" s="22"/>
      <c r="AL20" s="70" t="n">
        <f aca="false">AK20-AJ20</f>
        <v>0</v>
      </c>
      <c r="AM20" s="22"/>
      <c r="AN20" s="22"/>
      <c r="AO20" s="70" t="n">
        <f aca="false">AN20-AM20</f>
        <v>0</v>
      </c>
      <c r="AP20" s="22"/>
      <c r="AQ20" s="22"/>
      <c r="AR20" s="70" t="n">
        <f aca="false">AQ20-AP20</f>
        <v>0</v>
      </c>
      <c r="AS20" s="22"/>
      <c r="AT20" s="22"/>
      <c r="AU20" s="70" t="n">
        <f aca="false">AT20-AS20</f>
        <v>0</v>
      </c>
      <c r="AV20" s="22"/>
      <c r="AW20" s="22"/>
      <c r="AX20" s="70" t="n">
        <f aca="false">AW20-AV20</f>
        <v>0</v>
      </c>
      <c r="AY20" s="22"/>
      <c r="AZ20" s="22"/>
      <c r="BA20" s="70" t="n">
        <f aca="false">AZ20-AY20</f>
        <v>0</v>
      </c>
      <c r="BB20" s="22"/>
      <c r="BC20" s="22"/>
      <c r="BD20" s="70" t="n">
        <f aca="false">BC20-BB20</f>
        <v>0</v>
      </c>
      <c r="BE20" s="22"/>
      <c r="BF20" s="22"/>
      <c r="BG20" s="70" t="n">
        <f aca="false">BF20-BE20</f>
        <v>0</v>
      </c>
      <c r="BH20" s="22"/>
      <c r="BI20" s="22"/>
      <c r="BJ20" s="70" t="n">
        <f aca="false">BI20-BH20</f>
        <v>0</v>
      </c>
      <c r="BK20" s="22"/>
      <c r="BL20" s="22"/>
      <c r="BM20" s="70" t="n">
        <f aca="false">BL20-BK20</f>
        <v>0</v>
      </c>
      <c r="BN20" s="22"/>
      <c r="BO20" s="22"/>
      <c r="BP20" s="70" t="n">
        <f aca="false">BO20-BN20</f>
        <v>0</v>
      </c>
      <c r="BQ20" s="22"/>
      <c r="BR20" s="22"/>
      <c r="BS20" s="70" t="n">
        <f aca="false">BR20-BQ20</f>
        <v>0</v>
      </c>
      <c r="BT20" s="22"/>
      <c r="BU20" s="22"/>
      <c r="BV20" s="70" t="n">
        <f aca="false">BU20-BT20</f>
        <v>0</v>
      </c>
      <c r="BW20" s="22"/>
      <c r="BX20" s="22"/>
      <c r="BY20" s="70" t="n">
        <f aca="false">BX20-BW20</f>
        <v>0</v>
      </c>
      <c r="BZ20" s="22"/>
      <c r="CA20" s="22"/>
      <c r="CB20" s="70" t="n">
        <f aca="false">CA20-BZ20</f>
        <v>0</v>
      </c>
      <c r="CC20" s="22"/>
      <c r="CD20" s="22"/>
      <c r="CE20" s="70" t="n">
        <f aca="false">CD20-CC20</f>
        <v>0</v>
      </c>
      <c r="CF20" s="22"/>
      <c r="CG20" s="22"/>
      <c r="CH20" s="70" t="n">
        <f aca="false">CG20-CF20</f>
        <v>0</v>
      </c>
      <c r="CI20" s="22"/>
      <c r="CJ20" s="22"/>
      <c r="CK20" s="70" t="n">
        <f aca="false">CJ20-CI20</f>
        <v>0</v>
      </c>
      <c r="CL20" s="22"/>
      <c r="CM20" s="22"/>
      <c r="CN20" s="70" t="n">
        <f aca="false">CM20-CL20</f>
        <v>0</v>
      </c>
      <c r="CO20" s="22"/>
      <c r="CP20" s="22"/>
      <c r="CQ20" s="70" t="n">
        <f aca="false">CP20-CO20</f>
        <v>0</v>
      </c>
      <c r="CR20" s="22"/>
      <c r="CS20" s="22"/>
      <c r="CT20" s="70" t="n">
        <f aca="false">CS20-CR20</f>
        <v>0</v>
      </c>
      <c r="CU20" s="22"/>
      <c r="CV20" s="22"/>
      <c r="CW20" s="70" t="n">
        <f aca="false">CV20-CU20</f>
        <v>0</v>
      </c>
      <c r="CX20" s="22"/>
      <c r="CY20" s="22"/>
      <c r="CZ20" s="70" t="n">
        <f aca="false">CY20-CX20</f>
        <v>0</v>
      </c>
      <c r="DA20" s="22"/>
      <c r="DB20" s="22"/>
      <c r="DC20" s="70" t="n">
        <f aca="false">DB20-DA20</f>
        <v>0</v>
      </c>
      <c r="DD20" s="22"/>
      <c r="DE20" s="22"/>
      <c r="DF20" s="70" t="n">
        <f aca="false">DE20-DD20</f>
        <v>0</v>
      </c>
      <c r="DG20" s="22"/>
      <c r="DH20" s="22"/>
      <c r="DI20" s="70" t="n">
        <f aca="false">DH20-DG20</f>
        <v>0</v>
      </c>
      <c r="DJ20" s="22"/>
      <c r="DK20" s="22"/>
      <c r="DL20" s="70" t="n">
        <f aca="false">DK20-DJ20</f>
        <v>0</v>
      </c>
      <c r="DM20" s="22"/>
      <c r="DN20" s="22"/>
      <c r="DO20" s="70" t="n">
        <f aca="false">DN20-DM20</f>
        <v>0</v>
      </c>
      <c r="DP20" s="22"/>
      <c r="DQ20" s="22"/>
      <c r="DR20" s="70" t="n">
        <f aca="false">DQ20-DP20</f>
        <v>0</v>
      </c>
      <c r="DS20" s="22"/>
      <c r="DT20" s="22"/>
      <c r="DU20" s="70" t="n">
        <f aca="false">DT20-DS20</f>
        <v>0</v>
      </c>
      <c r="DV20" s="22"/>
      <c r="DW20" s="22"/>
      <c r="DX20" s="70" t="n">
        <f aca="false">DW20-DV20</f>
        <v>0</v>
      </c>
      <c r="DY20" s="22"/>
      <c r="DZ20" s="22"/>
      <c r="EA20" s="70" t="n">
        <f aca="false">DZ20-DY20</f>
        <v>0</v>
      </c>
      <c r="EB20" s="22"/>
      <c r="EC20" s="22"/>
      <c r="ED20" s="70" t="n">
        <f aca="false">EC20-EB20</f>
        <v>0</v>
      </c>
      <c r="EE20" s="22"/>
      <c r="EF20" s="22"/>
      <c r="EG20" s="70" t="n">
        <f aca="false">EF20-EE20</f>
        <v>0</v>
      </c>
      <c r="EH20" s="22"/>
      <c r="EI20" s="22"/>
      <c r="EJ20" s="70" t="n">
        <f aca="false">EI20-EH20</f>
        <v>0</v>
      </c>
      <c r="EK20" s="22"/>
      <c r="EL20" s="22"/>
      <c r="EM20" s="70" t="n">
        <f aca="false">EL20-EK20</f>
        <v>0</v>
      </c>
      <c r="EN20" s="22"/>
      <c r="EO20" s="22"/>
      <c r="EP20" s="70" t="n">
        <f aca="false">EO20-EN20</f>
        <v>0</v>
      </c>
      <c r="EQ20" s="70" t="n">
        <f aca="false">+C20+F20+I20+L20+O20+R20+U20+X20+AA20+AD20+AG20+AJ20+AM20+AP20+AS20+AV20+AY20+BB20+BE20+BH20+BK20+BN20+BQ20+BT20+BW20+BZ20+CC20+CF20+CI20+CL20+CO20+CR20+CU20+CX20+DA20+DD20+DG20+DJ20+DM20+DP20+DS20+DV20+DY20+EB20+EE20+EH20+EK20+EN20</f>
        <v>300000</v>
      </c>
      <c r="ER20" s="70" t="n">
        <f aca="false">+D20+G20+J20+M20+P20+S20+V20+Y20+AB20+AE20+AH20+AK20+AN20+AQ20+AT20+AW20+AZ20+BC20+BF20+BI20+BL20+BO20+BR20+BU20+BX20+CA20+CD20+CG20+CJ20+CM20+CP20+CS20+CV20+CY20+DB20+DE20+DH20+DK20+DN20+DQ20+DT20+DW20+DZ20+EC20+EF20+EI20+EL20+EO20</f>
        <v>297456</v>
      </c>
      <c r="ES20" s="70" t="n">
        <f aca="false">ER20-EQ20</f>
        <v>-2544</v>
      </c>
      <c r="ET20" s="22" t="n">
        <f aca="false">+ET19+ES20</f>
        <v>-76628</v>
      </c>
      <c r="EU20" s="74"/>
      <c r="EV20" s="70" t="n">
        <f aca="false">+EQ20-AG20</f>
        <v>65000</v>
      </c>
      <c r="EW20" s="70" t="n">
        <f aca="false">+ER20-AH20</f>
        <v>65000</v>
      </c>
      <c r="EX20" s="22" t="n">
        <f aca="false">+EW20-EV20</f>
        <v>0</v>
      </c>
      <c r="EY20" s="22" t="n">
        <f aca="false">+EY19+EX20</f>
        <v>-27022</v>
      </c>
      <c r="EZ20" s="74"/>
      <c r="FA20" s="22" t="n">
        <f aca="false">+AI20</f>
        <v>-2544</v>
      </c>
      <c r="FB20" s="22" t="n">
        <f aca="false">+FB19+FA20</f>
        <v>-49606</v>
      </c>
      <c r="FC20" s="74"/>
      <c r="FD20" s="74"/>
      <c r="FE20" s="74"/>
      <c r="FF20" s="74"/>
      <c r="FG20" s="74"/>
      <c r="FH20" s="74"/>
      <c r="FI20" s="74"/>
    </row>
    <row r="21" customFormat="false" ht="12.75" hidden="false" customHeight="false" outlineLevel="0" collapsed="false">
      <c r="A21" s="69" t="n">
        <f aca="false">+BaseloadMarkets!A21</f>
        <v>36693</v>
      </c>
      <c r="B21" s="69" t="str">
        <f aca="false">+BaseloadMarkets!B21</f>
        <v>Fri</v>
      </c>
      <c r="C21" s="22" t="n">
        <f aca="false">5000+5000</f>
        <v>10000</v>
      </c>
      <c r="D21" s="22" t="n">
        <f aca="false">5000+5000</f>
        <v>10000</v>
      </c>
      <c r="E21" s="70" t="n">
        <f aca="false">D21-C21</f>
        <v>0</v>
      </c>
      <c r="F21" s="22" t="n">
        <v>10000</v>
      </c>
      <c r="G21" s="22" t="n">
        <v>6309</v>
      </c>
      <c r="H21" s="70" t="n">
        <f aca="false">G21-F21</f>
        <v>-3691</v>
      </c>
      <c r="I21" s="22" t="n">
        <v>10000</v>
      </c>
      <c r="J21" s="22" t="n">
        <v>8154</v>
      </c>
      <c r="K21" s="70" t="n">
        <f aca="false">J21-I21</f>
        <v>-1846</v>
      </c>
      <c r="L21" s="22" t="n">
        <f aca="false">5000+5000</f>
        <v>10000</v>
      </c>
      <c r="M21" s="22" t="n">
        <f aca="false">5000+5000</f>
        <v>10000</v>
      </c>
      <c r="N21" s="70" t="n">
        <f aca="false">M21-L21</f>
        <v>0</v>
      </c>
      <c r="O21" s="22" t="n">
        <v>5000</v>
      </c>
      <c r="P21" s="22" t="n">
        <v>3024</v>
      </c>
      <c r="Q21" s="70" t="n">
        <f aca="false">P21-O21</f>
        <v>-1976</v>
      </c>
      <c r="R21" s="22" t="n">
        <v>5000</v>
      </c>
      <c r="S21" s="22" t="n">
        <v>5000</v>
      </c>
      <c r="T21" s="70" t="n">
        <f aca="false">S21-R21</f>
        <v>0</v>
      </c>
      <c r="U21" s="22" t="n">
        <v>5000</v>
      </c>
      <c r="V21" s="22" t="n">
        <v>5000</v>
      </c>
      <c r="W21" s="70" t="n">
        <f aca="false">V21-U21</f>
        <v>0</v>
      </c>
      <c r="X21" s="22" t="n">
        <v>10000</v>
      </c>
      <c r="Y21" s="22" t="n">
        <v>10000</v>
      </c>
      <c r="Z21" s="70" t="n">
        <f aca="false">Y21-X21</f>
        <v>0</v>
      </c>
      <c r="AA21" s="22"/>
      <c r="AB21" s="22"/>
      <c r="AC21" s="70" t="n">
        <f aca="false">AB21-AA21</f>
        <v>0</v>
      </c>
      <c r="AD21" s="22"/>
      <c r="AE21" s="22"/>
      <c r="AF21" s="70" t="n">
        <f aca="false">AE21-AD21</f>
        <v>0</v>
      </c>
      <c r="AG21" s="22" t="n">
        <v>234000</v>
      </c>
      <c r="AH21" s="22" t="n">
        <f aca="false">234000-15000+3891+7781</f>
        <v>230672</v>
      </c>
      <c r="AI21" s="70" t="n">
        <f aca="false">AH21-AG21</f>
        <v>-3328</v>
      </c>
      <c r="AJ21" s="22"/>
      <c r="AK21" s="22"/>
      <c r="AL21" s="70" t="n">
        <f aca="false">AK21-AJ21</f>
        <v>0</v>
      </c>
      <c r="AM21" s="22"/>
      <c r="AN21" s="22"/>
      <c r="AO21" s="70" t="n">
        <f aca="false">AN21-AM21</f>
        <v>0</v>
      </c>
      <c r="AP21" s="22"/>
      <c r="AQ21" s="22"/>
      <c r="AR21" s="70" t="n">
        <f aca="false">AQ21-AP21</f>
        <v>0</v>
      </c>
      <c r="AS21" s="22"/>
      <c r="AT21" s="22"/>
      <c r="AU21" s="70" t="n">
        <f aca="false">AT21-AS21</f>
        <v>0</v>
      </c>
      <c r="AV21" s="22"/>
      <c r="AW21" s="22"/>
      <c r="AX21" s="70" t="n">
        <f aca="false">AW21-AV21</f>
        <v>0</v>
      </c>
      <c r="AY21" s="22"/>
      <c r="AZ21" s="22"/>
      <c r="BA21" s="70" t="n">
        <f aca="false">AZ21-AY21</f>
        <v>0</v>
      </c>
      <c r="BB21" s="22"/>
      <c r="BC21" s="22"/>
      <c r="BD21" s="70" t="n">
        <f aca="false">BC21-BB21</f>
        <v>0</v>
      </c>
      <c r="BE21" s="22"/>
      <c r="BF21" s="22"/>
      <c r="BG21" s="70" t="n">
        <f aca="false">BF21-BE21</f>
        <v>0</v>
      </c>
      <c r="BH21" s="22"/>
      <c r="BI21" s="22"/>
      <c r="BJ21" s="70" t="n">
        <f aca="false">BI21-BH21</f>
        <v>0</v>
      </c>
      <c r="BK21" s="22"/>
      <c r="BL21" s="22"/>
      <c r="BM21" s="70" t="n">
        <f aca="false">BL21-BK21</f>
        <v>0</v>
      </c>
      <c r="BN21" s="22"/>
      <c r="BO21" s="22"/>
      <c r="BP21" s="70" t="n">
        <f aca="false">BO21-BN21</f>
        <v>0</v>
      </c>
      <c r="BQ21" s="22"/>
      <c r="BR21" s="22"/>
      <c r="BS21" s="70" t="n">
        <f aca="false">BR21-BQ21</f>
        <v>0</v>
      </c>
      <c r="BT21" s="22"/>
      <c r="BU21" s="22"/>
      <c r="BV21" s="70" t="n">
        <f aca="false">BU21-BT21</f>
        <v>0</v>
      </c>
      <c r="BW21" s="22"/>
      <c r="BX21" s="22"/>
      <c r="BY21" s="70" t="n">
        <f aca="false">BX21-BW21</f>
        <v>0</v>
      </c>
      <c r="BZ21" s="22"/>
      <c r="CA21" s="22"/>
      <c r="CB21" s="70" t="n">
        <f aca="false">CA21-BZ21</f>
        <v>0</v>
      </c>
      <c r="CC21" s="22"/>
      <c r="CD21" s="22"/>
      <c r="CE21" s="70" t="n">
        <f aca="false">CD21-CC21</f>
        <v>0</v>
      </c>
      <c r="CF21" s="22"/>
      <c r="CG21" s="22"/>
      <c r="CH21" s="70" t="n">
        <f aca="false">CG21-CF21</f>
        <v>0</v>
      </c>
      <c r="CI21" s="22"/>
      <c r="CJ21" s="22"/>
      <c r="CK21" s="70" t="n">
        <f aca="false">CJ21-CI21</f>
        <v>0</v>
      </c>
      <c r="CL21" s="22"/>
      <c r="CM21" s="22"/>
      <c r="CN21" s="70" t="n">
        <f aca="false">CM21-CL21</f>
        <v>0</v>
      </c>
      <c r="CO21" s="22"/>
      <c r="CP21" s="22"/>
      <c r="CQ21" s="70" t="n">
        <f aca="false">CP21-CO21</f>
        <v>0</v>
      </c>
      <c r="CR21" s="22"/>
      <c r="CS21" s="22"/>
      <c r="CT21" s="70" t="n">
        <f aca="false">CS21-CR21</f>
        <v>0</v>
      </c>
      <c r="CU21" s="22"/>
      <c r="CV21" s="22"/>
      <c r="CW21" s="70" t="n">
        <f aca="false">CV21-CU21</f>
        <v>0</v>
      </c>
      <c r="CX21" s="22"/>
      <c r="CY21" s="22"/>
      <c r="CZ21" s="70" t="n">
        <f aca="false">CY21-CX21</f>
        <v>0</v>
      </c>
      <c r="DA21" s="22"/>
      <c r="DB21" s="22"/>
      <c r="DC21" s="70" t="n">
        <f aca="false">DB21-DA21</f>
        <v>0</v>
      </c>
      <c r="DD21" s="22"/>
      <c r="DE21" s="22"/>
      <c r="DF21" s="70" t="n">
        <f aca="false">DE21-DD21</f>
        <v>0</v>
      </c>
      <c r="DG21" s="22"/>
      <c r="DH21" s="22"/>
      <c r="DI21" s="70" t="n">
        <f aca="false">DH21-DG21</f>
        <v>0</v>
      </c>
      <c r="DJ21" s="22"/>
      <c r="DK21" s="22"/>
      <c r="DL21" s="70" t="n">
        <f aca="false">DK21-DJ21</f>
        <v>0</v>
      </c>
      <c r="DM21" s="22"/>
      <c r="DN21" s="22"/>
      <c r="DO21" s="70" t="n">
        <f aca="false">DN21-DM21</f>
        <v>0</v>
      </c>
      <c r="DP21" s="22"/>
      <c r="DQ21" s="22"/>
      <c r="DR21" s="70" t="n">
        <f aca="false">DQ21-DP21</f>
        <v>0</v>
      </c>
      <c r="DS21" s="22"/>
      <c r="DT21" s="22"/>
      <c r="DU21" s="70" t="n">
        <f aca="false">DT21-DS21</f>
        <v>0</v>
      </c>
      <c r="DV21" s="22"/>
      <c r="DW21" s="22"/>
      <c r="DX21" s="70" t="n">
        <f aca="false">DW21-DV21</f>
        <v>0</v>
      </c>
      <c r="DY21" s="22"/>
      <c r="DZ21" s="22"/>
      <c r="EA21" s="70" t="n">
        <f aca="false">DZ21-DY21</f>
        <v>0</v>
      </c>
      <c r="EB21" s="22"/>
      <c r="EC21" s="22"/>
      <c r="ED21" s="70" t="n">
        <f aca="false">EC21-EB21</f>
        <v>0</v>
      </c>
      <c r="EE21" s="22"/>
      <c r="EF21" s="22"/>
      <c r="EG21" s="70" t="n">
        <f aca="false">EF21-EE21</f>
        <v>0</v>
      </c>
      <c r="EH21" s="22"/>
      <c r="EI21" s="22"/>
      <c r="EJ21" s="70" t="n">
        <f aca="false">EI21-EH21</f>
        <v>0</v>
      </c>
      <c r="EK21" s="22"/>
      <c r="EL21" s="22"/>
      <c r="EM21" s="70" t="n">
        <f aca="false">EL21-EK21</f>
        <v>0</v>
      </c>
      <c r="EN21" s="22"/>
      <c r="EO21" s="22"/>
      <c r="EP21" s="70" t="n">
        <f aca="false">EO21-EN21</f>
        <v>0</v>
      </c>
      <c r="EQ21" s="70" t="n">
        <f aca="false">+C21+F21+I21+L21+O21+R21+U21+X21+AA21+AD21+AG21+AJ21+AM21+AP21+AS21+AV21+AY21+BB21+BE21+BH21+BK21+BN21+BQ21+BT21+BW21+BZ21+CC21+CF21+CI21+CL21+CO21+CR21+CU21+CX21+DA21+DD21+DG21+DJ21+DM21+DP21+DS21+DV21+DY21+EB21+EE21+EH21+EK21+EN21</f>
        <v>299000</v>
      </c>
      <c r="ER21" s="70" t="n">
        <f aca="false">+D21+G21+J21+M21+P21+S21+V21+Y21+AB21+AE21+AH21+AK21+AN21+AQ21+AT21+AW21+AZ21+BC21+BF21+BI21+BL21+BO21+BR21+BU21+BX21+CA21+CD21+CG21+CJ21+CM21+CP21+CS21+CV21+CY21+DB21+DE21+DH21+DK21+DN21+DQ21+DT21+DW21+DZ21+EC21+EF21+EI21+EL21+EO21</f>
        <v>288159</v>
      </c>
      <c r="ES21" s="70" t="n">
        <f aca="false">ER21-EQ21</f>
        <v>-10841</v>
      </c>
      <c r="ET21" s="22" t="n">
        <f aca="false">+ET20+ES21</f>
        <v>-87469</v>
      </c>
      <c r="EU21" s="74"/>
      <c r="EV21" s="70" t="n">
        <f aca="false">+EQ21-AG21</f>
        <v>65000</v>
      </c>
      <c r="EW21" s="70" t="n">
        <f aca="false">+ER21-AH21</f>
        <v>57487</v>
      </c>
      <c r="EX21" s="22" t="n">
        <f aca="false">+EW21-EV21</f>
        <v>-7513</v>
      </c>
      <c r="EY21" s="22" t="n">
        <f aca="false">+EY20+EX21</f>
        <v>-34535</v>
      </c>
      <c r="EZ21" s="74"/>
      <c r="FA21" s="22" t="n">
        <f aca="false">+AI21</f>
        <v>-3328</v>
      </c>
      <c r="FB21" s="22" t="n">
        <f aca="false">+FB20+FA21</f>
        <v>-52934</v>
      </c>
      <c r="FC21" s="74"/>
      <c r="FD21" s="74"/>
      <c r="FE21" s="74"/>
      <c r="FF21" s="74"/>
      <c r="FG21" s="74"/>
      <c r="FH21" s="74"/>
      <c r="FI21" s="74"/>
    </row>
    <row r="22" customFormat="false" ht="12.75" hidden="false" customHeight="false" outlineLevel="0" collapsed="false">
      <c r="A22" s="69" t="n">
        <f aca="false">+BaseloadMarkets!A22</f>
        <v>36694</v>
      </c>
      <c r="B22" s="69" t="str">
        <f aca="false">+BaseloadMarkets!B22</f>
        <v>Sat</v>
      </c>
      <c r="C22" s="22" t="n">
        <f aca="false">5000+5000</f>
        <v>10000</v>
      </c>
      <c r="D22" s="22" t="n">
        <f aca="false">5000+5000</f>
        <v>10000</v>
      </c>
      <c r="E22" s="70" t="n">
        <f aca="false">D22-C22</f>
        <v>0</v>
      </c>
      <c r="F22" s="22" t="n">
        <v>10000</v>
      </c>
      <c r="G22" s="22" t="n">
        <v>910</v>
      </c>
      <c r="H22" s="70" t="n">
        <f aca="false">G22-F22</f>
        <v>-9090</v>
      </c>
      <c r="I22" s="22" t="n">
        <v>10000</v>
      </c>
      <c r="J22" s="22" t="n">
        <v>910</v>
      </c>
      <c r="K22" s="70" t="n">
        <f aca="false">J22-I22</f>
        <v>-9090</v>
      </c>
      <c r="L22" s="22" t="n">
        <f aca="false">5000+5000</f>
        <v>10000</v>
      </c>
      <c r="M22" s="22" t="n">
        <f aca="false">5000+5000</f>
        <v>10000</v>
      </c>
      <c r="N22" s="70" t="n">
        <f aca="false">M22-L22</f>
        <v>0</v>
      </c>
      <c r="O22" s="22" t="n">
        <v>5000</v>
      </c>
      <c r="P22" s="22" t="n">
        <v>3539</v>
      </c>
      <c r="Q22" s="70" t="n">
        <f aca="false">P22-O22</f>
        <v>-1461</v>
      </c>
      <c r="R22" s="22" t="n">
        <v>5000</v>
      </c>
      <c r="S22" s="22" t="n">
        <v>5000</v>
      </c>
      <c r="T22" s="70" t="n">
        <f aca="false">S22-R22</f>
        <v>0</v>
      </c>
      <c r="U22" s="22" t="n">
        <v>5000</v>
      </c>
      <c r="V22" s="22" t="n">
        <v>5000</v>
      </c>
      <c r="W22" s="70" t="n">
        <f aca="false">V22-U22</f>
        <v>0</v>
      </c>
      <c r="X22" s="22" t="n">
        <v>10000</v>
      </c>
      <c r="Y22" s="22" t="n">
        <v>10000</v>
      </c>
      <c r="Z22" s="70" t="n">
        <f aca="false">Y22-X22</f>
        <v>0</v>
      </c>
      <c r="AA22" s="22"/>
      <c r="AB22" s="22"/>
      <c r="AC22" s="70" t="n">
        <f aca="false">AB22-AA22</f>
        <v>0</v>
      </c>
      <c r="AD22" s="22"/>
      <c r="AE22" s="22"/>
      <c r="AF22" s="70" t="n">
        <f aca="false">AE22-AD22</f>
        <v>0</v>
      </c>
      <c r="AG22" s="22" t="n">
        <v>95000</v>
      </c>
      <c r="AH22" s="22" t="n">
        <v>87187</v>
      </c>
      <c r="AI22" s="70" t="n">
        <f aca="false">AH22-AG22</f>
        <v>-7813</v>
      </c>
      <c r="AJ22" s="22"/>
      <c r="AK22" s="22"/>
      <c r="AL22" s="70" t="n">
        <f aca="false">AK22-AJ22</f>
        <v>0</v>
      </c>
      <c r="AM22" s="22"/>
      <c r="AN22" s="22"/>
      <c r="AO22" s="70" t="n">
        <f aca="false">AN22-AM22</f>
        <v>0</v>
      </c>
      <c r="AP22" s="22"/>
      <c r="AQ22" s="22"/>
      <c r="AR22" s="70" t="n">
        <f aca="false">AQ22-AP22</f>
        <v>0</v>
      </c>
      <c r="AS22" s="22"/>
      <c r="AT22" s="22"/>
      <c r="AU22" s="70" t="n">
        <f aca="false">AT22-AS22</f>
        <v>0</v>
      </c>
      <c r="AV22" s="22"/>
      <c r="AW22" s="22"/>
      <c r="AX22" s="70" t="n">
        <f aca="false">AW22-AV22</f>
        <v>0</v>
      </c>
      <c r="AY22" s="22"/>
      <c r="AZ22" s="22"/>
      <c r="BA22" s="70" t="n">
        <f aca="false">AZ22-AY22</f>
        <v>0</v>
      </c>
      <c r="BB22" s="22"/>
      <c r="BC22" s="22"/>
      <c r="BD22" s="70" t="n">
        <f aca="false">BC22-BB22</f>
        <v>0</v>
      </c>
      <c r="BE22" s="22"/>
      <c r="BF22" s="22"/>
      <c r="BG22" s="70" t="n">
        <f aca="false">BF22-BE22</f>
        <v>0</v>
      </c>
      <c r="BH22" s="22"/>
      <c r="BI22" s="22"/>
      <c r="BJ22" s="70" t="n">
        <f aca="false">BI22-BH22</f>
        <v>0</v>
      </c>
      <c r="BK22" s="22"/>
      <c r="BL22" s="22"/>
      <c r="BM22" s="70" t="n">
        <f aca="false">BL22-BK22</f>
        <v>0</v>
      </c>
      <c r="BN22" s="22"/>
      <c r="BO22" s="22"/>
      <c r="BP22" s="70" t="n">
        <f aca="false">BO22-BN22</f>
        <v>0</v>
      </c>
      <c r="BQ22" s="22"/>
      <c r="BR22" s="22"/>
      <c r="BS22" s="70" t="n">
        <f aca="false">BR22-BQ22</f>
        <v>0</v>
      </c>
      <c r="BT22" s="22"/>
      <c r="BU22" s="22"/>
      <c r="BV22" s="70" t="n">
        <f aca="false">BU22-BT22</f>
        <v>0</v>
      </c>
      <c r="BW22" s="22"/>
      <c r="BX22" s="22"/>
      <c r="BY22" s="70" t="n">
        <f aca="false">BX22-BW22</f>
        <v>0</v>
      </c>
      <c r="BZ22" s="22"/>
      <c r="CA22" s="22"/>
      <c r="CB22" s="70" t="n">
        <f aca="false">CA22-BZ22</f>
        <v>0</v>
      </c>
      <c r="CC22" s="22"/>
      <c r="CD22" s="22"/>
      <c r="CE22" s="70" t="n">
        <f aca="false">CD22-CC22</f>
        <v>0</v>
      </c>
      <c r="CF22" s="22"/>
      <c r="CG22" s="22"/>
      <c r="CH22" s="70" t="n">
        <f aca="false">CG22-CF22</f>
        <v>0</v>
      </c>
      <c r="CI22" s="22"/>
      <c r="CJ22" s="22"/>
      <c r="CK22" s="70" t="n">
        <f aca="false">CJ22-CI22</f>
        <v>0</v>
      </c>
      <c r="CL22" s="22"/>
      <c r="CM22" s="22"/>
      <c r="CN22" s="70" t="n">
        <f aca="false">CM22-CL22</f>
        <v>0</v>
      </c>
      <c r="CO22" s="22"/>
      <c r="CP22" s="22"/>
      <c r="CQ22" s="70" t="n">
        <f aca="false">CP22-CO22</f>
        <v>0</v>
      </c>
      <c r="CR22" s="22"/>
      <c r="CS22" s="22"/>
      <c r="CT22" s="70" t="n">
        <f aca="false">CS22-CR22</f>
        <v>0</v>
      </c>
      <c r="CU22" s="22"/>
      <c r="CV22" s="22"/>
      <c r="CW22" s="70" t="n">
        <f aca="false">CV22-CU22</f>
        <v>0</v>
      </c>
      <c r="CX22" s="22"/>
      <c r="CY22" s="22"/>
      <c r="CZ22" s="70" t="n">
        <f aca="false">CY22-CX22</f>
        <v>0</v>
      </c>
      <c r="DA22" s="22"/>
      <c r="DB22" s="22"/>
      <c r="DC22" s="70" t="n">
        <f aca="false">DB22-DA22</f>
        <v>0</v>
      </c>
      <c r="DD22" s="22"/>
      <c r="DE22" s="22"/>
      <c r="DF22" s="70" t="n">
        <f aca="false">DE22-DD22</f>
        <v>0</v>
      </c>
      <c r="DG22" s="22"/>
      <c r="DH22" s="22"/>
      <c r="DI22" s="70" t="n">
        <f aca="false">DH22-DG22</f>
        <v>0</v>
      </c>
      <c r="DJ22" s="22"/>
      <c r="DK22" s="22"/>
      <c r="DL22" s="70" t="n">
        <f aca="false">DK22-DJ22</f>
        <v>0</v>
      </c>
      <c r="DM22" s="22"/>
      <c r="DN22" s="22"/>
      <c r="DO22" s="70" t="n">
        <f aca="false">DN22-DM22</f>
        <v>0</v>
      </c>
      <c r="DP22" s="22"/>
      <c r="DQ22" s="22"/>
      <c r="DR22" s="70" t="n">
        <f aca="false">DQ22-DP22</f>
        <v>0</v>
      </c>
      <c r="DS22" s="22"/>
      <c r="DT22" s="22"/>
      <c r="DU22" s="70" t="n">
        <f aca="false">DT22-DS22</f>
        <v>0</v>
      </c>
      <c r="DV22" s="22"/>
      <c r="DW22" s="22"/>
      <c r="DX22" s="70" t="n">
        <f aca="false">DW22-DV22</f>
        <v>0</v>
      </c>
      <c r="DY22" s="22"/>
      <c r="DZ22" s="22"/>
      <c r="EA22" s="70" t="n">
        <f aca="false">DZ22-DY22</f>
        <v>0</v>
      </c>
      <c r="EB22" s="22"/>
      <c r="EC22" s="22"/>
      <c r="ED22" s="70" t="n">
        <f aca="false">EC22-EB22</f>
        <v>0</v>
      </c>
      <c r="EE22" s="22"/>
      <c r="EF22" s="22"/>
      <c r="EG22" s="70" t="n">
        <f aca="false">EF22-EE22</f>
        <v>0</v>
      </c>
      <c r="EH22" s="22"/>
      <c r="EI22" s="22"/>
      <c r="EJ22" s="70" t="n">
        <f aca="false">EI22-EH22</f>
        <v>0</v>
      </c>
      <c r="EK22" s="22"/>
      <c r="EL22" s="22"/>
      <c r="EM22" s="70" t="n">
        <f aca="false">EL22-EK22</f>
        <v>0</v>
      </c>
      <c r="EN22" s="22"/>
      <c r="EO22" s="22"/>
      <c r="EP22" s="70" t="n">
        <f aca="false">EO22-EN22</f>
        <v>0</v>
      </c>
      <c r="EQ22" s="70" t="n">
        <f aca="false">+C22+F22+I22+L22+O22+R22+U22+X22+AA22+AD22+AG22+AJ22+AM22+AP22+AS22+AV22+AY22+BB22+BE22+BH22+BK22+BN22+BQ22+BT22+BW22+BZ22+CC22+CF22+CI22+CL22+CO22+CR22+CU22+CX22+DA22+DD22+DG22+DJ22+DM22+DP22+DS22+DV22+DY22+EB22+EE22+EH22+EK22+EN22</f>
        <v>160000</v>
      </c>
      <c r="ER22" s="70" t="n">
        <f aca="false">+D22+G22+J22+M22+P22+S22+V22+Y22+AB22+AE22+AH22+AK22+AN22+AQ22+AT22+AW22+AZ22+BC22+BF22+BI22+BL22+BO22+BR22+BU22+BX22+CA22+CD22+CG22+CJ22+CM22+CP22+CS22+CV22+CY22+DB22+DE22+DH22+DK22+DN22+DQ22+DT22+DW22+DZ22+EC22+EF22+EI22+EL22+EO22</f>
        <v>132546</v>
      </c>
      <c r="ES22" s="70" t="n">
        <f aca="false">ER22-EQ22</f>
        <v>-27454</v>
      </c>
      <c r="ET22" s="22" t="n">
        <f aca="false">+ET21+ES22</f>
        <v>-114923</v>
      </c>
      <c r="EU22" s="74"/>
      <c r="EV22" s="70" t="n">
        <f aca="false">+EQ22-AG22</f>
        <v>65000</v>
      </c>
      <c r="EW22" s="70" t="n">
        <f aca="false">+ER22-AH22</f>
        <v>45359</v>
      </c>
      <c r="EX22" s="22" t="n">
        <f aca="false">+EW22-EV22</f>
        <v>-19641</v>
      </c>
      <c r="EY22" s="22" t="n">
        <f aca="false">+EY21+EX22</f>
        <v>-54176</v>
      </c>
      <c r="EZ22" s="74"/>
      <c r="FA22" s="22" t="n">
        <f aca="false">+AI22</f>
        <v>-7813</v>
      </c>
      <c r="FB22" s="22" t="n">
        <f aca="false">+FB21+FA22</f>
        <v>-60747</v>
      </c>
      <c r="FC22" s="74"/>
      <c r="FD22" s="74"/>
      <c r="FE22" s="74"/>
      <c r="FF22" s="74"/>
      <c r="FG22" s="74"/>
      <c r="FH22" s="74"/>
      <c r="FI22" s="74"/>
    </row>
    <row r="23" customFormat="false" ht="12.75" hidden="false" customHeight="false" outlineLevel="0" collapsed="false">
      <c r="A23" s="69" t="n">
        <f aca="false">+BaseloadMarkets!A23</f>
        <v>36695</v>
      </c>
      <c r="B23" s="69" t="str">
        <f aca="false">+BaseloadMarkets!B23</f>
        <v>Sun</v>
      </c>
      <c r="C23" s="22" t="n">
        <f aca="false">5000+5000</f>
        <v>10000</v>
      </c>
      <c r="D23" s="22" t="n">
        <f aca="false">5000+5000</f>
        <v>10000</v>
      </c>
      <c r="E23" s="70" t="n">
        <f aca="false">D23-C23</f>
        <v>0</v>
      </c>
      <c r="F23" s="22" t="n">
        <v>10000</v>
      </c>
      <c r="G23" s="22" t="n">
        <v>8045</v>
      </c>
      <c r="H23" s="70" t="n">
        <f aca="false">G23-F23</f>
        <v>-1955</v>
      </c>
      <c r="I23" s="22" t="n">
        <v>10000</v>
      </c>
      <c r="J23" s="22" t="n">
        <v>8045</v>
      </c>
      <c r="K23" s="70" t="n">
        <f aca="false">J23-I23</f>
        <v>-1955</v>
      </c>
      <c r="L23" s="22" t="n">
        <f aca="false">5000+5000</f>
        <v>10000</v>
      </c>
      <c r="M23" s="22" t="n">
        <f aca="false">5000+5000</f>
        <v>10000</v>
      </c>
      <c r="N23" s="70" t="n">
        <f aca="false">M23-L23</f>
        <v>0</v>
      </c>
      <c r="O23" s="22" t="n">
        <v>5000</v>
      </c>
      <c r="P23" s="22" t="n">
        <v>4023</v>
      </c>
      <c r="Q23" s="70" t="n">
        <f aca="false">P23-O23</f>
        <v>-977</v>
      </c>
      <c r="R23" s="22" t="n">
        <v>5000</v>
      </c>
      <c r="S23" s="22" t="n">
        <v>5000</v>
      </c>
      <c r="T23" s="70" t="n">
        <f aca="false">S23-R23</f>
        <v>0</v>
      </c>
      <c r="U23" s="22" t="n">
        <v>5000</v>
      </c>
      <c r="V23" s="22" t="n">
        <v>5000</v>
      </c>
      <c r="W23" s="70" t="n">
        <f aca="false">V23-U23</f>
        <v>0</v>
      </c>
      <c r="X23" s="22" t="n">
        <v>10000</v>
      </c>
      <c r="Y23" s="22" t="n">
        <v>10000</v>
      </c>
      <c r="Z23" s="70" t="n">
        <f aca="false">Y23-X23</f>
        <v>0</v>
      </c>
      <c r="AA23" s="22"/>
      <c r="AB23" s="22"/>
      <c r="AC23" s="70" t="n">
        <f aca="false">AB23-AA23</f>
        <v>0</v>
      </c>
      <c r="AD23" s="22"/>
      <c r="AE23" s="22"/>
      <c r="AF23" s="70" t="n">
        <f aca="false">AE23-AD23</f>
        <v>0</v>
      </c>
      <c r="AG23" s="22" t="n">
        <v>95000</v>
      </c>
      <c r="AH23" s="22" t="n">
        <v>90871</v>
      </c>
      <c r="AI23" s="70" t="n">
        <f aca="false">AH23-AG23</f>
        <v>-4129</v>
      </c>
      <c r="AJ23" s="22"/>
      <c r="AK23" s="22"/>
      <c r="AL23" s="70" t="n">
        <f aca="false">AK23-AJ23</f>
        <v>0</v>
      </c>
      <c r="AM23" s="22"/>
      <c r="AN23" s="22"/>
      <c r="AO23" s="70" t="n">
        <f aca="false">AN23-AM23</f>
        <v>0</v>
      </c>
      <c r="AP23" s="22"/>
      <c r="AQ23" s="22"/>
      <c r="AR23" s="70" t="n">
        <f aca="false">AQ23-AP23</f>
        <v>0</v>
      </c>
      <c r="AS23" s="22"/>
      <c r="AT23" s="22"/>
      <c r="AU23" s="70" t="n">
        <f aca="false">AT23-AS23</f>
        <v>0</v>
      </c>
      <c r="AV23" s="22"/>
      <c r="AW23" s="22"/>
      <c r="AX23" s="70" t="n">
        <f aca="false">AW23-AV23</f>
        <v>0</v>
      </c>
      <c r="AY23" s="22"/>
      <c r="AZ23" s="22"/>
      <c r="BA23" s="70" t="n">
        <f aca="false">AZ23-AY23</f>
        <v>0</v>
      </c>
      <c r="BB23" s="22"/>
      <c r="BC23" s="22"/>
      <c r="BD23" s="70" t="n">
        <f aca="false">BC23-BB23</f>
        <v>0</v>
      </c>
      <c r="BE23" s="22"/>
      <c r="BF23" s="22"/>
      <c r="BG23" s="70" t="n">
        <f aca="false">BF23-BE23</f>
        <v>0</v>
      </c>
      <c r="BH23" s="22"/>
      <c r="BI23" s="22"/>
      <c r="BJ23" s="70" t="n">
        <f aca="false">BI23-BH23</f>
        <v>0</v>
      </c>
      <c r="BK23" s="22"/>
      <c r="BL23" s="22"/>
      <c r="BM23" s="70" t="n">
        <f aca="false">BL23-BK23</f>
        <v>0</v>
      </c>
      <c r="BN23" s="22"/>
      <c r="BO23" s="22"/>
      <c r="BP23" s="70" t="n">
        <f aca="false">BO23-BN23</f>
        <v>0</v>
      </c>
      <c r="BQ23" s="22"/>
      <c r="BR23" s="22"/>
      <c r="BS23" s="70" t="n">
        <f aca="false">BR23-BQ23</f>
        <v>0</v>
      </c>
      <c r="BT23" s="22"/>
      <c r="BU23" s="22"/>
      <c r="BV23" s="70" t="n">
        <f aca="false">BU23-BT23</f>
        <v>0</v>
      </c>
      <c r="BW23" s="22"/>
      <c r="BX23" s="22"/>
      <c r="BY23" s="70" t="n">
        <f aca="false">BX23-BW23</f>
        <v>0</v>
      </c>
      <c r="BZ23" s="22"/>
      <c r="CA23" s="22"/>
      <c r="CB23" s="70" t="n">
        <f aca="false">CA23-BZ23</f>
        <v>0</v>
      </c>
      <c r="CC23" s="22"/>
      <c r="CD23" s="22"/>
      <c r="CE23" s="70" t="n">
        <f aca="false">CD23-CC23</f>
        <v>0</v>
      </c>
      <c r="CF23" s="22"/>
      <c r="CG23" s="22"/>
      <c r="CH23" s="70" t="n">
        <f aca="false">CG23-CF23</f>
        <v>0</v>
      </c>
      <c r="CI23" s="22"/>
      <c r="CJ23" s="22"/>
      <c r="CK23" s="70" t="n">
        <f aca="false">CJ23-CI23</f>
        <v>0</v>
      </c>
      <c r="CL23" s="22"/>
      <c r="CM23" s="22"/>
      <c r="CN23" s="70" t="n">
        <f aca="false">CM23-CL23</f>
        <v>0</v>
      </c>
      <c r="CO23" s="22"/>
      <c r="CP23" s="22"/>
      <c r="CQ23" s="70" t="n">
        <f aca="false">CP23-CO23</f>
        <v>0</v>
      </c>
      <c r="CR23" s="22"/>
      <c r="CS23" s="22"/>
      <c r="CT23" s="70" t="n">
        <f aca="false">CS23-CR23</f>
        <v>0</v>
      </c>
      <c r="CU23" s="22"/>
      <c r="CV23" s="22"/>
      <c r="CW23" s="70" t="n">
        <f aca="false">CV23-CU23</f>
        <v>0</v>
      </c>
      <c r="CX23" s="22"/>
      <c r="CY23" s="22"/>
      <c r="CZ23" s="70" t="n">
        <f aca="false">CY23-CX23</f>
        <v>0</v>
      </c>
      <c r="DA23" s="22"/>
      <c r="DB23" s="22"/>
      <c r="DC23" s="70" t="n">
        <f aca="false">DB23-DA23</f>
        <v>0</v>
      </c>
      <c r="DD23" s="22"/>
      <c r="DE23" s="22"/>
      <c r="DF23" s="70" t="n">
        <f aca="false">DE23-DD23</f>
        <v>0</v>
      </c>
      <c r="DG23" s="22"/>
      <c r="DH23" s="22"/>
      <c r="DI23" s="70" t="n">
        <f aca="false">DH23-DG23</f>
        <v>0</v>
      </c>
      <c r="DJ23" s="22"/>
      <c r="DK23" s="22"/>
      <c r="DL23" s="70" t="n">
        <f aca="false">DK23-DJ23</f>
        <v>0</v>
      </c>
      <c r="DM23" s="22"/>
      <c r="DN23" s="22"/>
      <c r="DO23" s="70" t="n">
        <f aca="false">DN23-DM23</f>
        <v>0</v>
      </c>
      <c r="DP23" s="22"/>
      <c r="DQ23" s="22"/>
      <c r="DR23" s="70" t="n">
        <f aca="false">DQ23-DP23</f>
        <v>0</v>
      </c>
      <c r="DS23" s="22"/>
      <c r="DT23" s="22"/>
      <c r="DU23" s="70" t="n">
        <f aca="false">DT23-DS23</f>
        <v>0</v>
      </c>
      <c r="DV23" s="22"/>
      <c r="DW23" s="22"/>
      <c r="DX23" s="70" t="n">
        <f aca="false">DW23-DV23</f>
        <v>0</v>
      </c>
      <c r="DY23" s="22"/>
      <c r="DZ23" s="22"/>
      <c r="EA23" s="70" t="n">
        <f aca="false">DZ23-DY23</f>
        <v>0</v>
      </c>
      <c r="EB23" s="22"/>
      <c r="EC23" s="22"/>
      <c r="ED23" s="70" t="n">
        <f aca="false">EC23-EB23</f>
        <v>0</v>
      </c>
      <c r="EE23" s="22"/>
      <c r="EF23" s="22"/>
      <c r="EG23" s="70" t="n">
        <f aca="false">EF23-EE23</f>
        <v>0</v>
      </c>
      <c r="EH23" s="22"/>
      <c r="EI23" s="22"/>
      <c r="EJ23" s="70" t="n">
        <f aca="false">EI23-EH23</f>
        <v>0</v>
      </c>
      <c r="EK23" s="22"/>
      <c r="EL23" s="22"/>
      <c r="EM23" s="70" t="n">
        <f aca="false">EL23-EK23</f>
        <v>0</v>
      </c>
      <c r="EN23" s="22"/>
      <c r="EO23" s="22"/>
      <c r="EP23" s="70" t="n">
        <f aca="false">EO23-EN23</f>
        <v>0</v>
      </c>
      <c r="EQ23" s="70" t="n">
        <f aca="false">+C23+F23+I23+L23+O23+R23+U23+X23+AA23+AD23+AG23+AJ23+AM23+AP23+AS23+AV23+AY23+BB23+BE23+BH23+BK23+BN23+BQ23+BT23+BW23+BZ23+CC23+CF23+CI23+CL23+CO23+CR23+CU23+CX23+DA23+DD23+DG23+DJ23+DM23+DP23+DS23+DV23+DY23+EB23+EE23+EH23+EK23+EN23</f>
        <v>160000</v>
      </c>
      <c r="ER23" s="70" t="n">
        <f aca="false">+D23+G23+J23+M23+P23+S23+V23+Y23+AB23+AE23+AH23+AK23+AN23+AQ23+AT23+AW23+AZ23+BC23+BF23+BI23+BL23+BO23+BR23+BU23+BX23+CA23+CD23+CG23+CJ23+CM23+CP23+CS23+CV23+CY23+DB23+DE23+DH23+DK23+DN23+DQ23+DT23+DW23+DZ23+EC23+EF23+EI23+EL23+EO23</f>
        <v>150984</v>
      </c>
      <c r="ES23" s="70" t="n">
        <f aca="false">ER23-EQ23</f>
        <v>-9016</v>
      </c>
      <c r="ET23" s="22" t="n">
        <f aca="false">+ET22+ES23</f>
        <v>-123939</v>
      </c>
      <c r="EU23" s="74"/>
      <c r="EV23" s="70" t="n">
        <f aca="false">+EQ23-AG23</f>
        <v>65000</v>
      </c>
      <c r="EW23" s="70" t="n">
        <f aca="false">+ER23-AH23</f>
        <v>60113</v>
      </c>
      <c r="EX23" s="22" t="n">
        <f aca="false">+EW23-EV23</f>
        <v>-4887</v>
      </c>
      <c r="EY23" s="22" t="n">
        <f aca="false">+EY22+EX23</f>
        <v>-59063</v>
      </c>
      <c r="EZ23" s="74"/>
      <c r="FA23" s="22" t="n">
        <f aca="false">+AI23</f>
        <v>-4129</v>
      </c>
      <c r="FB23" s="22" t="n">
        <f aca="false">+FB22+FA23</f>
        <v>-64876</v>
      </c>
      <c r="FC23" s="74"/>
      <c r="FD23" s="74"/>
      <c r="FE23" s="74"/>
      <c r="FF23" s="74"/>
      <c r="FG23" s="74"/>
      <c r="FH23" s="74"/>
      <c r="FI23" s="74"/>
    </row>
    <row r="24" customFormat="false" ht="12.75" hidden="false" customHeight="false" outlineLevel="0" collapsed="false">
      <c r="A24" s="69" t="n">
        <f aca="false">+BaseloadMarkets!A24</f>
        <v>36696</v>
      </c>
      <c r="B24" s="69" t="str">
        <f aca="false">+BaseloadMarkets!B24</f>
        <v>Mon</v>
      </c>
      <c r="C24" s="22" t="n">
        <f aca="false">5000+5000</f>
        <v>10000</v>
      </c>
      <c r="D24" s="22" t="n">
        <f aca="false">5000+5000</f>
        <v>10000</v>
      </c>
      <c r="E24" s="70" t="n">
        <f aca="false">D24-C24</f>
        <v>0</v>
      </c>
      <c r="F24" s="22" t="n">
        <v>10000</v>
      </c>
      <c r="G24" s="22" t="n">
        <v>8855</v>
      </c>
      <c r="H24" s="70" t="n">
        <f aca="false">G24-F24</f>
        <v>-1145</v>
      </c>
      <c r="I24" s="22" t="n">
        <v>10000</v>
      </c>
      <c r="J24" s="22" t="n">
        <v>8855</v>
      </c>
      <c r="K24" s="70" t="n">
        <f aca="false">J24-I24</f>
        <v>-1145</v>
      </c>
      <c r="L24" s="22" t="n">
        <f aca="false">5000+5000</f>
        <v>10000</v>
      </c>
      <c r="M24" s="22" t="n">
        <f aca="false">5000+5000</f>
        <v>10000</v>
      </c>
      <c r="N24" s="70" t="n">
        <f aca="false">M24-L24</f>
        <v>0</v>
      </c>
      <c r="O24" s="22" t="n">
        <v>5000</v>
      </c>
      <c r="P24" s="22" t="n">
        <v>4427</v>
      </c>
      <c r="Q24" s="70" t="n">
        <f aca="false">P24-O24</f>
        <v>-573</v>
      </c>
      <c r="R24" s="22" t="n">
        <v>5000</v>
      </c>
      <c r="S24" s="22" t="n">
        <v>5000</v>
      </c>
      <c r="T24" s="70" t="n">
        <f aca="false">S24-R24</f>
        <v>0</v>
      </c>
      <c r="U24" s="22" t="n">
        <v>5000</v>
      </c>
      <c r="V24" s="22" t="n">
        <v>5000</v>
      </c>
      <c r="W24" s="70" t="n">
        <f aca="false">V24-U24</f>
        <v>0</v>
      </c>
      <c r="X24" s="22" t="n">
        <v>10000</v>
      </c>
      <c r="Y24" s="22" t="n">
        <v>10000</v>
      </c>
      <c r="Z24" s="70" t="n">
        <f aca="false">Y24-X24</f>
        <v>0</v>
      </c>
      <c r="AA24" s="22"/>
      <c r="AB24" s="22"/>
      <c r="AC24" s="70" t="n">
        <f aca="false">AB24-AA24</f>
        <v>0</v>
      </c>
      <c r="AD24" s="22"/>
      <c r="AE24" s="22"/>
      <c r="AF24" s="70" t="n">
        <f aca="false">AE24-AD24</f>
        <v>0</v>
      </c>
      <c r="AG24" s="22" t="n">
        <v>95000</v>
      </c>
      <c r="AH24" s="22" t="n">
        <f aca="false">95000-5000+4428-10000+5128-5000+4897</f>
        <v>89453</v>
      </c>
      <c r="AI24" s="70" t="n">
        <f aca="false">AH24-AG24</f>
        <v>-5547</v>
      </c>
      <c r="AJ24" s="22"/>
      <c r="AK24" s="22"/>
      <c r="AL24" s="70" t="n">
        <f aca="false">AK24-AJ24</f>
        <v>0</v>
      </c>
      <c r="AM24" s="22"/>
      <c r="AN24" s="22"/>
      <c r="AO24" s="70" t="n">
        <f aca="false">AN24-AM24</f>
        <v>0</v>
      </c>
      <c r="AP24" s="22"/>
      <c r="AQ24" s="22"/>
      <c r="AR24" s="70" t="n">
        <f aca="false">AQ24-AP24</f>
        <v>0</v>
      </c>
      <c r="AS24" s="22"/>
      <c r="AT24" s="22"/>
      <c r="AU24" s="70" t="n">
        <f aca="false">AT24-AS24</f>
        <v>0</v>
      </c>
      <c r="AV24" s="22"/>
      <c r="AW24" s="22"/>
      <c r="AX24" s="70" t="n">
        <f aca="false">AW24-AV24</f>
        <v>0</v>
      </c>
      <c r="AY24" s="22"/>
      <c r="AZ24" s="22"/>
      <c r="BA24" s="70" t="n">
        <f aca="false">AZ24-AY24</f>
        <v>0</v>
      </c>
      <c r="BB24" s="22"/>
      <c r="BC24" s="22"/>
      <c r="BD24" s="70" t="n">
        <f aca="false">BC24-BB24</f>
        <v>0</v>
      </c>
      <c r="BE24" s="22"/>
      <c r="BF24" s="22"/>
      <c r="BG24" s="70" t="n">
        <f aca="false">BF24-BE24</f>
        <v>0</v>
      </c>
      <c r="BH24" s="22"/>
      <c r="BI24" s="22"/>
      <c r="BJ24" s="70" t="n">
        <f aca="false">BI24-BH24</f>
        <v>0</v>
      </c>
      <c r="BK24" s="22"/>
      <c r="BL24" s="22"/>
      <c r="BM24" s="70" t="n">
        <f aca="false">BL24-BK24</f>
        <v>0</v>
      </c>
      <c r="BN24" s="22"/>
      <c r="BO24" s="22"/>
      <c r="BP24" s="70" t="n">
        <f aca="false">BO24-BN24</f>
        <v>0</v>
      </c>
      <c r="BQ24" s="22"/>
      <c r="BR24" s="22"/>
      <c r="BS24" s="70" t="n">
        <f aca="false">BR24-BQ24</f>
        <v>0</v>
      </c>
      <c r="BT24" s="22"/>
      <c r="BU24" s="22"/>
      <c r="BV24" s="70" t="n">
        <f aca="false">BU24-BT24</f>
        <v>0</v>
      </c>
      <c r="BW24" s="22"/>
      <c r="BX24" s="22"/>
      <c r="BY24" s="70" t="n">
        <f aca="false">BX24-BW24</f>
        <v>0</v>
      </c>
      <c r="BZ24" s="22"/>
      <c r="CA24" s="22"/>
      <c r="CB24" s="70" t="n">
        <f aca="false">CA24-BZ24</f>
        <v>0</v>
      </c>
      <c r="CC24" s="22"/>
      <c r="CD24" s="22"/>
      <c r="CE24" s="70" t="n">
        <f aca="false">CD24-CC24</f>
        <v>0</v>
      </c>
      <c r="CF24" s="22"/>
      <c r="CG24" s="22"/>
      <c r="CH24" s="70" t="n">
        <f aca="false">CG24-CF24</f>
        <v>0</v>
      </c>
      <c r="CI24" s="22"/>
      <c r="CJ24" s="22"/>
      <c r="CK24" s="70" t="n">
        <f aca="false">CJ24-CI24</f>
        <v>0</v>
      </c>
      <c r="CL24" s="22"/>
      <c r="CM24" s="22"/>
      <c r="CN24" s="70" t="n">
        <f aca="false">CM24-CL24</f>
        <v>0</v>
      </c>
      <c r="CO24" s="22"/>
      <c r="CP24" s="22"/>
      <c r="CQ24" s="70" t="n">
        <f aca="false">CP24-CO24</f>
        <v>0</v>
      </c>
      <c r="CR24" s="22"/>
      <c r="CS24" s="22"/>
      <c r="CT24" s="70" t="n">
        <f aca="false">CS24-CR24</f>
        <v>0</v>
      </c>
      <c r="CU24" s="22"/>
      <c r="CV24" s="22"/>
      <c r="CW24" s="70" t="n">
        <f aca="false">CV24-CU24</f>
        <v>0</v>
      </c>
      <c r="CX24" s="22"/>
      <c r="CY24" s="22"/>
      <c r="CZ24" s="70" t="n">
        <f aca="false">CY24-CX24</f>
        <v>0</v>
      </c>
      <c r="DA24" s="22"/>
      <c r="DB24" s="22"/>
      <c r="DC24" s="70" t="n">
        <f aca="false">DB24-DA24</f>
        <v>0</v>
      </c>
      <c r="DD24" s="22"/>
      <c r="DE24" s="22"/>
      <c r="DF24" s="70" t="n">
        <f aca="false">DE24-DD24</f>
        <v>0</v>
      </c>
      <c r="DG24" s="22"/>
      <c r="DH24" s="22"/>
      <c r="DI24" s="70" t="n">
        <f aca="false">DH24-DG24</f>
        <v>0</v>
      </c>
      <c r="DJ24" s="22"/>
      <c r="DK24" s="22"/>
      <c r="DL24" s="70" t="n">
        <f aca="false">DK24-DJ24</f>
        <v>0</v>
      </c>
      <c r="DM24" s="22"/>
      <c r="DN24" s="22"/>
      <c r="DO24" s="70" t="n">
        <f aca="false">DN24-DM24</f>
        <v>0</v>
      </c>
      <c r="DP24" s="22"/>
      <c r="DQ24" s="22"/>
      <c r="DR24" s="70" t="n">
        <f aca="false">DQ24-DP24</f>
        <v>0</v>
      </c>
      <c r="DS24" s="22"/>
      <c r="DT24" s="22"/>
      <c r="DU24" s="70" t="n">
        <f aca="false">DT24-DS24</f>
        <v>0</v>
      </c>
      <c r="DV24" s="22"/>
      <c r="DW24" s="22"/>
      <c r="DX24" s="70" t="n">
        <f aca="false">DW24-DV24</f>
        <v>0</v>
      </c>
      <c r="DY24" s="22"/>
      <c r="DZ24" s="22"/>
      <c r="EA24" s="70" t="n">
        <f aca="false">DZ24-DY24</f>
        <v>0</v>
      </c>
      <c r="EB24" s="22"/>
      <c r="EC24" s="22"/>
      <c r="ED24" s="70" t="n">
        <f aca="false">EC24-EB24</f>
        <v>0</v>
      </c>
      <c r="EE24" s="22"/>
      <c r="EF24" s="22"/>
      <c r="EG24" s="70" t="n">
        <f aca="false">EF24-EE24</f>
        <v>0</v>
      </c>
      <c r="EH24" s="22"/>
      <c r="EI24" s="22"/>
      <c r="EJ24" s="70" t="n">
        <f aca="false">EI24-EH24</f>
        <v>0</v>
      </c>
      <c r="EK24" s="22"/>
      <c r="EL24" s="22"/>
      <c r="EM24" s="70" t="n">
        <f aca="false">EL24-EK24</f>
        <v>0</v>
      </c>
      <c r="EN24" s="22"/>
      <c r="EO24" s="22"/>
      <c r="EP24" s="70" t="n">
        <f aca="false">EO24-EN24</f>
        <v>0</v>
      </c>
      <c r="EQ24" s="70" t="n">
        <f aca="false">+C24+F24+I24+L24+O24+R24+U24+X24+AA24+AD24+AG24+AJ24+AM24+AP24+AS24+AV24+AY24+BB24+BE24+BH24+BK24+BN24+BQ24+BT24+BW24+BZ24+CC24+CF24+CI24+CL24+CO24+CR24+CU24+CX24+DA24+DD24+DG24+DJ24+DM24+DP24+DS24+DV24+DY24+EB24+EE24+EH24+EK24+EN24</f>
        <v>160000</v>
      </c>
      <c r="ER24" s="70" t="n">
        <f aca="false">+D24+G24+J24+M24+P24+S24+V24+Y24+AB24+AE24+AH24+AK24+AN24+AQ24+AT24+AW24+AZ24+BC24+BF24+BI24+BL24+BO24+BR24+BU24+BX24+CA24+CD24+CG24+CJ24+CM24+CP24+CS24+CV24+CY24+DB24+DE24+DH24+DK24+DN24+DQ24+DT24+DW24+DZ24+EC24+EF24+EI24+EL24+EO24</f>
        <v>151590</v>
      </c>
      <c r="ES24" s="70" t="n">
        <f aca="false">ER24-EQ24</f>
        <v>-8410</v>
      </c>
      <c r="ET24" s="22" t="n">
        <f aca="false">+ET23+ES24</f>
        <v>-132349</v>
      </c>
      <c r="EU24" s="74"/>
      <c r="EV24" s="70" t="n">
        <f aca="false">+EQ24-AG24</f>
        <v>65000</v>
      </c>
      <c r="EW24" s="70" t="n">
        <f aca="false">+ER24-AH24</f>
        <v>62137</v>
      </c>
      <c r="EX24" s="22" t="n">
        <f aca="false">+EW24-EV24</f>
        <v>-2863</v>
      </c>
      <c r="EY24" s="22" t="n">
        <f aca="false">+EY23+EX24</f>
        <v>-61926</v>
      </c>
      <c r="EZ24" s="74"/>
      <c r="FA24" s="22" t="n">
        <f aca="false">+AI24</f>
        <v>-5547</v>
      </c>
      <c r="FB24" s="22" t="n">
        <f aca="false">+FB23+FA24</f>
        <v>-70423</v>
      </c>
      <c r="FC24" s="74"/>
      <c r="FD24" s="74"/>
      <c r="FE24" s="74"/>
      <c r="FF24" s="74"/>
      <c r="FG24" s="74"/>
      <c r="FH24" s="74"/>
      <c r="FI24" s="74"/>
    </row>
    <row r="25" customFormat="false" ht="12.75" hidden="false" customHeight="false" outlineLevel="0" collapsed="false">
      <c r="A25" s="69" t="n">
        <f aca="false">+BaseloadMarkets!A25</f>
        <v>36697</v>
      </c>
      <c r="B25" s="69" t="str">
        <f aca="false">+BaseloadMarkets!B25</f>
        <v>Tues</v>
      </c>
      <c r="C25" s="22" t="n">
        <f aca="false">5000+5000</f>
        <v>10000</v>
      </c>
      <c r="D25" s="22" t="n">
        <f aca="false">5000+5000</f>
        <v>10000</v>
      </c>
      <c r="E25" s="70" t="n">
        <f aca="false">D25-C25</f>
        <v>0</v>
      </c>
      <c r="F25" s="22" t="n">
        <v>10000</v>
      </c>
      <c r="G25" s="22" t="n">
        <v>10000</v>
      </c>
      <c r="H25" s="70" t="n">
        <f aca="false">G25-F25</f>
        <v>0</v>
      </c>
      <c r="I25" s="22" t="n">
        <v>10000</v>
      </c>
      <c r="J25" s="22" t="n">
        <v>10000</v>
      </c>
      <c r="K25" s="70" t="n">
        <f aca="false">J25-I25</f>
        <v>0</v>
      </c>
      <c r="L25" s="22" t="n">
        <f aca="false">5000+5000</f>
        <v>10000</v>
      </c>
      <c r="M25" s="22" t="n">
        <f aca="false">5000+5000</f>
        <v>10000</v>
      </c>
      <c r="N25" s="70" t="n">
        <f aca="false">M25-L25</f>
        <v>0</v>
      </c>
      <c r="O25" s="22" t="n">
        <v>5000</v>
      </c>
      <c r="P25" s="22" t="n">
        <v>5000</v>
      </c>
      <c r="Q25" s="70" t="n">
        <f aca="false">P25-O25</f>
        <v>0</v>
      </c>
      <c r="R25" s="22" t="n">
        <v>5000</v>
      </c>
      <c r="S25" s="22" t="n">
        <v>5000</v>
      </c>
      <c r="T25" s="70" t="n">
        <f aca="false">S25-R25</f>
        <v>0</v>
      </c>
      <c r="U25" s="22" t="n">
        <v>5000</v>
      </c>
      <c r="V25" s="22" t="n">
        <v>5000</v>
      </c>
      <c r="W25" s="70" t="n">
        <f aca="false">V25-U25</f>
        <v>0</v>
      </c>
      <c r="X25" s="22" t="n">
        <v>10000</v>
      </c>
      <c r="Y25" s="22" t="n">
        <v>10000</v>
      </c>
      <c r="Z25" s="70" t="n">
        <f aca="false">Y25-X25</f>
        <v>0</v>
      </c>
      <c r="AA25" s="22"/>
      <c r="AB25" s="22"/>
      <c r="AC25" s="70" t="n">
        <f aca="false">AB25-AA25</f>
        <v>0</v>
      </c>
      <c r="AD25" s="22"/>
      <c r="AE25" s="22"/>
      <c r="AF25" s="70" t="n">
        <f aca="false">AE25-AD25</f>
        <v>0</v>
      </c>
      <c r="AG25" s="22" t="n">
        <v>250000</v>
      </c>
      <c r="AH25" s="22" t="n">
        <v>250000</v>
      </c>
      <c r="AI25" s="70" t="n">
        <f aca="false">AH25-AG25</f>
        <v>0</v>
      </c>
      <c r="AJ25" s="22"/>
      <c r="AK25" s="22"/>
      <c r="AL25" s="70" t="n">
        <f aca="false">AK25-AJ25</f>
        <v>0</v>
      </c>
      <c r="AM25" s="22"/>
      <c r="AN25" s="22"/>
      <c r="AO25" s="70" t="n">
        <f aca="false">AN25-AM25</f>
        <v>0</v>
      </c>
      <c r="AP25" s="22"/>
      <c r="AQ25" s="22"/>
      <c r="AR25" s="70" t="n">
        <f aca="false">AQ25-AP25</f>
        <v>0</v>
      </c>
      <c r="AS25" s="22"/>
      <c r="AT25" s="22"/>
      <c r="AU25" s="70" t="n">
        <f aca="false">AT25-AS25</f>
        <v>0</v>
      </c>
      <c r="AV25" s="22"/>
      <c r="AW25" s="22"/>
      <c r="AX25" s="70" t="n">
        <f aca="false">AW25-AV25</f>
        <v>0</v>
      </c>
      <c r="AY25" s="22"/>
      <c r="AZ25" s="22"/>
      <c r="BA25" s="70" t="n">
        <f aca="false">AZ25-AY25</f>
        <v>0</v>
      </c>
      <c r="BB25" s="22"/>
      <c r="BC25" s="22"/>
      <c r="BD25" s="70" t="n">
        <f aca="false">BC25-BB25</f>
        <v>0</v>
      </c>
      <c r="BE25" s="22"/>
      <c r="BF25" s="22"/>
      <c r="BG25" s="70" t="n">
        <f aca="false">BF25-BE25</f>
        <v>0</v>
      </c>
      <c r="BH25" s="22"/>
      <c r="BI25" s="22"/>
      <c r="BJ25" s="70" t="n">
        <f aca="false">BI25-BH25</f>
        <v>0</v>
      </c>
      <c r="BK25" s="22"/>
      <c r="BL25" s="22"/>
      <c r="BM25" s="70" t="n">
        <f aca="false">BL25-BK25</f>
        <v>0</v>
      </c>
      <c r="BN25" s="22"/>
      <c r="BO25" s="22"/>
      <c r="BP25" s="70" t="n">
        <f aca="false">BO25-BN25</f>
        <v>0</v>
      </c>
      <c r="BQ25" s="22"/>
      <c r="BR25" s="22"/>
      <c r="BS25" s="70" t="n">
        <f aca="false">BR25-BQ25</f>
        <v>0</v>
      </c>
      <c r="BT25" s="22"/>
      <c r="BU25" s="22"/>
      <c r="BV25" s="70" t="n">
        <f aca="false">BU25-BT25</f>
        <v>0</v>
      </c>
      <c r="BW25" s="22"/>
      <c r="BX25" s="22"/>
      <c r="BY25" s="70" t="n">
        <f aca="false">BX25-BW25</f>
        <v>0</v>
      </c>
      <c r="BZ25" s="22"/>
      <c r="CA25" s="22"/>
      <c r="CB25" s="70" t="n">
        <f aca="false">CA25-BZ25</f>
        <v>0</v>
      </c>
      <c r="CC25" s="22"/>
      <c r="CD25" s="22"/>
      <c r="CE25" s="70" t="n">
        <f aca="false">CD25-CC25</f>
        <v>0</v>
      </c>
      <c r="CF25" s="22"/>
      <c r="CG25" s="22"/>
      <c r="CH25" s="70" t="n">
        <f aca="false">CG25-CF25</f>
        <v>0</v>
      </c>
      <c r="CI25" s="22"/>
      <c r="CJ25" s="22"/>
      <c r="CK25" s="70" t="n">
        <f aca="false">CJ25-CI25</f>
        <v>0</v>
      </c>
      <c r="CL25" s="22"/>
      <c r="CM25" s="22"/>
      <c r="CN25" s="70" t="n">
        <f aca="false">CM25-CL25</f>
        <v>0</v>
      </c>
      <c r="CO25" s="22"/>
      <c r="CP25" s="22"/>
      <c r="CQ25" s="70" t="n">
        <f aca="false">CP25-CO25</f>
        <v>0</v>
      </c>
      <c r="CR25" s="22"/>
      <c r="CS25" s="22"/>
      <c r="CT25" s="70" t="n">
        <f aca="false">CS25-CR25</f>
        <v>0</v>
      </c>
      <c r="CU25" s="22"/>
      <c r="CV25" s="22"/>
      <c r="CW25" s="70" t="n">
        <f aca="false">CV25-CU25</f>
        <v>0</v>
      </c>
      <c r="CX25" s="22"/>
      <c r="CY25" s="22"/>
      <c r="CZ25" s="70" t="n">
        <f aca="false">CY25-CX25</f>
        <v>0</v>
      </c>
      <c r="DA25" s="22"/>
      <c r="DB25" s="22"/>
      <c r="DC25" s="70" t="n">
        <f aca="false">DB25-DA25</f>
        <v>0</v>
      </c>
      <c r="DD25" s="22"/>
      <c r="DE25" s="22"/>
      <c r="DF25" s="70" t="n">
        <f aca="false">DE25-DD25</f>
        <v>0</v>
      </c>
      <c r="DG25" s="22"/>
      <c r="DH25" s="22"/>
      <c r="DI25" s="70" t="n">
        <f aca="false">DH25-DG25</f>
        <v>0</v>
      </c>
      <c r="DJ25" s="22"/>
      <c r="DK25" s="22"/>
      <c r="DL25" s="70" t="n">
        <f aca="false">DK25-DJ25</f>
        <v>0</v>
      </c>
      <c r="DM25" s="22"/>
      <c r="DN25" s="22"/>
      <c r="DO25" s="70" t="n">
        <f aca="false">DN25-DM25</f>
        <v>0</v>
      </c>
      <c r="DP25" s="22"/>
      <c r="DQ25" s="22"/>
      <c r="DR25" s="70" t="n">
        <f aca="false">DQ25-DP25</f>
        <v>0</v>
      </c>
      <c r="DS25" s="22"/>
      <c r="DT25" s="22"/>
      <c r="DU25" s="70" t="n">
        <f aca="false">DT25-DS25</f>
        <v>0</v>
      </c>
      <c r="DV25" s="22"/>
      <c r="DW25" s="22"/>
      <c r="DX25" s="70" t="n">
        <f aca="false">DW25-DV25</f>
        <v>0</v>
      </c>
      <c r="DY25" s="22"/>
      <c r="DZ25" s="22"/>
      <c r="EA25" s="70" t="n">
        <f aca="false">DZ25-DY25</f>
        <v>0</v>
      </c>
      <c r="EB25" s="22"/>
      <c r="EC25" s="22"/>
      <c r="ED25" s="70" t="n">
        <f aca="false">EC25-EB25</f>
        <v>0</v>
      </c>
      <c r="EE25" s="22"/>
      <c r="EF25" s="22"/>
      <c r="EG25" s="70" t="n">
        <f aca="false">EF25-EE25</f>
        <v>0</v>
      </c>
      <c r="EH25" s="22"/>
      <c r="EI25" s="22"/>
      <c r="EJ25" s="70" t="n">
        <f aca="false">EI25-EH25</f>
        <v>0</v>
      </c>
      <c r="EK25" s="22"/>
      <c r="EL25" s="22"/>
      <c r="EM25" s="70" t="n">
        <f aca="false">EL25-EK25</f>
        <v>0</v>
      </c>
      <c r="EN25" s="22"/>
      <c r="EO25" s="22"/>
      <c r="EP25" s="70" t="n">
        <f aca="false">EO25-EN25</f>
        <v>0</v>
      </c>
      <c r="EQ25" s="70" t="n">
        <f aca="false">+C25+F25+I25+L25+O25+R25+U25+X25+AA25+AD25+AG25+AJ25+AM25+AP25+AS25+AV25+AY25+BB25+BE25+BH25+BK25+BN25+BQ25+BT25+BW25+BZ25+CC25+CF25+CI25+CL25+CO25+CR25+CU25+CX25+DA25+DD25+DG25+DJ25+DM25+DP25+DS25+DV25+DY25+EB25+EE25+EH25+EK25+EN25</f>
        <v>315000</v>
      </c>
      <c r="ER25" s="70" t="n">
        <f aca="false">+D25+G25+J25+M25+P25+S25+V25+Y25+AB25+AE25+AH25+AK25+AN25+AQ25+AT25+AW25+AZ25+BC25+BF25+BI25+BL25+BO25+BR25+BU25+BX25+CA25+CD25+CG25+CJ25+CM25+CP25+CS25+CV25+CY25+DB25+DE25+DH25+DK25+DN25+DQ25+DT25+DW25+DZ25+EC25+EF25+EI25+EL25+EO25</f>
        <v>315000</v>
      </c>
      <c r="ES25" s="70" t="n">
        <f aca="false">ER25-EQ25</f>
        <v>0</v>
      </c>
      <c r="ET25" s="22" t="n">
        <f aca="false">+ET24+ES25</f>
        <v>-132349</v>
      </c>
      <c r="EU25" s="74"/>
      <c r="EV25" s="70" t="n">
        <f aca="false">+EQ25-AG25</f>
        <v>65000</v>
      </c>
      <c r="EW25" s="70" t="n">
        <f aca="false">+ER25-AH25</f>
        <v>65000</v>
      </c>
      <c r="EX25" s="22" t="n">
        <f aca="false">+EW25-EV25</f>
        <v>0</v>
      </c>
      <c r="EY25" s="22" t="n">
        <f aca="false">+EY24+EX25</f>
        <v>-61926</v>
      </c>
      <c r="EZ25" s="74"/>
      <c r="FA25" s="22" t="n">
        <f aca="false">+AI25</f>
        <v>0</v>
      </c>
      <c r="FB25" s="22" t="n">
        <f aca="false">+FB24+FA25</f>
        <v>-70423</v>
      </c>
      <c r="FC25" s="74"/>
      <c r="FD25" s="74"/>
      <c r="FE25" s="74"/>
      <c r="FF25" s="74"/>
      <c r="FG25" s="74"/>
      <c r="FH25" s="74"/>
      <c r="FI25" s="74"/>
    </row>
    <row r="26" customFormat="false" ht="12.75" hidden="false" customHeight="false" outlineLevel="0" collapsed="false">
      <c r="A26" s="69" t="n">
        <f aca="false">+BaseloadMarkets!A26</f>
        <v>36698</v>
      </c>
      <c r="B26" s="69" t="str">
        <f aca="false">+BaseloadMarkets!B26</f>
        <v>Wed</v>
      </c>
      <c r="C26" s="22" t="n">
        <f aca="false">5000+5000</f>
        <v>10000</v>
      </c>
      <c r="D26" s="22" t="n">
        <f aca="false">5000+5000</f>
        <v>10000</v>
      </c>
      <c r="E26" s="70" t="n">
        <f aca="false">D26-C26</f>
        <v>0</v>
      </c>
      <c r="F26" s="22" t="n">
        <v>10000</v>
      </c>
      <c r="G26" s="22" t="n">
        <v>10000</v>
      </c>
      <c r="H26" s="70" t="n">
        <f aca="false">G26-F26</f>
        <v>0</v>
      </c>
      <c r="I26" s="22" t="n">
        <v>10000</v>
      </c>
      <c r="J26" s="22" t="n">
        <v>10000</v>
      </c>
      <c r="K26" s="70" t="n">
        <f aca="false">J26-I26</f>
        <v>0</v>
      </c>
      <c r="L26" s="22" t="n">
        <f aca="false">5000+5000</f>
        <v>10000</v>
      </c>
      <c r="M26" s="22" t="n">
        <f aca="false">5000+5000</f>
        <v>10000</v>
      </c>
      <c r="N26" s="70" t="n">
        <f aca="false">M26-L26</f>
        <v>0</v>
      </c>
      <c r="O26" s="22" t="n">
        <v>5000</v>
      </c>
      <c r="P26" s="22" t="n">
        <v>5000</v>
      </c>
      <c r="Q26" s="70" t="n">
        <f aca="false">P26-O26</f>
        <v>0</v>
      </c>
      <c r="R26" s="22" t="n">
        <v>5000</v>
      </c>
      <c r="S26" s="22" t="n">
        <v>5000</v>
      </c>
      <c r="T26" s="70" t="n">
        <f aca="false">S26-R26</f>
        <v>0</v>
      </c>
      <c r="U26" s="22" t="n">
        <v>5000</v>
      </c>
      <c r="V26" s="22" t="n">
        <v>5000</v>
      </c>
      <c r="W26" s="70" t="n">
        <f aca="false">V26-U26</f>
        <v>0</v>
      </c>
      <c r="X26" s="22" t="n">
        <v>10000</v>
      </c>
      <c r="Y26" s="22" t="n">
        <v>10000</v>
      </c>
      <c r="Z26" s="70" t="n">
        <f aca="false">Y26-X26</f>
        <v>0</v>
      </c>
      <c r="AA26" s="22"/>
      <c r="AB26" s="22"/>
      <c r="AC26" s="70" t="n">
        <f aca="false">AB26-AA26</f>
        <v>0</v>
      </c>
      <c r="AD26" s="22"/>
      <c r="AE26" s="22"/>
      <c r="AF26" s="70" t="n">
        <f aca="false">AE26-AD26</f>
        <v>0</v>
      </c>
      <c r="AG26" s="22" t="n">
        <v>150000</v>
      </c>
      <c r="AH26" s="22" t="n">
        <v>150000</v>
      </c>
      <c r="AI26" s="70" t="n">
        <f aca="false">AH26-AG26</f>
        <v>0</v>
      </c>
      <c r="AJ26" s="22"/>
      <c r="AK26" s="22"/>
      <c r="AL26" s="70" t="n">
        <f aca="false">AK26-AJ26</f>
        <v>0</v>
      </c>
      <c r="AM26" s="22"/>
      <c r="AN26" s="22"/>
      <c r="AO26" s="70" t="n">
        <f aca="false">AN26-AM26</f>
        <v>0</v>
      </c>
      <c r="AP26" s="22"/>
      <c r="AQ26" s="22"/>
      <c r="AR26" s="70" t="n">
        <f aca="false">AQ26-AP26</f>
        <v>0</v>
      </c>
      <c r="AS26" s="22"/>
      <c r="AT26" s="22"/>
      <c r="AU26" s="70" t="n">
        <f aca="false">AT26-AS26</f>
        <v>0</v>
      </c>
      <c r="AV26" s="22"/>
      <c r="AW26" s="22"/>
      <c r="AX26" s="70" t="n">
        <f aca="false">AW26-AV26</f>
        <v>0</v>
      </c>
      <c r="AY26" s="22"/>
      <c r="AZ26" s="22"/>
      <c r="BA26" s="70" t="n">
        <f aca="false">AZ26-AY26</f>
        <v>0</v>
      </c>
      <c r="BB26" s="22"/>
      <c r="BC26" s="22"/>
      <c r="BD26" s="70" t="n">
        <f aca="false">BC26-BB26</f>
        <v>0</v>
      </c>
      <c r="BE26" s="22"/>
      <c r="BF26" s="22"/>
      <c r="BG26" s="70" t="n">
        <f aca="false">BF26-BE26</f>
        <v>0</v>
      </c>
      <c r="BH26" s="22"/>
      <c r="BI26" s="22"/>
      <c r="BJ26" s="70" t="n">
        <f aca="false">BI26-BH26</f>
        <v>0</v>
      </c>
      <c r="BK26" s="22"/>
      <c r="BL26" s="22"/>
      <c r="BM26" s="70" t="n">
        <f aca="false">BL26-BK26</f>
        <v>0</v>
      </c>
      <c r="BN26" s="22"/>
      <c r="BO26" s="22"/>
      <c r="BP26" s="70" t="n">
        <f aca="false">BO26-BN26</f>
        <v>0</v>
      </c>
      <c r="BQ26" s="22"/>
      <c r="BR26" s="22"/>
      <c r="BS26" s="70" t="n">
        <f aca="false">BR26-BQ26</f>
        <v>0</v>
      </c>
      <c r="BT26" s="22"/>
      <c r="BU26" s="22"/>
      <c r="BV26" s="70" t="n">
        <f aca="false">BU26-BT26</f>
        <v>0</v>
      </c>
      <c r="BW26" s="22"/>
      <c r="BX26" s="22"/>
      <c r="BY26" s="70" t="n">
        <f aca="false">BX26-BW26</f>
        <v>0</v>
      </c>
      <c r="BZ26" s="22"/>
      <c r="CA26" s="22"/>
      <c r="CB26" s="70" t="n">
        <f aca="false">CA26-BZ26</f>
        <v>0</v>
      </c>
      <c r="CC26" s="22"/>
      <c r="CD26" s="22"/>
      <c r="CE26" s="70" t="n">
        <f aca="false">CD26-CC26</f>
        <v>0</v>
      </c>
      <c r="CF26" s="22"/>
      <c r="CG26" s="22"/>
      <c r="CH26" s="70" t="n">
        <f aca="false">CG26-CF26</f>
        <v>0</v>
      </c>
      <c r="CI26" s="22"/>
      <c r="CJ26" s="22"/>
      <c r="CK26" s="70" t="n">
        <f aca="false">CJ26-CI26</f>
        <v>0</v>
      </c>
      <c r="CL26" s="22"/>
      <c r="CM26" s="22"/>
      <c r="CN26" s="70" t="n">
        <f aca="false">CM26-CL26</f>
        <v>0</v>
      </c>
      <c r="CO26" s="22"/>
      <c r="CP26" s="22"/>
      <c r="CQ26" s="70" t="n">
        <f aca="false">CP26-CO26</f>
        <v>0</v>
      </c>
      <c r="CR26" s="22"/>
      <c r="CS26" s="22"/>
      <c r="CT26" s="70" t="n">
        <f aca="false">CS26-CR26</f>
        <v>0</v>
      </c>
      <c r="CU26" s="22"/>
      <c r="CV26" s="22"/>
      <c r="CW26" s="70" t="n">
        <f aca="false">CV26-CU26</f>
        <v>0</v>
      </c>
      <c r="CX26" s="22"/>
      <c r="CY26" s="22"/>
      <c r="CZ26" s="70" t="n">
        <f aca="false">CY26-CX26</f>
        <v>0</v>
      </c>
      <c r="DA26" s="22"/>
      <c r="DB26" s="22"/>
      <c r="DC26" s="70" t="n">
        <f aca="false">DB26-DA26</f>
        <v>0</v>
      </c>
      <c r="DD26" s="22"/>
      <c r="DE26" s="22"/>
      <c r="DF26" s="70" t="n">
        <f aca="false">DE26-DD26</f>
        <v>0</v>
      </c>
      <c r="DG26" s="22"/>
      <c r="DH26" s="22"/>
      <c r="DI26" s="70" t="n">
        <f aca="false">DH26-DG26</f>
        <v>0</v>
      </c>
      <c r="DJ26" s="22"/>
      <c r="DK26" s="22"/>
      <c r="DL26" s="70" t="n">
        <f aca="false">DK26-DJ26</f>
        <v>0</v>
      </c>
      <c r="DM26" s="22"/>
      <c r="DN26" s="22"/>
      <c r="DO26" s="70" t="n">
        <f aca="false">DN26-DM26</f>
        <v>0</v>
      </c>
      <c r="DP26" s="22"/>
      <c r="DQ26" s="22"/>
      <c r="DR26" s="70" t="n">
        <f aca="false">DQ26-DP26</f>
        <v>0</v>
      </c>
      <c r="DS26" s="22"/>
      <c r="DT26" s="22"/>
      <c r="DU26" s="70" t="n">
        <f aca="false">DT26-DS26</f>
        <v>0</v>
      </c>
      <c r="DV26" s="22"/>
      <c r="DW26" s="22"/>
      <c r="DX26" s="70" t="n">
        <f aca="false">DW26-DV26</f>
        <v>0</v>
      </c>
      <c r="DY26" s="22"/>
      <c r="DZ26" s="22"/>
      <c r="EA26" s="70" t="n">
        <f aca="false">DZ26-DY26</f>
        <v>0</v>
      </c>
      <c r="EB26" s="22"/>
      <c r="EC26" s="22"/>
      <c r="ED26" s="70" t="n">
        <f aca="false">EC26-EB26</f>
        <v>0</v>
      </c>
      <c r="EE26" s="22"/>
      <c r="EF26" s="22"/>
      <c r="EG26" s="70" t="n">
        <f aca="false">EF26-EE26</f>
        <v>0</v>
      </c>
      <c r="EH26" s="22"/>
      <c r="EI26" s="22"/>
      <c r="EJ26" s="70" t="n">
        <f aca="false">EI26-EH26</f>
        <v>0</v>
      </c>
      <c r="EK26" s="22"/>
      <c r="EL26" s="22"/>
      <c r="EM26" s="70" t="n">
        <f aca="false">EL26-EK26</f>
        <v>0</v>
      </c>
      <c r="EN26" s="22"/>
      <c r="EO26" s="22"/>
      <c r="EP26" s="70" t="n">
        <f aca="false">EO26-EN26</f>
        <v>0</v>
      </c>
      <c r="EQ26" s="70" t="n">
        <f aca="false">+C26+F26+I26+L26+O26+R26+U26+X26+AA26+AD26+AG26+AJ26+AM26+AP26+AS26+AV26+AY26+BB26+BE26+BH26+BK26+BN26+BQ26+BT26+BW26+BZ26+CC26+CF26+CI26+CL26+CO26+CR26+CU26+CX26+DA26+DD26+DG26+DJ26+DM26+DP26+DS26+DV26+DY26+EB26+EE26+EH26+EK26+EN26</f>
        <v>215000</v>
      </c>
      <c r="ER26" s="70" t="n">
        <f aca="false">+D26+G26+J26+M26+P26+S26+V26+Y26+AB26+AE26+AH26+AK26+AN26+AQ26+AT26+AW26+AZ26+BC26+BF26+BI26+BL26+BO26+BR26+BU26+BX26+CA26+CD26+CG26+CJ26+CM26+CP26+CS26+CV26+CY26+DB26+DE26+DH26+DK26+DN26+DQ26+DT26+DW26+DZ26+EC26+EF26+EI26+EL26+EO26</f>
        <v>215000</v>
      </c>
      <c r="ES26" s="70" t="n">
        <f aca="false">ER26-EQ26</f>
        <v>0</v>
      </c>
      <c r="ET26" s="22" t="n">
        <f aca="false">+ET25+ES26</f>
        <v>-132349</v>
      </c>
      <c r="EU26" s="74"/>
      <c r="EV26" s="70" t="n">
        <f aca="false">+EQ26-AG26</f>
        <v>65000</v>
      </c>
      <c r="EW26" s="70" t="n">
        <f aca="false">+ER26-AH26</f>
        <v>65000</v>
      </c>
      <c r="EX26" s="22" t="n">
        <f aca="false">+EW26-EV26</f>
        <v>0</v>
      </c>
      <c r="EY26" s="22" t="n">
        <f aca="false">+EY25+EX26</f>
        <v>-61926</v>
      </c>
      <c r="EZ26" s="74"/>
      <c r="FA26" s="22" t="n">
        <f aca="false">+AI26</f>
        <v>0</v>
      </c>
      <c r="FB26" s="22" t="n">
        <f aca="false">+FB25+FA26</f>
        <v>-70423</v>
      </c>
      <c r="FC26" s="74"/>
      <c r="FD26" s="74"/>
      <c r="FE26" s="74"/>
      <c r="FF26" s="74"/>
      <c r="FG26" s="74"/>
      <c r="FH26" s="74"/>
      <c r="FI26" s="74"/>
    </row>
    <row r="27" customFormat="false" ht="12.75" hidden="false" customHeight="false" outlineLevel="0" collapsed="false">
      <c r="A27" s="69" t="n">
        <f aca="false">+BaseloadMarkets!A27</f>
        <v>36699</v>
      </c>
      <c r="B27" s="69" t="str">
        <f aca="false">+BaseloadMarkets!B27</f>
        <v>Thu</v>
      </c>
      <c r="C27" s="22" t="n">
        <f aca="false">5000+5000</f>
        <v>10000</v>
      </c>
      <c r="D27" s="22" t="n">
        <f aca="false">5000+5000</f>
        <v>10000</v>
      </c>
      <c r="E27" s="70" t="n">
        <f aca="false">D27-C27</f>
        <v>0</v>
      </c>
      <c r="F27" s="22" t="n">
        <v>10000</v>
      </c>
      <c r="G27" s="22" t="n">
        <v>10000</v>
      </c>
      <c r="H27" s="70" t="n">
        <f aca="false">G27-F27</f>
        <v>0</v>
      </c>
      <c r="I27" s="22" t="n">
        <v>10000</v>
      </c>
      <c r="J27" s="22" t="n">
        <v>10000</v>
      </c>
      <c r="K27" s="70" t="n">
        <f aca="false">J27-I27</f>
        <v>0</v>
      </c>
      <c r="L27" s="22" t="n">
        <f aca="false">5000+5000</f>
        <v>10000</v>
      </c>
      <c r="M27" s="22" t="n">
        <f aca="false">5000+5000</f>
        <v>10000</v>
      </c>
      <c r="N27" s="70" t="n">
        <f aca="false">M27-L27</f>
        <v>0</v>
      </c>
      <c r="O27" s="22" t="n">
        <v>5000</v>
      </c>
      <c r="P27" s="22" t="n">
        <v>0</v>
      </c>
      <c r="Q27" s="70" t="n">
        <f aca="false">P27-O27</f>
        <v>-5000</v>
      </c>
      <c r="R27" s="22" t="n">
        <v>5000</v>
      </c>
      <c r="S27" s="22" t="n">
        <v>5000</v>
      </c>
      <c r="T27" s="70" t="n">
        <f aca="false">S27-R27</f>
        <v>0</v>
      </c>
      <c r="U27" s="22" t="n">
        <v>5000</v>
      </c>
      <c r="V27" s="22" t="n">
        <v>5000</v>
      </c>
      <c r="W27" s="70" t="n">
        <f aca="false">V27-U27</f>
        <v>0</v>
      </c>
      <c r="X27" s="22" t="n">
        <v>10000</v>
      </c>
      <c r="Y27" s="22" t="n">
        <v>10000</v>
      </c>
      <c r="Z27" s="70" t="n">
        <f aca="false">Y27-X27</f>
        <v>0</v>
      </c>
      <c r="AA27" s="22"/>
      <c r="AB27" s="22"/>
      <c r="AC27" s="70" t="n">
        <f aca="false">AB27-AA27</f>
        <v>0</v>
      </c>
      <c r="AD27" s="22"/>
      <c r="AE27" s="22"/>
      <c r="AF27" s="70" t="n">
        <f aca="false">AE27-AD27</f>
        <v>0</v>
      </c>
      <c r="AG27" s="22" t="n">
        <v>125000</v>
      </c>
      <c r="AH27" s="22" t="n">
        <f aca="false">125000</f>
        <v>125000</v>
      </c>
      <c r="AI27" s="70" t="n">
        <f aca="false">AH27-AG27</f>
        <v>0</v>
      </c>
      <c r="AJ27" s="22"/>
      <c r="AK27" s="22"/>
      <c r="AL27" s="70" t="n">
        <f aca="false">AK27-AJ27</f>
        <v>0</v>
      </c>
      <c r="AM27" s="22"/>
      <c r="AN27" s="22"/>
      <c r="AO27" s="70" t="n">
        <f aca="false">AN27-AM27</f>
        <v>0</v>
      </c>
      <c r="AP27" s="22"/>
      <c r="AQ27" s="22"/>
      <c r="AR27" s="70" t="n">
        <f aca="false">AQ27-AP27</f>
        <v>0</v>
      </c>
      <c r="AS27" s="22"/>
      <c r="AT27" s="22"/>
      <c r="AU27" s="70" t="n">
        <f aca="false">AT27-AS27</f>
        <v>0</v>
      </c>
      <c r="AV27" s="22"/>
      <c r="AW27" s="22"/>
      <c r="AX27" s="70" t="n">
        <f aca="false">AW27-AV27</f>
        <v>0</v>
      </c>
      <c r="AY27" s="22"/>
      <c r="AZ27" s="22"/>
      <c r="BA27" s="70" t="n">
        <f aca="false">AZ27-AY27</f>
        <v>0</v>
      </c>
      <c r="BB27" s="22"/>
      <c r="BC27" s="22"/>
      <c r="BD27" s="70" t="n">
        <f aca="false">BC27-BB27</f>
        <v>0</v>
      </c>
      <c r="BE27" s="22"/>
      <c r="BF27" s="22"/>
      <c r="BG27" s="70" t="n">
        <f aca="false">BF27-BE27</f>
        <v>0</v>
      </c>
      <c r="BH27" s="22"/>
      <c r="BI27" s="22"/>
      <c r="BJ27" s="70" t="n">
        <f aca="false">BI27-BH27</f>
        <v>0</v>
      </c>
      <c r="BK27" s="22"/>
      <c r="BL27" s="22"/>
      <c r="BM27" s="70" t="n">
        <f aca="false">BL27-BK27</f>
        <v>0</v>
      </c>
      <c r="BN27" s="22"/>
      <c r="BO27" s="22"/>
      <c r="BP27" s="70" t="n">
        <f aca="false">BO27-BN27</f>
        <v>0</v>
      </c>
      <c r="BQ27" s="22"/>
      <c r="BR27" s="22"/>
      <c r="BS27" s="70" t="n">
        <f aca="false">BR27-BQ27</f>
        <v>0</v>
      </c>
      <c r="BT27" s="22"/>
      <c r="BU27" s="22"/>
      <c r="BV27" s="70" t="n">
        <f aca="false">BU27-BT27</f>
        <v>0</v>
      </c>
      <c r="BW27" s="22"/>
      <c r="BX27" s="22"/>
      <c r="BY27" s="70" t="n">
        <f aca="false">BX27-BW27</f>
        <v>0</v>
      </c>
      <c r="BZ27" s="22"/>
      <c r="CA27" s="22"/>
      <c r="CB27" s="70" t="n">
        <f aca="false">CA27-BZ27</f>
        <v>0</v>
      </c>
      <c r="CC27" s="22"/>
      <c r="CD27" s="22"/>
      <c r="CE27" s="70" t="n">
        <f aca="false">CD27-CC27</f>
        <v>0</v>
      </c>
      <c r="CF27" s="22"/>
      <c r="CG27" s="22"/>
      <c r="CH27" s="70" t="n">
        <f aca="false">CG27-CF27</f>
        <v>0</v>
      </c>
      <c r="CI27" s="22"/>
      <c r="CJ27" s="22"/>
      <c r="CK27" s="70" t="n">
        <f aca="false">CJ27-CI27</f>
        <v>0</v>
      </c>
      <c r="CL27" s="22"/>
      <c r="CM27" s="22"/>
      <c r="CN27" s="70" t="n">
        <f aca="false">CM27-CL27</f>
        <v>0</v>
      </c>
      <c r="CO27" s="22"/>
      <c r="CP27" s="22"/>
      <c r="CQ27" s="70" t="n">
        <f aca="false">CP27-CO27</f>
        <v>0</v>
      </c>
      <c r="CR27" s="22"/>
      <c r="CS27" s="22"/>
      <c r="CT27" s="70" t="n">
        <f aca="false">CS27-CR27</f>
        <v>0</v>
      </c>
      <c r="CU27" s="22"/>
      <c r="CV27" s="22"/>
      <c r="CW27" s="70" t="n">
        <f aca="false">CV27-CU27</f>
        <v>0</v>
      </c>
      <c r="CX27" s="22"/>
      <c r="CY27" s="22"/>
      <c r="CZ27" s="70" t="n">
        <f aca="false">CY27-CX27</f>
        <v>0</v>
      </c>
      <c r="DA27" s="22"/>
      <c r="DB27" s="22"/>
      <c r="DC27" s="70" t="n">
        <f aca="false">DB27-DA27</f>
        <v>0</v>
      </c>
      <c r="DD27" s="22"/>
      <c r="DE27" s="22"/>
      <c r="DF27" s="70" t="n">
        <f aca="false">DE27-DD27</f>
        <v>0</v>
      </c>
      <c r="DG27" s="22"/>
      <c r="DH27" s="22"/>
      <c r="DI27" s="70" t="n">
        <f aca="false">DH27-DG27</f>
        <v>0</v>
      </c>
      <c r="DJ27" s="22"/>
      <c r="DK27" s="22"/>
      <c r="DL27" s="70" t="n">
        <f aca="false">DK27-DJ27</f>
        <v>0</v>
      </c>
      <c r="DM27" s="22"/>
      <c r="DN27" s="22"/>
      <c r="DO27" s="70" t="n">
        <f aca="false">DN27-DM27</f>
        <v>0</v>
      </c>
      <c r="DP27" s="22"/>
      <c r="DQ27" s="22"/>
      <c r="DR27" s="70" t="n">
        <f aca="false">DQ27-DP27</f>
        <v>0</v>
      </c>
      <c r="DS27" s="22"/>
      <c r="DT27" s="22"/>
      <c r="DU27" s="70" t="n">
        <f aca="false">DT27-DS27</f>
        <v>0</v>
      </c>
      <c r="DV27" s="22"/>
      <c r="DW27" s="22"/>
      <c r="DX27" s="70" t="n">
        <f aca="false">DW27-DV27</f>
        <v>0</v>
      </c>
      <c r="DY27" s="22"/>
      <c r="DZ27" s="22"/>
      <c r="EA27" s="70" t="n">
        <f aca="false">DZ27-DY27</f>
        <v>0</v>
      </c>
      <c r="EB27" s="22"/>
      <c r="EC27" s="22"/>
      <c r="ED27" s="70" t="n">
        <f aca="false">EC27-EB27</f>
        <v>0</v>
      </c>
      <c r="EE27" s="22"/>
      <c r="EF27" s="22"/>
      <c r="EG27" s="70" t="n">
        <f aca="false">EF27-EE27</f>
        <v>0</v>
      </c>
      <c r="EH27" s="22"/>
      <c r="EI27" s="22"/>
      <c r="EJ27" s="70" t="n">
        <f aca="false">EI27-EH27</f>
        <v>0</v>
      </c>
      <c r="EK27" s="22"/>
      <c r="EL27" s="22"/>
      <c r="EM27" s="70" t="n">
        <f aca="false">EL27-EK27</f>
        <v>0</v>
      </c>
      <c r="EN27" s="22"/>
      <c r="EO27" s="22"/>
      <c r="EP27" s="70" t="n">
        <f aca="false">EO27-EN27</f>
        <v>0</v>
      </c>
      <c r="EQ27" s="70" t="n">
        <f aca="false">+C27+F27+I27+L27+O27+R27+U27+X27+AA27+AD27+AG27+AJ27+AM27+AP27+AS27+AV27+AY27+BB27+BE27+BH27+BK27+BN27+BQ27+BT27+BW27+BZ27+CC27+CF27+CI27+CL27+CO27+CR27+CU27+CX27+DA27+DD27+DG27+DJ27+DM27+DP27+DS27+DV27+DY27+EB27+EE27+EH27+EK27+EN27</f>
        <v>190000</v>
      </c>
      <c r="ER27" s="70" t="n">
        <f aca="false">+D27+G27+J27+M27+P27+S27+V27+Y27+AB27+AE27+AH27+AK27+AN27+AQ27+AT27+AW27+AZ27+BC27+BF27+BI27+BL27+BO27+BR27+BU27+BX27+CA27+CD27+CG27+CJ27+CM27+CP27+CS27+CV27+CY27+DB27+DE27+DH27+DK27+DN27+DQ27+DT27+DW27+DZ27+EC27+EF27+EI27+EL27+EO27</f>
        <v>185000</v>
      </c>
      <c r="ES27" s="70" t="n">
        <f aca="false">ER27-EQ27</f>
        <v>-5000</v>
      </c>
      <c r="ET27" s="22" t="n">
        <f aca="false">+ET26+ES27</f>
        <v>-137349</v>
      </c>
      <c r="EU27" s="74"/>
      <c r="EV27" s="70" t="n">
        <f aca="false">+EQ27-AG27</f>
        <v>65000</v>
      </c>
      <c r="EW27" s="70" t="n">
        <f aca="false">+ER27-AH27</f>
        <v>60000</v>
      </c>
      <c r="EX27" s="22" t="n">
        <f aca="false">+EW27-EV27</f>
        <v>-5000</v>
      </c>
      <c r="EY27" s="22" t="n">
        <f aca="false">+EY26+EX27</f>
        <v>-66926</v>
      </c>
      <c r="EZ27" s="74"/>
      <c r="FA27" s="22" t="n">
        <f aca="false">+AI27</f>
        <v>0</v>
      </c>
      <c r="FB27" s="22" t="n">
        <f aca="false">+FB26+FA27</f>
        <v>-70423</v>
      </c>
      <c r="FC27" s="74"/>
      <c r="FD27" s="74"/>
      <c r="FE27" s="74"/>
      <c r="FF27" s="74"/>
      <c r="FG27" s="74"/>
      <c r="FH27" s="74"/>
      <c r="FI27" s="74"/>
    </row>
    <row r="28" customFormat="false" ht="12.75" hidden="false" customHeight="false" outlineLevel="0" collapsed="false">
      <c r="A28" s="69" t="n">
        <f aca="false">+BaseloadMarkets!A28</f>
        <v>36700</v>
      </c>
      <c r="B28" s="69" t="str">
        <f aca="false">+BaseloadMarkets!B28</f>
        <v>Fri</v>
      </c>
      <c r="C28" s="22" t="n">
        <f aca="false">5000+5000</f>
        <v>10000</v>
      </c>
      <c r="D28" s="22" t="n">
        <f aca="false">5000+5000</f>
        <v>10000</v>
      </c>
      <c r="E28" s="70" t="n">
        <f aca="false">D28-C28</f>
        <v>0</v>
      </c>
      <c r="F28" s="22" t="n">
        <v>10000</v>
      </c>
      <c r="G28" s="22" t="n">
        <v>10000</v>
      </c>
      <c r="H28" s="70" t="n">
        <f aca="false">G28-F28</f>
        <v>0</v>
      </c>
      <c r="I28" s="22" t="n">
        <v>10000</v>
      </c>
      <c r="J28" s="22" t="n">
        <v>10000</v>
      </c>
      <c r="K28" s="70" t="n">
        <f aca="false">J28-I28</f>
        <v>0</v>
      </c>
      <c r="L28" s="22" t="n">
        <f aca="false">5000+5000</f>
        <v>10000</v>
      </c>
      <c r="M28" s="22" t="n">
        <f aca="false">5000+5000</f>
        <v>10000</v>
      </c>
      <c r="N28" s="70" t="n">
        <f aca="false">M28-L28</f>
        <v>0</v>
      </c>
      <c r="O28" s="22" t="n">
        <v>5000</v>
      </c>
      <c r="P28" s="22" t="n">
        <v>5000</v>
      </c>
      <c r="Q28" s="70" t="n">
        <f aca="false">P28-O28</f>
        <v>0</v>
      </c>
      <c r="R28" s="22" t="n">
        <v>5000</v>
      </c>
      <c r="S28" s="22" t="n">
        <v>5000</v>
      </c>
      <c r="T28" s="70" t="n">
        <f aca="false">S28-R28</f>
        <v>0</v>
      </c>
      <c r="U28" s="22" t="n">
        <v>5000</v>
      </c>
      <c r="V28" s="22" t="n">
        <v>5000</v>
      </c>
      <c r="W28" s="70" t="n">
        <f aca="false">V28-U28</f>
        <v>0</v>
      </c>
      <c r="X28" s="22" t="n">
        <v>10000</v>
      </c>
      <c r="Y28" s="22" t="n">
        <v>10000</v>
      </c>
      <c r="Z28" s="70" t="n">
        <f aca="false">Y28-X28</f>
        <v>0</v>
      </c>
      <c r="AA28" s="22"/>
      <c r="AB28" s="22"/>
      <c r="AC28" s="70" t="n">
        <f aca="false">AB28-AA28</f>
        <v>0</v>
      </c>
      <c r="AD28" s="22"/>
      <c r="AE28" s="22"/>
      <c r="AF28" s="70" t="n">
        <f aca="false">AE28-AD28</f>
        <v>0</v>
      </c>
      <c r="AG28" s="22" t="n">
        <v>530000</v>
      </c>
      <c r="AH28" s="22" t="n">
        <v>530000</v>
      </c>
      <c r="AI28" s="70" t="n">
        <f aca="false">AH28-AG28</f>
        <v>0</v>
      </c>
      <c r="AJ28" s="22"/>
      <c r="AK28" s="22"/>
      <c r="AL28" s="70" t="n">
        <f aca="false">AK28-AJ28</f>
        <v>0</v>
      </c>
      <c r="AM28" s="22"/>
      <c r="AN28" s="22"/>
      <c r="AO28" s="70" t="n">
        <f aca="false">AN28-AM28</f>
        <v>0</v>
      </c>
      <c r="AP28" s="22"/>
      <c r="AQ28" s="22"/>
      <c r="AR28" s="70" t="n">
        <f aca="false">AQ28-AP28</f>
        <v>0</v>
      </c>
      <c r="AS28" s="22"/>
      <c r="AT28" s="22"/>
      <c r="AU28" s="70" t="n">
        <f aca="false">AT28-AS28</f>
        <v>0</v>
      </c>
      <c r="AV28" s="22"/>
      <c r="AW28" s="22"/>
      <c r="AX28" s="70" t="n">
        <f aca="false">AW28-AV28</f>
        <v>0</v>
      </c>
      <c r="AY28" s="22"/>
      <c r="AZ28" s="22"/>
      <c r="BA28" s="70" t="n">
        <f aca="false">AZ28-AY28</f>
        <v>0</v>
      </c>
      <c r="BB28" s="22"/>
      <c r="BC28" s="22"/>
      <c r="BD28" s="70" t="n">
        <f aca="false">BC28-BB28</f>
        <v>0</v>
      </c>
      <c r="BE28" s="22"/>
      <c r="BF28" s="22"/>
      <c r="BG28" s="70" t="n">
        <f aca="false">BF28-BE28</f>
        <v>0</v>
      </c>
      <c r="BH28" s="22"/>
      <c r="BI28" s="22"/>
      <c r="BJ28" s="70" t="n">
        <f aca="false">BI28-BH28</f>
        <v>0</v>
      </c>
      <c r="BK28" s="22"/>
      <c r="BL28" s="22"/>
      <c r="BM28" s="70" t="n">
        <f aca="false">BL28-BK28</f>
        <v>0</v>
      </c>
      <c r="BN28" s="22"/>
      <c r="BO28" s="22"/>
      <c r="BP28" s="70" t="n">
        <f aca="false">BO28-BN28</f>
        <v>0</v>
      </c>
      <c r="BQ28" s="22"/>
      <c r="BR28" s="22"/>
      <c r="BS28" s="70" t="n">
        <f aca="false">BR28-BQ28</f>
        <v>0</v>
      </c>
      <c r="BT28" s="22"/>
      <c r="BU28" s="22"/>
      <c r="BV28" s="70" t="n">
        <f aca="false">BU28-BT28</f>
        <v>0</v>
      </c>
      <c r="BW28" s="22"/>
      <c r="BX28" s="22"/>
      <c r="BY28" s="70" t="n">
        <f aca="false">BX28-BW28</f>
        <v>0</v>
      </c>
      <c r="BZ28" s="22"/>
      <c r="CA28" s="22"/>
      <c r="CB28" s="70" t="n">
        <f aca="false">CA28-BZ28</f>
        <v>0</v>
      </c>
      <c r="CC28" s="22"/>
      <c r="CD28" s="22"/>
      <c r="CE28" s="70" t="n">
        <f aca="false">CD28-CC28</f>
        <v>0</v>
      </c>
      <c r="CF28" s="22"/>
      <c r="CG28" s="22"/>
      <c r="CH28" s="70" t="n">
        <f aca="false">CG28-CF28</f>
        <v>0</v>
      </c>
      <c r="CI28" s="22"/>
      <c r="CJ28" s="22"/>
      <c r="CK28" s="70" t="n">
        <f aca="false">CJ28-CI28</f>
        <v>0</v>
      </c>
      <c r="CL28" s="22"/>
      <c r="CM28" s="22"/>
      <c r="CN28" s="70" t="n">
        <f aca="false">CM28-CL28</f>
        <v>0</v>
      </c>
      <c r="CO28" s="22"/>
      <c r="CP28" s="22"/>
      <c r="CQ28" s="70" t="n">
        <f aca="false">CP28-CO28</f>
        <v>0</v>
      </c>
      <c r="CR28" s="22"/>
      <c r="CS28" s="22"/>
      <c r="CT28" s="70" t="n">
        <f aca="false">CS28-CR28</f>
        <v>0</v>
      </c>
      <c r="CU28" s="22"/>
      <c r="CV28" s="22"/>
      <c r="CW28" s="70" t="n">
        <f aca="false">CV28-CU28</f>
        <v>0</v>
      </c>
      <c r="CX28" s="22"/>
      <c r="CY28" s="22"/>
      <c r="CZ28" s="70" t="n">
        <f aca="false">CY28-CX28</f>
        <v>0</v>
      </c>
      <c r="DA28" s="22"/>
      <c r="DB28" s="22"/>
      <c r="DC28" s="70" t="n">
        <f aca="false">DB28-DA28</f>
        <v>0</v>
      </c>
      <c r="DD28" s="22"/>
      <c r="DE28" s="22"/>
      <c r="DF28" s="70" t="n">
        <f aca="false">DE28-DD28</f>
        <v>0</v>
      </c>
      <c r="DG28" s="22"/>
      <c r="DH28" s="22"/>
      <c r="DI28" s="70" t="n">
        <f aca="false">DH28-DG28</f>
        <v>0</v>
      </c>
      <c r="DJ28" s="22"/>
      <c r="DK28" s="22"/>
      <c r="DL28" s="70" t="n">
        <f aca="false">DK28-DJ28</f>
        <v>0</v>
      </c>
      <c r="DM28" s="22"/>
      <c r="DN28" s="22"/>
      <c r="DO28" s="70" t="n">
        <f aca="false">DN28-DM28</f>
        <v>0</v>
      </c>
      <c r="DP28" s="22"/>
      <c r="DQ28" s="22"/>
      <c r="DR28" s="70" t="n">
        <f aca="false">DQ28-DP28</f>
        <v>0</v>
      </c>
      <c r="DS28" s="22"/>
      <c r="DT28" s="22"/>
      <c r="DU28" s="70" t="n">
        <f aca="false">DT28-DS28</f>
        <v>0</v>
      </c>
      <c r="DV28" s="22"/>
      <c r="DW28" s="22"/>
      <c r="DX28" s="70" t="n">
        <f aca="false">DW28-DV28</f>
        <v>0</v>
      </c>
      <c r="DY28" s="22"/>
      <c r="DZ28" s="22"/>
      <c r="EA28" s="70" t="n">
        <f aca="false">DZ28-DY28</f>
        <v>0</v>
      </c>
      <c r="EB28" s="22"/>
      <c r="EC28" s="22"/>
      <c r="ED28" s="70" t="n">
        <f aca="false">EC28-EB28</f>
        <v>0</v>
      </c>
      <c r="EE28" s="22"/>
      <c r="EF28" s="22"/>
      <c r="EG28" s="70" t="n">
        <f aca="false">EF28-EE28</f>
        <v>0</v>
      </c>
      <c r="EH28" s="22"/>
      <c r="EI28" s="22"/>
      <c r="EJ28" s="70" t="n">
        <f aca="false">EI28-EH28</f>
        <v>0</v>
      </c>
      <c r="EK28" s="22"/>
      <c r="EL28" s="22"/>
      <c r="EM28" s="70" t="n">
        <f aca="false">EL28-EK28</f>
        <v>0</v>
      </c>
      <c r="EN28" s="22"/>
      <c r="EO28" s="22"/>
      <c r="EP28" s="70" t="n">
        <f aca="false">EO28-EN28</f>
        <v>0</v>
      </c>
      <c r="EQ28" s="70" t="n">
        <f aca="false">+C28+F28+I28+L28+O28+R28+U28+X28+AA28+AD28+AG28+AJ28+AM28+AP28+AS28+AV28+AY28+BB28+BE28+BH28+BK28+BN28+BQ28+BT28+BW28+BZ28+CC28+CF28+CI28+CL28+CO28+CR28+CU28+CX28+DA28+DD28+DG28+DJ28+DM28+DP28+DS28+DV28+DY28+EB28+EE28+EH28+EK28+EN28</f>
        <v>595000</v>
      </c>
      <c r="ER28" s="70" t="n">
        <f aca="false">+D28+G28+J28+M28+P28+S28+V28+Y28+AB28+AE28+AH28+AK28+AN28+AQ28+AT28+AW28+AZ28+BC28+BF28+BI28+BL28+BO28+BR28+BU28+BX28+CA28+CD28+CG28+CJ28+CM28+CP28+CS28+CV28+CY28+DB28+DE28+DH28+DK28+DN28+DQ28+DT28+DW28+DZ28+EC28+EF28+EI28+EL28+EO28</f>
        <v>595000</v>
      </c>
      <c r="ES28" s="70" t="n">
        <f aca="false">ER28-EQ28</f>
        <v>0</v>
      </c>
      <c r="ET28" s="22" t="n">
        <f aca="false">+ET27+ES28</f>
        <v>-137349</v>
      </c>
      <c r="EU28" s="74"/>
      <c r="EV28" s="70" t="n">
        <f aca="false">+EQ28-AG28</f>
        <v>65000</v>
      </c>
      <c r="EW28" s="70" t="n">
        <f aca="false">+ER28-AH28</f>
        <v>65000</v>
      </c>
      <c r="EX28" s="22" t="n">
        <f aca="false">+EW28-EV28</f>
        <v>0</v>
      </c>
      <c r="EY28" s="22" t="n">
        <f aca="false">+EY27+EX28</f>
        <v>-66926</v>
      </c>
      <c r="EZ28" s="74"/>
      <c r="FA28" s="22" t="n">
        <f aca="false">+AI28</f>
        <v>0</v>
      </c>
      <c r="FB28" s="22" t="n">
        <f aca="false">+FB27+FA28</f>
        <v>-70423</v>
      </c>
      <c r="FC28" s="74"/>
      <c r="FD28" s="74"/>
      <c r="FE28" s="74"/>
      <c r="FF28" s="74"/>
      <c r="FG28" s="74"/>
      <c r="FH28" s="74"/>
      <c r="FI28" s="74"/>
    </row>
    <row r="29" customFormat="false" ht="12.75" hidden="false" customHeight="false" outlineLevel="0" collapsed="false">
      <c r="A29" s="69" t="n">
        <f aca="false">+BaseloadMarkets!A29</f>
        <v>36701</v>
      </c>
      <c r="B29" s="69" t="str">
        <f aca="false">+BaseloadMarkets!B29</f>
        <v>Sat</v>
      </c>
      <c r="C29" s="22" t="n">
        <f aca="false">5000+5000</f>
        <v>10000</v>
      </c>
      <c r="D29" s="22" t="n">
        <f aca="false">5000+5000</f>
        <v>10000</v>
      </c>
      <c r="E29" s="70" t="n">
        <f aca="false">D29-C29</f>
        <v>0</v>
      </c>
      <c r="F29" s="22" t="n">
        <v>10000</v>
      </c>
      <c r="G29" s="22" t="n">
        <v>10000</v>
      </c>
      <c r="H29" s="70" t="n">
        <f aca="false">G29-F29</f>
        <v>0</v>
      </c>
      <c r="I29" s="22" t="n">
        <v>10000</v>
      </c>
      <c r="J29" s="22" t="n">
        <v>10000</v>
      </c>
      <c r="K29" s="70" t="n">
        <f aca="false">J29-I29</f>
        <v>0</v>
      </c>
      <c r="L29" s="22" t="n">
        <f aca="false">5000+5000</f>
        <v>10000</v>
      </c>
      <c r="M29" s="22" t="n">
        <f aca="false">5000+5000</f>
        <v>10000</v>
      </c>
      <c r="N29" s="70" t="n">
        <f aca="false">M29-L29</f>
        <v>0</v>
      </c>
      <c r="O29" s="22" t="n">
        <v>5000</v>
      </c>
      <c r="P29" s="22" t="n">
        <v>5000</v>
      </c>
      <c r="Q29" s="70" t="n">
        <f aca="false">P29-O29</f>
        <v>0</v>
      </c>
      <c r="R29" s="22" t="n">
        <v>5000</v>
      </c>
      <c r="S29" s="22" t="n">
        <v>5000</v>
      </c>
      <c r="T29" s="70" t="n">
        <f aca="false">S29-R29</f>
        <v>0</v>
      </c>
      <c r="U29" s="22" t="n">
        <v>5000</v>
      </c>
      <c r="V29" s="22" t="n">
        <v>5000</v>
      </c>
      <c r="W29" s="70" t="n">
        <f aca="false">V29-U29</f>
        <v>0</v>
      </c>
      <c r="X29" s="22" t="n">
        <v>10000</v>
      </c>
      <c r="Y29" s="22" t="n">
        <v>10000</v>
      </c>
      <c r="Z29" s="70" t="n">
        <f aca="false">Y29-X29</f>
        <v>0</v>
      </c>
      <c r="AA29" s="22"/>
      <c r="AB29" s="22"/>
      <c r="AC29" s="70" t="n">
        <f aca="false">AB29-AA29</f>
        <v>0</v>
      </c>
      <c r="AD29" s="22"/>
      <c r="AE29" s="22"/>
      <c r="AF29" s="70" t="n">
        <f aca="false">AE29-AD29</f>
        <v>0</v>
      </c>
      <c r="AG29" s="22" t="n">
        <v>160000</v>
      </c>
      <c r="AH29" s="22" t="n">
        <v>160000</v>
      </c>
      <c r="AI29" s="70" t="n">
        <f aca="false">AH29-AG29</f>
        <v>0</v>
      </c>
      <c r="AJ29" s="22"/>
      <c r="AK29" s="22"/>
      <c r="AL29" s="70" t="n">
        <f aca="false">AK29-AJ29</f>
        <v>0</v>
      </c>
      <c r="AM29" s="22"/>
      <c r="AN29" s="22"/>
      <c r="AO29" s="70" t="n">
        <f aca="false">AN29-AM29</f>
        <v>0</v>
      </c>
      <c r="AP29" s="22"/>
      <c r="AQ29" s="22"/>
      <c r="AR29" s="70" t="n">
        <f aca="false">AQ29-AP29</f>
        <v>0</v>
      </c>
      <c r="AS29" s="22"/>
      <c r="AT29" s="22"/>
      <c r="AU29" s="70" t="n">
        <f aca="false">AT29-AS29</f>
        <v>0</v>
      </c>
      <c r="AV29" s="22"/>
      <c r="AW29" s="22"/>
      <c r="AX29" s="70" t="n">
        <f aca="false">AW29-AV29</f>
        <v>0</v>
      </c>
      <c r="AY29" s="22"/>
      <c r="AZ29" s="22"/>
      <c r="BA29" s="70" t="n">
        <f aca="false">AZ29-AY29</f>
        <v>0</v>
      </c>
      <c r="BB29" s="22"/>
      <c r="BC29" s="22"/>
      <c r="BD29" s="70" t="n">
        <f aca="false">BC29-BB29</f>
        <v>0</v>
      </c>
      <c r="BE29" s="22"/>
      <c r="BF29" s="22"/>
      <c r="BG29" s="70" t="n">
        <f aca="false">BF29-BE29</f>
        <v>0</v>
      </c>
      <c r="BH29" s="22"/>
      <c r="BI29" s="22"/>
      <c r="BJ29" s="70" t="n">
        <f aca="false">BI29-BH29</f>
        <v>0</v>
      </c>
      <c r="BK29" s="22"/>
      <c r="BL29" s="22"/>
      <c r="BM29" s="70" t="n">
        <f aca="false">BL29-BK29</f>
        <v>0</v>
      </c>
      <c r="BN29" s="22"/>
      <c r="BO29" s="22"/>
      <c r="BP29" s="70" t="n">
        <f aca="false">BO29-BN29</f>
        <v>0</v>
      </c>
      <c r="BQ29" s="22"/>
      <c r="BR29" s="22"/>
      <c r="BS29" s="70" t="n">
        <f aca="false">BR29-BQ29</f>
        <v>0</v>
      </c>
      <c r="BT29" s="22"/>
      <c r="BU29" s="22"/>
      <c r="BV29" s="70" t="n">
        <f aca="false">BU29-BT29</f>
        <v>0</v>
      </c>
      <c r="BW29" s="22"/>
      <c r="BX29" s="22"/>
      <c r="BY29" s="70" t="n">
        <f aca="false">BX29-BW29</f>
        <v>0</v>
      </c>
      <c r="BZ29" s="22"/>
      <c r="CA29" s="22"/>
      <c r="CB29" s="70" t="n">
        <f aca="false">CA29-BZ29</f>
        <v>0</v>
      </c>
      <c r="CC29" s="22"/>
      <c r="CD29" s="22"/>
      <c r="CE29" s="70" t="n">
        <f aca="false">CD29-CC29</f>
        <v>0</v>
      </c>
      <c r="CF29" s="22"/>
      <c r="CG29" s="22"/>
      <c r="CH29" s="70" t="n">
        <f aca="false">CG29-CF29</f>
        <v>0</v>
      </c>
      <c r="CI29" s="22"/>
      <c r="CJ29" s="22"/>
      <c r="CK29" s="70" t="n">
        <f aca="false">CJ29-CI29</f>
        <v>0</v>
      </c>
      <c r="CL29" s="22"/>
      <c r="CM29" s="22"/>
      <c r="CN29" s="70" t="n">
        <f aca="false">CM29-CL29</f>
        <v>0</v>
      </c>
      <c r="CO29" s="22"/>
      <c r="CP29" s="22"/>
      <c r="CQ29" s="70" t="n">
        <f aca="false">CP29-CO29</f>
        <v>0</v>
      </c>
      <c r="CR29" s="22"/>
      <c r="CS29" s="22"/>
      <c r="CT29" s="70" t="n">
        <f aca="false">CS29-CR29</f>
        <v>0</v>
      </c>
      <c r="CU29" s="22"/>
      <c r="CV29" s="22"/>
      <c r="CW29" s="70" t="n">
        <f aca="false">CV29-CU29</f>
        <v>0</v>
      </c>
      <c r="CX29" s="22"/>
      <c r="CY29" s="22"/>
      <c r="CZ29" s="70" t="n">
        <f aca="false">CY29-CX29</f>
        <v>0</v>
      </c>
      <c r="DA29" s="22"/>
      <c r="DB29" s="22"/>
      <c r="DC29" s="70" t="n">
        <f aca="false">DB29-DA29</f>
        <v>0</v>
      </c>
      <c r="DD29" s="22"/>
      <c r="DE29" s="22"/>
      <c r="DF29" s="70" t="n">
        <f aca="false">DE29-DD29</f>
        <v>0</v>
      </c>
      <c r="DG29" s="22"/>
      <c r="DH29" s="22"/>
      <c r="DI29" s="70" t="n">
        <f aca="false">DH29-DG29</f>
        <v>0</v>
      </c>
      <c r="DJ29" s="22"/>
      <c r="DK29" s="22"/>
      <c r="DL29" s="70" t="n">
        <f aca="false">DK29-DJ29</f>
        <v>0</v>
      </c>
      <c r="DM29" s="22"/>
      <c r="DN29" s="22"/>
      <c r="DO29" s="70" t="n">
        <f aca="false">DN29-DM29</f>
        <v>0</v>
      </c>
      <c r="DP29" s="22"/>
      <c r="DQ29" s="22"/>
      <c r="DR29" s="70" t="n">
        <f aca="false">DQ29-DP29</f>
        <v>0</v>
      </c>
      <c r="DS29" s="22"/>
      <c r="DT29" s="22"/>
      <c r="DU29" s="70" t="n">
        <f aca="false">DT29-DS29</f>
        <v>0</v>
      </c>
      <c r="DV29" s="22"/>
      <c r="DW29" s="22"/>
      <c r="DX29" s="70" t="n">
        <f aca="false">DW29-DV29</f>
        <v>0</v>
      </c>
      <c r="DY29" s="22"/>
      <c r="DZ29" s="22"/>
      <c r="EA29" s="70" t="n">
        <f aca="false">DZ29-DY29</f>
        <v>0</v>
      </c>
      <c r="EB29" s="22"/>
      <c r="EC29" s="22"/>
      <c r="ED29" s="70" t="n">
        <f aca="false">EC29-EB29</f>
        <v>0</v>
      </c>
      <c r="EE29" s="22"/>
      <c r="EF29" s="22"/>
      <c r="EG29" s="70" t="n">
        <f aca="false">EF29-EE29</f>
        <v>0</v>
      </c>
      <c r="EH29" s="22"/>
      <c r="EI29" s="22"/>
      <c r="EJ29" s="70" t="n">
        <f aca="false">EI29-EH29</f>
        <v>0</v>
      </c>
      <c r="EK29" s="22"/>
      <c r="EL29" s="22"/>
      <c r="EM29" s="70" t="n">
        <f aca="false">EL29-EK29</f>
        <v>0</v>
      </c>
      <c r="EN29" s="22"/>
      <c r="EO29" s="22"/>
      <c r="EP29" s="70" t="n">
        <f aca="false">EO29-EN29</f>
        <v>0</v>
      </c>
      <c r="EQ29" s="70" t="n">
        <f aca="false">+C29+F29+I29+L29+O29+R29+U29+X29+AA29+AD29+AG29+AJ29+AM29+AP29+AS29+AV29+AY29+BB29+BE29+BH29+BK29+BN29+BQ29+BT29+BW29+BZ29+CC29+CF29+CI29+CL29+CO29+CR29+CU29+CX29+DA29+DD29+DG29+DJ29+DM29+DP29+DS29+DV29+DY29+EB29+EE29+EH29+EK29+EN29</f>
        <v>225000</v>
      </c>
      <c r="ER29" s="70" t="n">
        <f aca="false">+D29+G29+J29+M29+P29+S29+V29+Y29+AB29+AE29+AH29+AK29+AN29+AQ29+AT29+AW29+AZ29+BC29+BF29+BI29+BL29+BO29+BR29+BU29+BX29+CA29+CD29+CG29+CJ29+CM29+CP29+CS29+CV29+CY29+DB29+DE29+DH29+DK29+DN29+DQ29+DT29+DW29+DZ29+EC29+EF29+EI29+EL29+EO29</f>
        <v>225000</v>
      </c>
      <c r="ES29" s="70" t="n">
        <f aca="false">ER29-EQ29</f>
        <v>0</v>
      </c>
      <c r="ET29" s="22" t="n">
        <f aca="false">+ET28+ES29</f>
        <v>-137349</v>
      </c>
      <c r="EU29" s="74"/>
      <c r="EV29" s="70" t="n">
        <f aca="false">+EQ29-AG29</f>
        <v>65000</v>
      </c>
      <c r="EW29" s="70" t="n">
        <f aca="false">+ER29-AH29</f>
        <v>65000</v>
      </c>
      <c r="EX29" s="22" t="n">
        <f aca="false">+EW29-EV29</f>
        <v>0</v>
      </c>
      <c r="EY29" s="22" t="n">
        <f aca="false">+EY28+EX29</f>
        <v>-66926</v>
      </c>
      <c r="EZ29" s="74"/>
      <c r="FA29" s="22" t="n">
        <f aca="false">+AI29</f>
        <v>0</v>
      </c>
      <c r="FB29" s="22" t="n">
        <f aca="false">+FB28+FA29</f>
        <v>-70423</v>
      </c>
      <c r="FC29" s="74"/>
      <c r="FD29" s="74"/>
      <c r="FE29" s="74"/>
      <c r="FF29" s="74"/>
      <c r="FG29" s="74"/>
      <c r="FH29" s="74"/>
      <c r="FI29" s="74"/>
    </row>
    <row r="30" customFormat="false" ht="12.75" hidden="false" customHeight="false" outlineLevel="0" collapsed="false">
      <c r="A30" s="69" t="n">
        <f aca="false">+BaseloadMarkets!A30</f>
        <v>36702</v>
      </c>
      <c r="B30" s="69" t="str">
        <f aca="false">+BaseloadMarkets!B30</f>
        <v>Sun</v>
      </c>
      <c r="C30" s="22" t="n">
        <f aca="false">5000+5000</f>
        <v>10000</v>
      </c>
      <c r="D30" s="22" t="n">
        <f aca="false">5000+5000</f>
        <v>10000</v>
      </c>
      <c r="E30" s="70" t="n">
        <f aca="false">D30-C30</f>
        <v>0</v>
      </c>
      <c r="F30" s="22" t="n">
        <v>10000</v>
      </c>
      <c r="G30" s="22" t="n">
        <v>10000</v>
      </c>
      <c r="H30" s="70" t="n">
        <f aca="false">G30-F30</f>
        <v>0</v>
      </c>
      <c r="I30" s="22" t="n">
        <v>10000</v>
      </c>
      <c r="J30" s="22" t="n">
        <v>10000</v>
      </c>
      <c r="K30" s="70" t="n">
        <f aca="false">J30-I30</f>
        <v>0</v>
      </c>
      <c r="L30" s="22" t="n">
        <f aca="false">5000+5000</f>
        <v>10000</v>
      </c>
      <c r="M30" s="22" t="n">
        <f aca="false">5000+5000</f>
        <v>10000</v>
      </c>
      <c r="N30" s="70" t="n">
        <f aca="false">M30-L30</f>
        <v>0</v>
      </c>
      <c r="O30" s="22" t="n">
        <v>5000</v>
      </c>
      <c r="P30" s="22" t="n">
        <v>4841</v>
      </c>
      <c r="Q30" s="70" t="n">
        <f aca="false">P30-O30</f>
        <v>-159</v>
      </c>
      <c r="R30" s="22" t="n">
        <v>5000</v>
      </c>
      <c r="S30" s="22" t="n">
        <v>5000</v>
      </c>
      <c r="T30" s="70" t="n">
        <f aca="false">S30-R30</f>
        <v>0</v>
      </c>
      <c r="U30" s="22" t="n">
        <v>5000</v>
      </c>
      <c r="V30" s="22" t="n">
        <v>5000</v>
      </c>
      <c r="W30" s="70" t="n">
        <f aca="false">V30-U30</f>
        <v>0</v>
      </c>
      <c r="X30" s="22" t="n">
        <v>10000</v>
      </c>
      <c r="Y30" s="22" t="n">
        <f aca="false">2000+7744</f>
        <v>9744</v>
      </c>
      <c r="Z30" s="70" t="n">
        <f aca="false">Y30-X30</f>
        <v>-256</v>
      </c>
      <c r="AA30" s="22"/>
      <c r="AB30" s="22"/>
      <c r="AC30" s="70" t="n">
        <f aca="false">AB30-AA30</f>
        <v>0</v>
      </c>
      <c r="AD30" s="22"/>
      <c r="AE30" s="22"/>
      <c r="AF30" s="70" t="n">
        <f aca="false">AE30-AD30</f>
        <v>0</v>
      </c>
      <c r="AG30" s="22" t="n">
        <v>160000</v>
      </c>
      <c r="AH30" s="22" t="n">
        <v>160000</v>
      </c>
      <c r="AI30" s="70" t="n">
        <f aca="false">AH30-AG30</f>
        <v>0</v>
      </c>
      <c r="AJ30" s="22"/>
      <c r="AK30" s="22"/>
      <c r="AL30" s="70" t="n">
        <f aca="false">AK30-AJ30</f>
        <v>0</v>
      </c>
      <c r="AM30" s="22"/>
      <c r="AN30" s="22"/>
      <c r="AO30" s="70" t="n">
        <f aca="false">AN30-AM30</f>
        <v>0</v>
      </c>
      <c r="AP30" s="22"/>
      <c r="AQ30" s="22"/>
      <c r="AR30" s="70" t="n">
        <f aca="false">AQ30-AP30</f>
        <v>0</v>
      </c>
      <c r="AS30" s="22"/>
      <c r="AT30" s="22"/>
      <c r="AU30" s="70" t="n">
        <f aca="false">AT30-AS30</f>
        <v>0</v>
      </c>
      <c r="AV30" s="22"/>
      <c r="AW30" s="22"/>
      <c r="AX30" s="70" t="n">
        <f aca="false">AW30-AV30</f>
        <v>0</v>
      </c>
      <c r="AY30" s="22"/>
      <c r="AZ30" s="22"/>
      <c r="BA30" s="70" t="n">
        <f aca="false">AZ30-AY30</f>
        <v>0</v>
      </c>
      <c r="BB30" s="22"/>
      <c r="BC30" s="22"/>
      <c r="BD30" s="70" t="n">
        <f aca="false">BC30-BB30</f>
        <v>0</v>
      </c>
      <c r="BE30" s="22"/>
      <c r="BF30" s="22"/>
      <c r="BG30" s="70" t="n">
        <f aca="false">BF30-BE30</f>
        <v>0</v>
      </c>
      <c r="BH30" s="22"/>
      <c r="BI30" s="22"/>
      <c r="BJ30" s="70" t="n">
        <f aca="false">BI30-BH30</f>
        <v>0</v>
      </c>
      <c r="BK30" s="22"/>
      <c r="BL30" s="22"/>
      <c r="BM30" s="70" t="n">
        <f aca="false">BL30-BK30</f>
        <v>0</v>
      </c>
      <c r="BN30" s="22"/>
      <c r="BO30" s="22"/>
      <c r="BP30" s="70" t="n">
        <f aca="false">BO30-BN30</f>
        <v>0</v>
      </c>
      <c r="BQ30" s="22"/>
      <c r="BR30" s="22"/>
      <c r="BS30" s="70" t="n">
        <f aca="false">BR30-BQ30</f>
        <v>0</v>
      </c>
      <c r="BT30" s="22"/>
      <c r="BU30" s="22"/>
      <c r="BV30" s="70" t="n">
        <f aca="false">BU30-BT30</f>
        <v>0</v>
      </c>
      <c r="BW30" s="22"/>
      <c r="BX30" s="22"/>
      <c r="BY30" s="70" t="n">
        <f aca="false">BX30-BW30</f>
        <v>0</v>
      </c>
      <c r="BZ30" s="22"/>
      <c r="CA30" s="22"/>
      <c r="CB30" s="70" t="n">
        <f aca="false">CA30-BZ30</f>
        <v>0</v>
      </c>
      <c r="CC30" s="22"/>
      <c r="CD30" s="22"/>
      <c r="CE30" s="70" t="n">
        <f aca="false">CD30-CC30</f>
        <v>0</v>
      </c>
      <c r="CF30" s="22"/>
      <c r="CG30" s="22"/>
      <c r="CH30" s="70" t="n">
        <f aca="false">CG30-CF30</f>
        <v>0</v>
      </c>
      <c r="CI30" s="22"/>
      <c r="CJ30" s="22"/>
      <c r="CK30" s="70" t="n">
        <f aca="false">CJ30-CI30</f>
        <v>0</v>
      </c>
      <c r="CL30" s="22"/>
      <c r="CM30" s="22"/>
      <c r="CN30" s="70" t="n">
        <f aca="false">CM30-CL30</f>
        <v>0</v>
      </c>
      <c r="CO30" s="22"/>
      <c r="CP30" s="22"/>
      <c r="CQ30" s="70" t="n">
        <f aca="false">CP30-CO30</f>
        <v>0</v>
      </c>
      <c r="CR30" s="22"/>
      <c r="CS30" s="22"/>
      <c r="CT30" s="70" t="n">
        <f aca="false">CS30-CR30</f>
        <v>0</v>
      </c>
      <c r="CU30" s="22"/>
      <c r="CV30" s="22"/>
      <c r="CW30" s="70" t="n">
        <f aca="false">CV30-CU30</f>
        <v>0</v>
      </c>
      <c r="CX30" s="22"/>
      <c r="CY30" s="22"/>
      <c r="CZ30" s="70" t="n">
        <f aca="false">CY30-CX30</f>
        <v>0</v>
      </c>
      <c r="DA30" s="22"/>
      <c r="DB30" s="22"/>
      <c r="DC30" s="70" t="n">
        <f aca="false">DB30-DA30</f>
        <v>0</v>
      </c>
      <c r="DD30" s="22"/>
      <c r="DE30" s="22"/>
      <c r="DF30" s="70" t="n">
        <f aca="false">DE30-DD30</f>
        <v>0</v>
      </c>
      <c r="DG30" s="22"/>
      <c r="DH30" s="22"/>
      <c r="DI30" s="70" t="n">
        <f aca="false">DH30-DG30</f>
        <v>0</v>
      </c>
      <c r="DJ30" s="22"/>
      <c r="DK30" s="22"/>
      <c r="DL30" s="70" t="n">
        <f aca="false">DK30-DJ30</f>
        <v>0</v>
      </c>
      <c r="DM30" s="22"/>
      <c r="DN30" s="22"/>
      <c r="DO30" s="70" t="n">
        <f aca="false">DN30-DM30</f>
        <v>0</v>
      </c>
      <c r="DP30" s="22"/>
      <c r="DQ30" s="22"/>
      <c r="DR30" s="70" t="n">
        <f aca="false">DQ30-DP30</f>
        <v>0</v>
      </c>
      <c r="DS30" s="22"/>
      <c r="DT30" s="22"/>
      <c r="DU30" s="70" t="n">
        <f aca="false">DT30-DS30</f>
        <v>0</v>
      </c>
      <c r="DV30" s="22"/>
      <c r="DW30" s="22"/>
      <c r="DX30" s="70" t="n">
        <f aca="false">DW30-DV30</f>
        <v>0</v>
      </c>
      <c r="DY30" s="22"/>
      <c r="DZ30" s="22"/>
      <c r="EA30" s="70" t="n">
        <f aca="false">DZ30-DY30</f>
        <v>0</v>
      </c>
      <c r="EB30" s="22"/>
      <c r="EC30" s="22"/>
      <c r="ED30" s="70" t="n">
        <f aca="false">EC30-EB30</f>
        <v>0</v>
      </c>
      <c r="EE30" s="22"/>
      <c r="EF30" s="22"/>
      <c r="EG30" s="70" t="n">
        <f aca="false">EF30-EE30</f>
        <v>0</v>
      </c>
      <c r="EH30" s="22"/>
      <c r="EI30" s="22"/>
      <c r="EJ30" s="70" t="n">
        <f aca="false">EI30-EH30</f>
        <v>0</v>
      </c>
      <c r="EK30" s="22"/>
      <c r="EL30" s="22"/>
      <c r="EM30" s="70" t="n">
        <f aca="false">EL30-EK30</f>
        <v>0</v>
      </c>
      <c r="EN30" s="22"/>
      <c r="EO30" s="22"/>
      <c r="EP30" s="70" t="n">
        <f aca="false">EO30-EN30</f>
        <v>0</v>
      </c>
      <c r="EQ30" s="70" t="n">
        <f aca="false">+C30+F30+I30+L30+O30+R30+U30+X30+AA30+AD30+AG30+AJ30+AM30+AP30+AS30+AV30+AY30+BB30+BE30+BH30+BK30+BN30+BQ30+BT30+BW30+BZ30+CC30+CF30+CI30+CL30+CO30+CR30+CU30+CX30+DA30+DD30+DG30+DJ30+DM30+DP30+DS30+DV30+DY30+EB30+EE30+EH30+EK30+EN30</f>
        <v>225000</v>
      </c>
      <c r="ER30" s="70" t="n">
        <f aca="false">+D30+G30+J30+M30+P30+S30+V30+Y30+AB30+AE30+AH30+AK30+AN30+AQ30+AT30+AW30+AZ30+BC30+BF30+BI30+BL30+BO30+BR30+BU30+BX30+CA30+CD30+CG30+CJ30+CM30+CP30+CS30+CV30+CY30+DB30+DE30+DH30+DK30+DN30+DQ30+DT30+DW30+DZ30+EC30+EF30+EI30+EL30+EO30</f>
        <v>224585</v>
      </c>
      <c r="ES30" s="70" t="n">
        <f aca="false">ER30-EQ30</f>
        <v>-415</v>
      </c>
      <c r="ET30" s="22" t="n">
        <f aca="false">+ET29+ES30</f>
        <v>-137764</v>
      </c>
      <c r="EU30" s="74"/>
      <c r="EV30" s="70" t="n">
        <f aca="false">+EQ30-AG30</f>
        <v>65000</v>
      </c>
      <c r="EW30" s="70" t="n">
        <f aca="false">+ER30-AH30</f>
        <v>64585</v>
      </c>
      <c r="EX30" s="22" t="n">
        <f aca="false">+EW30-EV30</f>
        <v>-415</v>
      </c>
      <c r="EY30" s="22" t="n">
        <f aca="false">+EY29+EX30</f>
        <v>-67341</v>
      </c>
      <c r="EZ30" s="74"/>
      <c r="FA30" s="22" t="n">
        <f aca="false">+AI30</f>
        <v>0</v>
      </c>
      <c r="FB30" s="22" t="n">
        <f aca="false">+FB29+FA30</f>
        <v>-70423</v>
      </c>
      <c r="FC30" s="74"/>
      <c r="FD30" s="74"/>
      <c r="FE30" s="74"/>
      <c r="FF30" s="74"/>
      <c r="FG30" s="74"/>
      <c r="FH30" s="74"/>
      <c r="FI30" s="74"/>
    </row>
    <row r="31" customFormat="false" ht="12.75" hidden="false" customHeight="false" outlineLevel="0" collapsed="false">
      <c r="A31" s="69" t="n">
        <f aca="false">+BaseloadMarkets!A31</f>
        <v>36703</v>
      </c>
      <c r="B31" s="69" t="str">
        <f aca="false">+BaseloadMarkets!B31</f>
        <v>Mon</v>
      </c>
      <c r="C31" s="22" t="n">
        <f aca="false">5000+5000</f>
        <v>10000</v>
      </c>
      <c r="D31" s="22" t="n">
        <f aca="false">5000+5000</f>
        <v>10000</v>
      </c>
      <c r="E31" s="70" t="n">
        <f aca="false">D31-C31</f>
        <v>0</v>
      </c>
      <c r="F31" s="22" t="n">
        <v>10000</v>
      </c>
      <c r="G31" s="22" t="n">
        <v>10000</v>
      </c>
      <c r="H31" s="70" t="n">
        <f aca="false">G31-F31</f>
        <v>0</v>
      </c>
      <c r="I31" s="22" t="n">
        <v>10000</v>
      </c>
      <c r="J31" s="22" t="n">
        <v>10000</v>
      </c>
      <c r="K31" s="70" t="n">
        <f aca="false">J31-I31</f>
        <v>0</v>
      </c>
      <c r="L31" s="22" t="n">
        <f aca="false">5000+5000</f>
        <v>10000</v>
      </c>
      <c r="M31" s="22" t="n">
        <f aca="false">5000+5000</f>
        <v>10000</v>
      </c>
      <c r="N31" s="70" t="n">
        <f aca="false">M31-L31</f>
        <v>0</v>
      </c>
      <c r="O31" s="22" t="n">
        <v>5000</v>
      </c>
      <c r="P31" s="22" t="n">
        <v>4449</v>
      </c>
      <c r="Q31" s="70" t="n">
        <f aca="false">P31-O31</f>
        <v>-551</v>
      </c>
      <c r="R31" s="22" t="n">
        <v>5000</v>
      </c>
      <c r="S31" s="22" t="n">
        <v>5000</v>
      </c>
      <c r="T31" s="70" t="n">
        <f aca="false">S31-R31</f>
        <v>0</v>
      </c>
      <c r="U31" s="22" t="n">
        <v>5000</v>
      </c>
      <c r="V31" s="22" t="n">
        <v>5000</v>
      </c>
      <c r="W31" s="70" t="n">
        <f aca="false">V31-U31</f>
        <v>0</v>
      </c>
      <c r="X31" s="22" t="n">
        <v>10000</v>
      </c>
      <c r="Y31" s="22" t="n">
        <f aca="false">2000+7119</f>
        <v>9119</v>
      </c>
      <c r="Z31" s="70" t="n">
        <f aca="false">Y31-X31</f>
        <v>-881</v>
      </c>
      <c r="AA31" s="22"/>
      <c r="AB31" s="22"/>
      <c r="AC31" s="70" t="n">
        <f aca="false">AB31-AA31</f>
        <v>0</v>
      </c>
      <c r="AD31" s="22"/>
      <c r="AE31" s="22"/>
      <c r="AF31" s="70" t="n">
        <f aca="false">AE31-AD31</f>
        <v>0</v>
      </c>
      <c r="AG31" s="22" t="n">
        <v>160000</v>
      </c>
      <c r="AH31" s="22" t="n">
        <v>160000</v>
      </c>
      <c r="AI31" s="70" t="n">
        <f aca="false">AH31-AG31</f>
        <v>0</v>
      </c>
      <c r="AJ31" s="22"/>
      <c r="AK31" s="22"/>
      <c r="AL31" s="70" t="n">
        <f aca="false">AK31-AJ31</f>
        <v>0</v>
      </c>
      <c r="AM31" s="22"/>
      <c r="AN31" s="22"/>
      <c r="AO31" s="70" t="n">
        <f aca="false">AN31-AM31</f>
        <v>0</v>
      </c>
      <c r="AP31" s="22"/>
      <c r="AQ31" s="22"/>
      <c r="AR31" s="70" t="n">
        <f aca="false">AQ31-AP31</f>
        <v>0</v>
      </c>
      <c r="AS31" s="22"/>
      <c r="AT31" s="22"/>
      <c r="AU31" s="70" t="n">
        <f aca="false">AT31-AS31</f>
        <v>0</v>
      </c>
      <c r="AV31" s="22"/>
      <c r="AW31" s="22"/>
      <c r="AX31" s="70" t="n">
        <f aca="false">AW31-AV31</f>
        <v>0</v>
      </c>
      <c r="AY31" s="22"/>
      <c r="AZ31" s="22"/>
      <c r="BA31" s="70" t="n">
        <f aca="false">AZ31-AY31</f>
        <v>0</v>
      </c>
      <c r="BB31" s="22"/>
      <c r="BC31" s="22"/>
      <c r="BD31" s="70" t="n">
        <f aca="false">BC31-BB31</f>
        <v>0</v>
      </c>
      <c r="BE31" s="22"/>
      <c r="BF31" s="22"/>
      <c r="BG31" s="70" t="n">
        <f aca="false">BF31-BE31</f>
        <v>0</v>
      </c>
      <c r="BH31" s="22"/>
      <c r="BI31" s="22"/>
      <c r="BJ31" s="70" t="n">
        <f aca="false">BI31-BH31</f>
        <v>0</v>
      </c>
      <c r="BK31" s="22"/>
      <c r="BL31" s="22"/>
      <c r="BM31" s="70" t="n">
        <f aca="false">BL31-BK31</f>
        <v>0</v>
      </c>
      <c r="BN31" s="22"/>
      <c r="BO31" s="22"/>
      <c r="BP31" s="70" t="n">
        <f aca="false">BO31-BN31</f>
        <v>0</v>
      </c>
      <c r="BQ31" s="22"/>
      <c r="BR31" s="22"/>
      <c r="BS31" s="70" t="n">
        <f aca="false">BR31-BQ31</f>
        <v>0</v>
      </c>
      <c r="BT31" s="22"/>
      <c r="BU31" s="22"/>
      <c r="BV31" s="70" t="n">
        <f aca="false">BU31-BT31</f>
        <v>0</v>
      </c>
      <c r="BW31" s="22"/>
      <c r="BX31" s="22"/>
      <c r="BY31" s="70" t="n">
        <f aca="false">BX31-BW31</f>
        <v>0</v>
      </c>
      <c r="BZ31" s="22"/>
      <c r="CA31" s="22"/>
      <c r="CB31" s="70" t="n">
        <f aca="false">CA31-BZ31</f>
        <v>0</v>
      </c>
      <c r="CC31" s="22"/>
      <c r="CD31" s="22"/>
      <c r="CE31" s="70" t="n">
        <f aca="false">CD31-CC31</f>
        <v>0</v>
      </c>
      <c r="CF31" s="22"/>
      <c r="CG31" s="22"/>
      <c r="CH31" s="70" t="n">
        <f aca="false">CG31-CF31</f>
        <v>0</v>
      </c>
      <c r="CI31" s="22"/>
      <c r="CJ31" s="22"/>
      <c r="CK31" s="70" t="n">
        <f aca="false">CJ31-CI31</f>
        <v>0</v>
      </c>
      <c r="CL31" s="22"/>
      <c r="CM31" s="22"/>
      <c r="CN31" s="70" t="n">
        <f aca="false">CM31-CL31</f>
        <v>0</v>
      </c>
      <c r="CO31" s="22"/>
      <c r="CP31" s="22"/>
      <c r="CQ31" s="70" t="n">
        <f aca="false">CP31-CO31</f>
        <v>0</v>
      </c>
      <c r="CR31" s="22"/>
      <c r="CS31" s="22"/>
      <c r="CT31" s="70" t="n">
        <f aca="false">CS31-CR31</f>
        <v>0</v>
      </c>
      <c r="CU31" s="22"/>
      <c r="CV31" s="22"/>
      <c r="CW31" s="70" t="n">
        <f aca="false">CV31-CU31</f>
        <v>0</v>
      </c>
      <c r="CX31" s="22"/>
      <c r="CY31" s="22"/>
      <c r="CZ31" s="70" t="n">
        <f aca="false">CY31-CX31</f>
        <v>0</v>
      </c>
      <c r="DA31" s="22"/>
      <c r="DB31" s="22"/>
      <c r="DC31" s="70" t="n">
        <f aca="false">DB31-DA31</f>
        <v>0</v>
      </c>
      <c r="DD31" s="22"/>
      <c r="DE31" s="22"/>
      <c r="DF31" s="70" t="n">
        <f aca="false">DE31-DD31</f>
        <v>0</v>
      </c>
      <c r="DG31" s="22"/>
      <c r="DH31" s="22"/>
      <c r="DI31" s="70" t="n">
        <f aca="false">DH31-DG31</f>
        <v>0</v>
      </c>
      <c r="DJ31" s="22"/>
      <c r="DK31" s="22"/>
      <c r="DL31" s="70" t="n">
        <f aca="false">DK31-DJ31</f>
        <v>0</v>
      </c>
      <c r="DM31" s="22"/>
      <c r="DN31" s="22"/>
      <c r="DO31" s="70" t="n">
        <f aca="false">DN31-DM31</f>
        <v>0</v>
      </c>
      <c r="DP31" s="22"/>
      <c r="DQ31" s="22"/>
      <c r="DR31" s="70" t="n">
        <f aca="false">DQ31-DP31</f>
        <v>0</v>
      </c>
      <c r="DS31" s="22"/>
      <c r="DT31" s="22"/>
      <c r="DU31" s="70" t="n">
        <f aca="false">DT31-DS31</f>
        <v>0</v>
      </c>
      <c r="DV31" s="22"/>
      <c r="DW31" s="22"/>
      <c r="DX31" s="70" t="n">
        <f aca="false">DW31-DV31</f>
        <v>0</v>
      </c>
      <c r="DY31" s="22"/>
      <c r="DZ31" s="22"/>
      <c r="EA31" s="70" t="n">
        <f aca="false">DZ31-DY31</f>
        <v>0</v>
      </c>
      <c r="EB31" s="22"/>
      <c r="EC31" s="22"/>
      <c r="ED31" s="70" t="n">
        <f aca="false">EC31-EB31</f>
        <v>0</v>
      </c>
      <c r="EE31" s="22"/>
      <c r="EF31" s="22"/>
      <c r="EG31" s="70" t="n">
        <f aca="false">EF31-EE31</f>
        <v>0</v>
      </c>
      <c r="EH31" s="22"/>
      <c r="EI31" s="22"/>
      <c r="EJ31" s="70" t="n">
        <f aca="false">EI31-EH31</f>
        <v>0</v>
      </c>
      <c r="EK31" s="22"/>
      <c r="EL31" s="22"/>
      <c r="EM31" s="70" t="n">
        <f aca="false">EL31-EK31</f>
        <v>0</v>
      </c>
      <c r="EN31" s="22"/>
      <c r="EO31" s="22"/>
      <c r="EP31" s="70" t="n">
        <f aca="false">EO31-EN31</f>
        <v>0</v>
      </c>
      <c r="EQ31" s="70" t="n">
        <f aca="false">+C31+F31+I31+L31+O31+R31+U31+X31+AA31+AD31+AG31+AJ31+AM31+AP31+AS31+AV31+AY31+BB31+BE31+BH31+BK31+BN31+BQ31+BT31+BW31+BZ31+CC31+CF31+CI31+CL31+CO31+CR31+CU31+CX31+DA31+DD31+DG31+DJ31+DM31+DP31+DS31+DV31+DY31+EB31+EE31+EH31+EK31+EN31</f>
        <v>225000</v>
      </c>
      <c r="ER31" s="70" t="n">
        <f aca="false">+D31+G31+J31+M31+P31+S31+V31+Y31+AB31+AE31+AH31+AK31+AN31+AQ31+AT31+AW31+AZ31+BC31+BF31+BI31+BL31+BO31+BR31+BU31+BX31+CA31+CD31+CG31+CJ31+CM31+CP31+CS31+CV31+CY31+DB31+DE31+DH31+DK31+DN31+DQ31+DT31+DW31+DZ31+EC31+EF31+EI31+EL31+EO31</f>
        <v>223568</v>
      </c>
      <c r="ES31" s="70" t="n">
        <f aca="false">ER31-EQ31</f>
        <v>-1432</v>
      </c>
      <c r="ET31" s="22" t="n">
        <f aca="false">+ET30+ES31</f>
        <v>-139196</v>
      </c>
      <c r="EU31" s="74"/>
      <c r="EV31" s="70" t="n">
        <f aca="false">+EQ31-AG31</f>
        <v>65000</v>
      </c>
      <c r="EW31" s="70" t="n">
        <f aca="false">+ER31-AH31</f>
        <v>63568</v>
      </c>
      <c r="EX31" s="22" t="n">
        <f aca="false">+EW31-EV31</f>
        <v>-1432</v>
      </c>
      <c r="EY31" s="22" t="n">
        <f aca="false">+EY30+EX31</f>
        <v>-68773</v>
      </c>
      <c r="EZ31" s="74"/>
      <c r="FA31" s="22" t="n">
        <f aca="false">+AI31</f>
        <v>0</v>
      </c>
      <c r="FB31" s="22" t="n">
        <f aca="false">+FB30+FA31</f>
        <v>-70423</v>
      </c>
      <c r="FC31" s="74"/>
      <c r="FD31" s="74"/>
      <c r="FE31" s="74"/>
      <c r="FF31" s="74"/>
      <c r="FG31" s="74"/>
      <c r="FH31" s="74"/>
      <c r="FI31" s="74"/>
    </row>
    <row r="32" customFormat="false" ht="12.75" hidden="false" customHeight="false" outlineLevel="0" collapsed="false">
      <c r="A32" s="69" t="n">
        <f aca="false">+BaseloadMarkets!A32</f>
        <v>36704</v>
      </c>
      <c r="B32" s="69" t="str">
        <f aca="false">+BaseloadMarkets!B32</f>
        <v>Tues</v>
      </c>
      <c r="C32" s="22" t="n">
        <f aca="false">5000+5000</f>
        <v>10000</v>
      </c>
      <c r="D32" s="22" t="n">
        <f aca="false">5000+5000</f>
        <v>10000</v>
      </c>
      <c r="E32" s="70" t="n">
        <f aca="false">D32-C32</f>
        <v>0</v>
      </c>
      <c r="F32" s="22" t="n">
        <v>10000</v>
      </c>
      <c r="G32" s="22" t="n">
        <v>10000</v>
      </c>
      <c r="H32" s="70" t="n">
        <f aca="false">G32-F32</f>
        <v>0</v>
      </c>
      <c r="I32" s="22" t="n">
        <v>10000</v>
      </c>
      <c r="J32" s="22" t="n">
        <v>10000</v>
      </c>
      <c r="K32" s="70" t="n">
        <f aca="false">J32-I32</f>
        <v>0</v>
      </c>
      <c r="L32" s="22" t="n">
        <f aca="false">5000+5000</f>
        <v>10000</v>
      </c>
      <c r="M32" s="22" t="n">
        <f aca="false">5000+5000</f>
        <v>10000</v>
      </c>
      <c r="N32" s="70" t="n">
        <f aca="false">M32-L32</f>
        <v>0</v>
      </c>
      <c r="O32" s="22" t="n">
        <v>5000</v>
      </c>
      <c r="P32" s="22" t="n">
        <v>5000</v>
      </c>
      <c r="Q32" s="70" t="n">
        <f aca="false">P32-O32</f>
        <v>0</v>
      </c>
      <c r="R32" s="22" t="n">
        <v>5000</v>
      </c>
      <c r="S32" s="22" t="n">
        <v>5000</v>
      </c>
      <c r="T32" s="70" t="n">
        <f aca="false">S32-R32</f>
        <v>0</v>
      </c>
      <c r="U32" s="22" t="n">
        <v>5000</v>
      </c>
      <c r="V32" s="22" t="n">
        <v>5000</v>
      </c>
      <c r="W32" s="70" t="n">
        <f aca="false">V32-U32</f>
        <v>0</v>
      </c>
      <c r="X32" s="22" t="n">
        <v>10000</v>
      </c>
      <c r="Y32" s="22" t="n">
        <v>10000</v>
      </c>
      <c r="Z32" s="70" t="n">
        <f aca="false">Y32-X32</f>
        <v>0</v>
      </c>
      <c r="AA32" s="22"/>
      <c r="AB32" s="22"/>
      <c r="AC32" s="70" t="n">
        <f aca="false">AB32-AA32</f>
        <v>0</v>
      </c>
      <c r="AD32" s="22"/>
      <c r="AE32" s="22"/>
      <c r="AF32" s="70" t="n">
        <f aca="false">AE32-AD32</f>
        <v>0</v>
      </c>
      <c r="AG32" s="22" t="n">
        <v>575000</v>
      </c>
      <c r="AH32" s="22" t="n">
        <f aca="false">575000</f>
        <v>575000</v>
      </c>
      <c r="AI32" s="70" t="n">
        <f aca="false">AH32-AG32</f>
        <v>0</v>
      </c>
      <c r="AJ32" s="22"/>
      <c r="AK32" s="22"/>
      <c r="AL32" s="70" t="n">
        <f aca="false">AK32-AJ32</f>
        <v>0</v>
      </c>
      <c r="AM32" s="22"/>
      <c r="AN32" s="22"/>
      <c r="AO32" s="70" t="n">
        <f aca="false">AN32-AM32</f>
        <v>0</v>
      </c>
      <c r="AP32" s="22"/>
      <c r="AQ32" s="22"/>
      <c r="AR32" s="70" t="n">
        <f aca="false">AQ32-AP32</f>
        <v>0</v>
      </c>
      <c r="AS32" s="22"/>
      <c r="AT32" s="22"/>
      <c r="AU32" s="70" t="n">
        <f aca="false">AT32-AS32</f>
        <v>0</v>
      </c>
      <c r="AV32" s="22"/>
      <c r="AW32" s="22"/>
      <c r="AX32" s="70" t="n">
        <f aca="false">AW32-AV32</f>
        <v>0</v>
      </c>
      <c r="AY32" s="22"/>
      <c r="AZ32" s="22"/>
      <c r="BA32" s="70" t="n">
        <f aca="false">AZ32-AY32</f>
        <v>0</v>
      </c>
      <c r="BB32" s="22"/>
      <c r="BC32" s="22"/>
      <c r="BD32" s="70" t="n">
        <f aca="false">BC32-BB32</f>
        <v>0</v>
      </c>
      <c r="BE32" s="22"/>
      <c r="BF32" s="22"/>
      <c r="BG32" s="70" t="n">
        <f aca="false">BF32-BE32</f>
        <v>0</v>
      </c>
      <c r="BH32" s="22"/>
      <c r="BI32" s="22"/>
      <c r="BJ32" s="70" t="n">
        <f aca="false">BI32-BH32</f>
        <v>0</v>
      </c>
      <c r="BK32" s="22"/>
      <c r="BL32" s="22"/>
      <c r="BM32" s="70" t="n">
        <f aca="false">BL32-BK32</f>
        <v>0</v>
      </c>
      <c r="BN32" s="22"/>
      <c r="BO32" s="22"/>
      <c r="BP32" s="70" t="n">
        <f aca="false">BO32-BN32</f>
        <v>0</v>
      </c>
      <c r="BQ32" s="22"/>
      <c r="BR32" s="22"/>
      <c r="BS32" s="70" t="n">
        <f aca="false">BR32-BQ32</f>
        <v>0</v>
      </c>
      <c r="BT32" s="22"/>
      <c r="BU32" s="22"/>
      <c r="BV32" s="70" t="n">
        <f aca="false">BU32-BT32</f>
        <v>0</v>
      </c>
      <c r="BW32" s="22"/>
      <c r="BX32" s="22"/>
      <c r="BY32" s="70" t="n">
        <f aca="false">BX32-BW32</f>
        <v>0</v>
      </c>
      <c r="BZ32" s="22"/>
      <c r="CA32" s="22"/>
      <c r="CB32" s="70" t="n">
        <f aca="false">CA32-BZ32</f>
        <v>0</v>
      </c>
      <c r="CC32" s="22"/>
      <c r="CD32" s="22"/>
      <c r="CE32" s="70" t="n">
        <f aca="false">CD32-CC32</f>
        <v>0</v>
      </c>
      <c r="CF32" s="22"/>
      <c r="CG32" s="22"/>
      <c r="CH32" s="70" t="n">
        <f aca="false">CG32-CF32</f>
        <v>0</v>
      </c>
      <c r="CI32" s="22"/>
      <c r="CJ32" s="22"/>
      <c r="CK32" s="70" t="n">
        <f aca="false">CJ32-CI32</f>
        <v>0</v>
      </c>
      <c r="CL32" s="22"/>
      <c r="CM32" s="22"/>
      <c r="CN32" s="70" t="n">
        <f aca="false">CM32-CL32</f>
        <v>0</v>
      </c>
      <c r="CO32" s="22"/>
      <c r="CP32" s="22"/>
      <c r="CQ32" s="70" t="n">
        <f aca="false">CP32-CO32</f>
        <v>0</v>
      </c>
      <c r="CR32" s="22"/>
      <c r="CS32" s="22"/>
      <c r="CT32" s="70" t="n">
        <f aca="false">CS32-CR32</f>
        <v>0</v>
      </c>
      <c r="CU32" s="22"/>
      <c r="CV32" s="22"/>
      <c r="CW32" s="70" t="n">
        <f aca="false">CV32-CU32</f>
        <v>0</v>
      </c>
      <c r="CX32" s="22"/>
      <c r="CY32" s="22"/>
      <c r="CZ32" s="70" t="n">
        <f aca="false">CY32-CX32</f>
        <v>0</v>
      </c>
      <c r="DA32" s="22"/>
      <c r="DB32" s="22"/>
      <c r="DC32" s="70" t="n">
        <f aca="false">DB32-DA32</f>
        <v>0</v>
      </c>
      <c r="DD32" s="22"/>
      <c r="DE32" s="22"/>
      <c r="DF32" s="70" t="n">
        <f aca="false">DE32-DD32</f>
        <v>0</v>
      </c>
      <c r="DG32" s="22"/>
      <c r="DH32" s="22"/>
      <c r="DI32" s="70" t="n">
        <f aca="false">DH32-DG32</f>
        <v>0</v>
      </c>
      <c r="DJ32" s="22"/>
      <c r="DK32" s="22"/>
      <c r="DL32" s="70" t="n">
        <f aca="false">DK32-DJ32</f>
        <v>0</v>
      </c>
      <c r="DM32" s="22"/>
      <c r="DN32" s="22"/>
      <c r="DO32" s="70" t="n">
        <f aca="false">DN32-DM32</f>
        <v>0</v>
      </c>
      <c r="DP32" s="22"/>
      <c r="DQ32" s="22"/>
      <c r="DR32" s="70" t="n">
        <f aca="false">DQ32-DP32</f>
        <v>0</v>
      </c>
      <c r="DS32" s="22"/>
      <c r="DT32" s="22"/>
      <c r="DU32" s="70" t="n">
        <f aca="false">DT32-DS32</f>
        <v>0</v>
      </c>
      <c r="DV32" s="22"/>
      <c r="DW32" s="22"/>
      <c r="DX32" s="70" t="n">
        <f aca="false">DW32-DV32</f>
        <v>0</v>
      </c>
      <c r="DY32" s="22"/>
      <c r="DZ32" s="22"/>
      <c r="EA32" s="70" t="n">
        <f aca="false">DZ32-DY32</f>
        <v>0</v>
      </c>
      <c r="EB32" s="22"/>
      <c r="EC32" s="22"/>
      <c r="ED32" s="70" t="n">
        <f aca="false">EC32-EB32</f>
        <v>0</v>
      </c>
      <c r="EE32" s="22"/>
      <c r="EF32" s="22"/>
      <c r="EG32" s="70" t="n">
        <f aca="false">EF32-EE32</f>
        <v>0</v>
      </c>
      <c r="EH32" s="22"/>
      <c r="EI32" s="22"/>
      <c r="EJ32" s="70" t="n">
        <f aca="false">EI32-EH32</f>
        <v>0</v>
      </c>
      <c r="EK32" s="22"/>
      <c r="EL32" s="22"/>
      <c r="EM32" s="70" t="n">
        <f aca="false">EL32-EK32</f>
        <v>0</v>
      </c>
      <c r="EN32" s="22"/>
      <c r="EO32" s="22"/>
      <c r="EP32" s="70" t="n">
        <f aca="false">EO32-EN32</f>
        <v>0</v>
      </c>
      <c r="EQ32" s="70" t="n">
        <f aca="false">+C32+F32+I32+L32+O32+R32+U32+X32+AA32+AD32+AG32+AJ32+AM32+AP32+AS32+AV32+AY32+BB32+BE32+BH32+BK32+BN32+BQ32+BT32+BW32+BZ32+CC32+CF32+CI32+CL32+CO32+CR32+CU32+CX32+DA32+DD32+DG32+DJ32+DM32+DP32+DS32+DV32+DY32+EB32+EE32+EH32+EK32+EN32</f>
        <v>640000</v>
      </c>
      <c r="ER32" s="70" t="n">
        <f aca="false">+D32+G32+J32+M32+P32+S32+V32+Y32+AB32+AE32+AH32+AK32+AN32+AQ32+AT32+AW32+AZ32+BC32+BF32+BI32+BL32+BO32+BR32+BU32+BX32+CA32+CD32+CG32+CJ32+CM32+CP32+CS32+CV32+CY32+DB32+DE32+DH32+DK32+DN32+DQ32+DT32+DW32+DZ32+EC32+EF32+EI32+EL32+EO32</f>
        <v>640000</v>
      </c>
      <c r="ES32" s="70" t="n">
        <f aca="false">ER32-EQ32</f>
        <v>0</v>
      </c>
      <c r="ET32" s="22" t="n">
        <f aca="false">+ET31+ES32</f>
        <v>-139196</v>
      </c>
      <c r="EU32" s="74"/>
      <c r="EV32" s="70" t="n">
        <f aca="false">+EQ32-AG32</f>
        <v>65000</v>
      </c>
      <c r="EW32" s="70" t="n">
        <f aca="false">+ER32-AH32</f>
        <v>65000</v>
      </c>
      <c r="EX32" s="22" t="n">
        <f aca="false">+EW32-EV32</f>
        <v>0</v>
      </c>
      <c r="EY32" s="22" t="n">
        <f aca="false">+EY31+EX32</f>
        <v>-68773</v>
      </c>
      <c r="EZ32" s="74"/>
      <c r="FA32" s="22" t="n">
        <f aca="false">+AI32</f>
        <v>0</v>
      </c>
      <c r="FB32" s="22" t="n">
        <f aca="false">+FB31+FA32</f>
        <v>-70423</v>
      </c>
      <c r="FC32" s="74"/>
      <c r="FD32" s="74"/>
      <c r="FE32" s="74"/>
      <c r="FF32" s="74"/>
      <c r="FG32" s="74"/>
      <c r="FH32" s="74"/>
      <c r="FI32" s="74"/>
    </row>
    <row r="33" customFormat="false" ht="12.75" hidden="false" customHeight="false" outlineLevel="0" collapsed="false">
      <c r="A33" s="69" t="n">
        <f aca="false">+BaseloadMarkets!A33</f>
        <v>36705</v>
      </c>
      <c r="B33" s="69" t="str">
        <f aca="false">+BaseloadMarkets!B33</f>
        <v>Wed</v>
      </c>
      <c r="C33" s="22" t="n">
        <f aca="false">5000+5000</f>
        <v>10000</v>
      </c>
      <c r="D33" s="22" t="n">
        <f aca="false">5000+5000</f>
        <v>10000</v>
      </c>
      <c r="E33" s="70" t="n">
        <f aca="false">D33-C33</f>
        <v>0</v>
      </c>
      <c r="F33" s="22" t="n">
        <v>10000</v>
      </c>
      <c r="G33" s="22" t="n">
        <v>10000</v>
      </c>
      <c r="H33" s="70" t="n">
        <f aca="false">G33-F33</f>
        <v>0</v>
      </c>
      <c r="I33" s="22" t="n">
        <v>10000</v>
      </c>
      <c r="J33" s="22" t="n">
        <v>10000</v>
      </c>
      <c r="K33" s="70" t="n">
        <f aca="false">J33-I33</f>
        <v>0</v>
      </c>
      <c r="L33" s="22" t="n">
        <f aca="false">5000+5000</f>
        <v>10000</v>
      </c>
      <c r="M33" s="22" t="n">
        <f aca="false">5000+5000</f>
        <v>10000</v>
      </c>
      <c r="N33" s="70" t="n">
        <f aca="false">M33-L33</f>
        <v>0</v>
      </c>
      <c r="O33" s="22" t="n">
        <v>5000</v>
      </c>
      <c r="P33" s="22" t="n">
        <v>5000</v>
      </c>
      <c r="Q33" s="70" t="n">
        <f aca="false">P33-O33</f>
        <v>0</v>
      </c>
      <c r="R33" s="22" t="n">
        <v>5000</v>
      </c>
      <c r="S33" s="22" t="n">
        <v>5000</v>
      </c>
      <c r="T33" s="70" t="n">
        <f aca="false">S33-R33</f>
        <v>0</v>
      </c>
      <c r="U33" s="22" t="n">
        <v>5000</v>
      </c>
      <c r="V33" s="22" t="n">
        <v>5000</v>
      </c>
      <c r="W33" s="70" t="n">
        <f aca="false">V33-U33</f>
        <v>0</v>
      </c>
      <c r="X33" s="22" t="n">
        <v>10000</v>
      </c>
      <c r="Y33" s="22" t="n">
        <v>10000</v>
      </c>
      <c r="Z33" s="70" t="n">
        <f aca="false">Y33-X33</f>
        <v>0</v>
      </c>
      <c r="AA33" s="22"/>
      <c r="AB33" s="22"/>
      <c r="AC33" s="70" t="n">
        <f aca="false">AB33-AA33</f>
        <v>0</v>
      </c>
      <c r="AD33" s="22"/>
      <c r="AE33" s="22"/>
      <c r="AF33" s="70" t="n">
        <f aca="false">AE33-AD33</f>
        <v>0</v>
      </c>
      <c r="AG33" s="22" t="n">
        <v>540000</v>
      </c>
      <c r="AH33" s="22" t="n">
        <f aca="false">540000-1000+492-30000+14795</f>
        <v>524287</v>
      </c>
      <c r="AI33" s="70" t="n">
        <f aca="false">AH33-AG33</f>
        <v>-15713</v>
      </c>
      <c r="AJ33" s="22"/>
      <c r="AK33" s="22"/>
      <c r="AL33" s="70" t="n">
        <f aca="false">AK33-AJ33</f>
        <v>0</v>
      </c>
      <c r="AM33" s="22"/>
      <c r="AN33" s="22"/>
      <c r="AO33" s="70" t="n">
        <f aca="false">AN33-AM33</f>
        <v>0</v>
      </c>
      <c r="AP33" s="22"/>
      <c r="AQ33" s="22"/>
      <c r="AR33" s="70" t="n">
        <f aca="false">AQ33-AP33</f>
        <v>0</v>
      </c>
      <c r="AS33" s="22"/>
      <c r="AT33" s="22"/>
      <c r="AU33" s="70" t="n">
        <f aca="false">AT33-AS33</f>
        <v>0</v>
      </c>
      <c r="AV33" s="22"/>
      <c r="AW33" s="22"/>
      <c r="AX33" s="70" t="n">
        <f aca="false">AW33-AV33</f>
        <v>0</v>
      </c>
      <c r="AY33" s="22"/>
      <c r="AZ33" s="22"/>
      <c r="BA33" s="70" t="n">
        <f aca="false">AZ33-AY33</f>
        <v>0</v>
      </c>
      <c r="BB33" s="22"/>
      <c r="BC33" s="22"/>
      <c r="BD33" s="70" t="n">
        <f aca="false">BC33-BB33</f>
        <v>0</v>
      </c>
      <c r="BE33" s="22"/>
      <c r="BF33" s="22"/>
      <c r="BG33" s="70" t="n">
        <f aca="false">BF33-BE33</f>
        <v>0</v>
      </c>
      <c r="BH33" s="22"/>
      <c r="BI33" s="22"/>
      <c r="BJ33" s="70" t="n">
        <f aca="false">BI33-BH33</f>
        <v>0</v>
      </c>
      <c r="BK33" s="22"/>
      <c r="BL33" s="22"/>
      <c r="BM33" s="70" t="n">
        <f aca="false">BL33-BK33</f>
        <v>0</v>
      </c>
      <c r="BN33" s="22"/>
      <c r="BO33" s="22"/>
      <c r="BP33" s="70" t="n">
        <f aca="false">BO33-BN33</f>
        <v>0</v>
      </c>
      <c r="BQ33" s="22"/>
      <c r="BR33" s="22"/>
      <c r="BS33" s="70" t="n">
        <f aca="false">BR33-BQ33</f>
        <v>0</v>
      </c>
      <c r="BT33" s="22"/>
      <c r="BU33" s="22"/>
      <c r="BV33" s="70" t="n">
        <f aca="false">BU33-BT33</f>
        <v>0</v>
      </c>
      <c r="BW33" s="22"/>
      <c r="BX33" s="22"/>
      <c r="BY33" s="70" t="n">
        <f aca="false">BX33-BW33</f>
        <v>0</v>
      </c>
      <c r="BZ33" s="22"/>
      <c r="CA33" s="22"/>
      <c r="CB33" s="70" t="n">
        <f aca="false">CA33-BZ33</f>
        <v>0</v>
      </c>
      <c r="CC33" s="22"/>
      <c r="CD33" s="22"/>
      <c r="CE33" s="70" t="n">
        <f aca="false">CD33-CC33</f>
        <v>0</v>
      </c>
      <c r="CF33" s="22"/>
      <c r="CG33" s="22"/>
      <c r="CH33" s="70" t="n">
        <f aca="false">CG33-CF33</f>
        <v>0</v>
      </c>
      <c r="CI33" s="22"/>
      <c r="CJ33" s="22"/>
      <c r="CK33" s="70" t="n">
        <f aca="false">CJ33-CI33</f>
        <v>0</v>
      </c>
      <c r="CL33" s="22"/>
      <c r="CM33" s="22"/>
      <c r="CN33" s="70" t="n">
        <f aca="false">CM33-CL33</f>
        <v>0</v>
      </c>
      <c r="CO33" s="22"/>
      <c r="CP33" s="22"/>
      <c r="CQ33" s="70" t="n">
        <f aca="false">CP33-CO33</f>
        <v>0</v>
      </c>
      <c r="CR33" s="22"/>
      <c r="CS33" s="22"/>
      <c r="CT33" s="70" t="n">
        <f aca="false">CS33-CR33</f>
        <v>0</v>
      </c>
      <c r="CU33" s="22"/>
      <c r="CV33" s="22"/>
      <c r="CW33" s="70" t="n">
        <f aca="false">CV33-CU33</f>
        <v>0</v>
      </c>
      <c r="CX33" s="22"/>
      <c r="CY33" s="22"/>
      <c r="CZ33" s="70" t="n">
        <f aca="false">CY33-CX33</f>
        <v>0</v>
      </c>
      <c r="DA33" s="22"/>
      <c r="DB33" s="22"/>
      <c r="DC33" s="70" t="n">
        <f aca="false">DB33-DA33</f>
        <v>0</v>
      </c>
      <c r="DD33" s="22"/>
      <c r="DE33" s="22"/>
      <c r="DF33" s="70" t="n">
        <f aca="false">DE33-DD33</f>
        <v>0</v>
      </c>
      <c r="DG33" s="22"/>
      <c r="DH33" s="22"/>
      <c r="DI33" s="70" t="n">
        <f aca="false">DH33-DG33</f>
        <v>0</v>
      </c>
      <c r="DJ33" s="22"/>
      <c r="DK33" s="22"/>
      <c r="DL33" s="70" t="n">
        <f aca="false">DK33-DJ33</f>
        <v>0</v>
      </c>
      <c r="DM33" s="22"/>
      <c r="DN33" s="22"/>
      <c r="DO33" s="70" t="n">
        <f aca="false">DN33-DM33</f>
        <v>0</v>
      </c>
      <c r="DP33" s="22"/>
      <c r="DQ33" s="22"/>
      <c r="DR33" s="70" t="n">
        <f aca="false">DQ33-DP33</f>
        <v>0</v>
      </c>
      <c r="DS33" s="22"/>
      <c r="DT33" s="22"/>
      <c r="DU33" s="70" t="n">
        <f aca="false">DT33-DS33</f>
        <v>0</v>
      </c>
      <c r="DV33" s="22"/>
      <c r="DW33" s="22"/>
      <c r="DX33" s="70" t="n">
        <f aca="false">DW33-DV33</f>
        <v>0</v>
      </c>
      <c r="DY33" s="22"/>
      <c r="DZ33" s="22"/>
      <c r="EA33" s="70" t="n">
        <f aca="false">DZ33-DY33</f>
        <v>0</v>
      </c>
      <c r="EB33" s="22"/>
      <c r="EC33" s="22"/>
      <c r="ED33" s="70" t="n">
        <f aca="false">EC33-EB33</f>
        <v>0</v>
      </c>
      <c r="EE33" s="22"/>
      <c r="EF33" s="22"/>
      <c r="EG33" s="70" t="n">
        <f aca="false">EF33-EE33</f>
        <v>0</v>
      </c>
      <c r="EH33" s="22"/>
      <c r="EI33" s="22"/>
      <c r="EJ33" s="70" t="n">
        <f aca="false">EI33-EH33</f>
        <v>0</v>
      </c>
      <c r="EK33" s="22"/>
      <c r="EL33" s="22"/>
      <c r="EM33" s="70" t="n">
        <f aca="false">EL33-EK33</f>
        <v>0</v>
      </c>
      <c r="EN33" s="22"/>
      <c r="EO33" s="22"/>
      <c r="EP33" s="70" t="n">
        <f aca="false">EO33-EN33</f>
        <v>0</v>
      </c>
      <c r="EQ33" s="70" t="n">
        <f aca="false">+C33+F33+I33+L33+O33+R33+U33+X33+AA33+AD33+AG33+AJ33+AM33+AP33+AS33+AV33+AY33+BB33+BE33+BH33+BK33+BN33+BQ33+BT33+BW33+BZ33+CC33+CF33+CI33+CL33+CO33+CR33+CU33+CX33+DA33+DD33+DG33+DJ33+DM33+DP33+DS33+DV33+DY33+EB33+EE33+EH33+EK33+EN33</f>
        <v>605000</v>
      </c>
      <c r="ER33" s="70" t="n">
        <f aca="false">+D33+G33+J33+M33+P33+S33+V33+Y33+AB33+AE33+AH33+AK33+AN33+AQ33+AT33+AW33+AZ33+BC33+BF33+BI33+BL33+BO33+BR33+BU33+BX33+CA33+CD33+CG33+CJ33+CM33+CP33+CS33+CV33+CY33+DB33+DE33+DH33+DK33+DN33+DQ33+DT33+DW33+DZ33+EC33+EF33+EI33+EL33+EO33</f>
        <v>589287</v>
      </c>
      <c r="ES33" s="70" t="n">
        <f aca="false">ER33-EQ33</f>
        <v>-15713</v>
      </c>
      <c r="ET33" s="22" t="n">
        <f aca="false">+ET32+ES33</f>
        <v>-154909</v>
      </c>
      <c r="EU33" s="74"/>
      <c r="EV33" s="70" t="n">
        <f aca="false">+EQ33-AG33</f>
        <v>65000</v>
      </c>
      <c r="EW33" s="70" t="n">
        <f aca="false">+ER33-AH33</f>
        <v>65000</v>
      </c>
      <c r="EX33" s="22" t="n">
        <f aca="false">+EW33-EV33</f>
        <v>0</v>
      </c>
      <c r="EY33" s="22" t="n">
        <f aca="false">+EY32+EX33</f>
        <v>-68773</v>
      </c>
      <c r="EZ33" s="74"/>
      <c r="FA33" s="22" t="n">
        <f aca="false">+AI33</f>
        <v>-15713</v>
      </c>
      <c r="FB33" s="22" t="n">
        <f aca="false">+FB32+FA33</f>
        <v>-86136</v>
      </c>
      <c r="FC33" s="74"/>
      <c r="FD33" s="74"/>
      <c r="FE33" s="74"/>
      <c r="FF33" s="74"/>
      <c r="FG33" s="74"/>
      <c r="FH33" s="74"/>
      <c r="FI33" s="74"/>
    </row>
    <row r="34" customFormat="false" ht="12.75" hidden="false" customHeight="false" outlineLevel="0" collapsed="false">
      <c r="A34" s="69" t="n">
        <f aca="false">+BaseloadMarkets!A34</f>
        <v>36706</v>
      </c>
      <c r="B34" s="69" t="str">
        <f aca="false">+BaseloadMarkets!B34</f>
        <v>Thu</v>
      </c>
      <c r="C34" s="22" t="n">
        <f aca="false">5000+5000</f>
        <v>10000</v>
      </c>
      <c r="D34" s="22" t="n">
        <f aca="false">5000+5000</f>
        <v>10000</v>
      </c>
      <c r="E34" s="70" t="n">
        <f aca="false">D34-C34</f>
        <v>0</v>
      </c>
      <c r="F34" s="22" t="n">
        <v>10000</v>
      </c>
      <c r="G34" s="22" t="n">
        <v>10000</v>
      </c>
      <c r="H34" s="70" t="n">
        <f aca="false">G34-F34</f>
        <v>0</v>
      </c>
      <c r="I34" s="22" t="n">
        <v>10000</v>
      </c>
      <c r="J34" s="22" t="n">
        <v>10000</v>
      </c>
      <c r="K34" s="70" t="n">
        <f aca="false">J34-I34</f>
        <v>0</v>
      </c>
      <c r="L34" s="22" t="n">
        <f aca="false">5000+5000</f>
        <v>10000</v>
      </c>
      <c r="M34" s="22" t="n">
        <f aca="false">5000+5000</f>
        <v>10000</v>
      </c>
      <c r="N34" s="70" t="n">
        <f aca="false">M34-L34</f>
        <v>0</v>
      </c>
      <c r="O34" s="22" t="n">
        <v>5000</v>
      </c>
      <c r="P34" s="22" t="n">
        <v>5000</v>
      </c>
      <c r="Q34" s="70" t="n">
        <f aca="false">P34-O34</f>
        <v>0</v>
      </c>
      <c r="R34" s="22" t="n">
        <v>5000</v>
      </c>
      <c r="S34" s="22" t="n">
        <v>5000</v>
      </c>
      <c r="T34" s="70" t="n">
        <f aca="false">S34-R34</f>
        <v>0</v>
      </c>
      <c r="U34" s="22" t="n">
        <v>5000</v>
      </c>
      <c r="V34" s="22" t="n">
        <v>5000</v>
      </c>
      <c r="W34" s="70" t="n">
        <f aca="false">V34-U34</f>
        <v>0</v>
      </c>
      <c r="X34" s="22" t="n">
        <v>10000</v>
      </c>
      <c r="Y34" s="22" t="n">
        <v>10000</v>
      </c>
      <c r="Z34" s="70" t="n">
        <f aca="false">Y34-X34</f>
        <v>0</v>
      </c>
      <c r="AA34" s="22"/>
      <c r="AB34" s="22"/>
      <c r="AC34" s="70" t="n">
        <f aca="false">AB34-AA34</f>
        <v>0</v>
      </c>
      <c r="AD34" s="22"/>
      <c r="AE34" s="22"/>
      <c r="AF34" s="70" t="n">
        <f aca="false">AE34-AD34</f>
        <v>0</v>
      </c>
      <c r="AG34" s="22" t="n">
        <v>505000</v>
      </c>
      <c r="AH34" s="22" t="n">
        <f aca="false">505000-6000+3435</f>
        <v>502435</v>
      </c>
      <c r="AI34" s="70" t="n">
        <f aca="false">AH34-AG34</f>
        <v>-2565</v>
      </c>
      <c r="AJ34" s="22"/>
      <c r="AK34" s="22"/>
      <c r="AL34" s="70" t="n">
        <f aca="false">AK34-AJ34</f>
        <v>0</v>
      </c>
      <c r="AM34" s="22"/>
      <c r="AN34" s="22"/>
      <c r="AO34" s="70" t="n">
        <f aca="false">AN34-AM34</f>
        <v>0</v>
      </c>
      <c r="AP34" s="22"/>
      <c r="AQ34" s="22"/>
      <c r="AR34" s="70" t="n">
        <f aca="false">AQ34-AP34</f>
        <v>0</v>
      </c>
      <c r="AS34" s="22"/>
      <c r="AT34" s="22"/>
      <c r="AU34" s="70" t="n">
        <f aca="false">AT34-AS34</f>
        <v>0</v>
      </c>
      <c r="AV34" s="22"/>
      <c r="AW34" s="22"/>
      <c r="AX34" s="70" t="n">
        <f aca="false">AW34-AV34</f>
        <v>0</v>
      </c>
      <c r="AY34" s="22"/>
      <c r="AZ34" s="22"/>
      <c r="BA34" s="70" t="n">
        <f aca="false">AZ34-AY34</f>
        <v>0</v>
      </c>
      <c r="BB34" s="22"/>
      <c r="BC34" s="22"/>
      <c r="BD34" s="70" t="n">
        <f aca="false">BC34-BB34</f>
        <v>0</v>
      </c>
      <c r="BE34" s="22"/>
      <c r="BF34" s="22"/>
      <c r="BG34" s="70" t="n">
        <f aca="false">BF34-BE34</f>
        <v>0</v>
      </c>
      <c r="BH34" s="22"/>
      <c r="BI34" s="22"/>
      <c r="BJ34" s="70" t="n">
        <f aca="false">BI34-BH34</f>
        <v>0</v>
      </c>
      <c r="BK34" s="22"/>
      <c r="BL34" s="22"/>
      <c r="BM34" s="70" t="n">
        <f aca="false">BL34-BK34</f>
        <v>0</v>
      </c>
      <c r="BN34" s="22"/>
      <c r="BO34" s="22"/>
      <c r="BP34" s="70" t="n">
        <f aca="false">BO34-BN34</f>
        <v>0</v>
      </c>
      <c r="BQ34" s="22"/>
      <c r="BR34" s="22"/>
      <c r="BS34" s="70" t="n">
        <f aca="false">BR34-BQ34</f>
        <v>0</v>
      </c>
      <c r="BT34" s="22"/>
      <c r="BU34" s="22"/>
      <c r="BV34" s="70" t="n">
        <f aca="false">BU34-BT34</f>
        <v>0</v>
      </c>
      <c r="BW34" s="22"/>
      <c r="BX34" s="22"/>
      <c r="BY34" s="70" t="n">
        <f aca="false">BX34-BW34</f>
        <v>0</v>
      </c>
      <c r="BZ34" s="22"/>
      <c r="CA34" s="22"/>
      <c r="CB34" s="70" t="n">
        <f aca="false">CA34-BZ34</f>
        <v>0</v>
      </c>
      <c r="CC34" s="22"/>
      <c r="CD34" s="22"/>
      <c r="CE34" s="70" t="n">
        <f aca="false">CD34-CC34</f>
        <v>0</v>
      </c>
      <c r="CF34" s="22"/>
      <c r="CG34" s="22"/>
      <c r="CH34" s="70" t="n">
        <f aca="false">CG34-CF34</f>
        <v>0</v>
      </c>
      <c r="CI34" s="22"/>
      <c r="CJ34" s="22"/>
      <c r="CK34" s="70" t="n">
        <f aca="false">CJ34-CI34</f>
        <v>0</v>
      </c>
      <c r="CL34" s="22"/>
      <c r="CM34" s="22"/>
      <c r="CN34" s="70" t="n">
        <f aca="false">CM34-CL34</f>
        <v>0</v>
      </c>
      <c r="CO34" s="22"/>
      <c r="CP34" s="22"/>
      <c r="CQ34" s="70" t="n">
        <f aca="false">CP34-CO34</f>
        <v>0</v>
      </c>
      <c r="CR34" s="22"/>
      <c r="CS34" s="22"/>
      <c r="CT34" s="70" t="n">
        <f aca="false">CS34-CR34</f>
        <v>0</v>
      </c>
      <c r="CU34" s="22"/>
      <c r="CV34" s="22"/>
      <c r="CW34" s="70" t="n">
        <f aca="false">CV34-CU34</f>
        <v>0</v>
      </c>
      <c r="CX34" s="22"/>
      <c r="CY34" s="22"/>
      <c r="CZ34" s="70" t="n">
        <f aca="false">CY34-CX34</f>
        <v>0</v>
      </c>
      <c r="DA34" s="22"/>
      <c r="DB34" s="22"/>
      <c r="DC34" s="70" t="n">
        <f aca="false">DB34-DA34</f>
        <v>0</v>
      </c>
      <c r="DD34" s="22"/>
      <c r="DE34" s="22"/>
      <c r="DF34" s="70" t="n">
        <f aca="false">DE34-DD34</f>
        <v>0</v>
      </c>
      <c r="DG34" s="22"/>
      <c r="DH34" s="22"/>
      <c r="DI34" s="70" t="n">
        <f aca="false">DH34-DG34</f>
        <v>0</v>
      </c>
      <c r="DJ34" s="22"/>
      <c r="DK34" s="22"/>
      <c r="DL34" s="70" t="n">
        <f aca="false">DK34-DJ34</f>
        <v>0</v>
      </c>
      <c r="DM34" s="22"/>
      <c r="DN34" s="22"/>
      <c r="DO34" s="70" t="n">
        <f aca="false">DN34-DM34</f>
        <v>0</v>
      </c>
      <c r="DP34" s="22"/>
      <c r="DQ34" s="22"/>
      <c r="DR34" s="70" t="n">
        <f aca="false">DQ34-DP34</f>
        <v>0</v>
      </c>
      <c r="DS34" s="22"/>
      <c r="DT34" s="22"/>
      <c r="DU34" s="70" t="n">
        <f aca="false">DT34-DS34</f>
        <v>0</v>
      </c>
      <c r="DV34" s="22"/>
      <c r="DW34" s="22"/>
      <c r="DX34" s="70" t="n">
        <f aca="false">DW34-DV34</f>
        <v>0</v>
      </c>
      <c r="DY34" s="22"/>
      <c r="DZ34" s="22"/>
      <c r="EA34" s="70" t="n">
        <f aca="false">DZ34-DY34</f>
        <v>0</v>
      </c>
      <c r="EB34" s="22"/>
      <c r="EC34" s="22"/>
      <c r="ED34" s="70" t="n">
        <f aca="false">EC34-EB34</f>
        <v>0</v>
      </c>
      <c r="EE34" s="22"/>
      <c r="EF34" s="22"/>
      <c r="EG34" s="70" t="n">
        <f aca="false">EF34-EE34</f>
        <v>0</v>
      </c>
      <c r="EH34" s="22"/>
      <c r="EI34" s="22"/>
      <c r="EJ34" s="70" t="n">
        <f aca="false">EI34-EH34</f>
        <v>0</v>
      </c>
      <c r="EK34" s="22"/>
      <c r="EL34" s="22"/>
      <c r="EM34" s="70" t="n">
        <f aca="false">EL34-EK34</f>
        <v>0</v>
      </c>
      <c r="EN34" s="22"/>
      <c r="EO34" s="22"/>
      <c r="EP34" s="70" t="n">
        <f aca="false">EO34-EN34</f>
        <v>0</v>
      </c>
      <c r="EQ34" s="70" t="n">
        <f aca="false">+C34+F34+I34+L34+O34+R34+U34+X34+AA34+AD34+AG34+AJ34+AM34+AP34+AS34+AV34+AY34+BB34+BE34+BH34+BK34+BN34+BQ34+BT34+BW34+BZ34+CC34+CF34+CI34+CL34+CO34+CR34+CU34+CX34+DA34+DD34+DG34+DJ34+DM34+DP34+DS34+DV34+DY34+EB34+EE34+EH34+EK34+EN34</f>
        <v>570000</v>
      </c>
      <c r="ER34" s="70" t="n">
        <f aca="false">+D34+G34+J34+M34+P34+S34+V34+Y34+AB34+AE34+AH34+AK34+AN34+AQ34+AT34+AW34+AZ34+BC34+BF34+BI34+BL34+BO34+BR34+BU34+BX34+CA34+CD34+CG34+CJ34+CM34+CP34+CS34+CV34+CY34+DB34+DE34+DH34+DK34+DN34+DQ34+DT34+DW34+DZ34+EC34+EF34+EI34+EL34+EO34</f>
        <v>567435</v>
      </c>
      <c r="ES34" s="70" t="n">
        <f aca="false">ER34-EQ34</f>
        <v>-2565</v>
      </c>
      <c r="ET34" s="22" t="n">
        <f aca="false">+ET33+ES34</f>
        <v>-157474</v>
      </c>
      <c r="EU34" s="74"/>
      <c r="EV34" s="70" t="n">
        <f aca="false">+EQ34-AG34</f>
        <v>65000</v>
      </c>
      <c r="EW34" s="70" t="n">
        <f aca="false">+ER34-AH34</f>
        <v>65000</v>
      </c>
      <c r="EX34" s="22" t="n">
        <f aca="false">+EW34-EV34</f>
        <v>0</v>
      </c>
      <c r="EY34" s="22" t="n">
        <f aca="false">+EY33+EX34</f>
        <v>-68773</v>
      </c>
      <c r="EZ34" s="74"/>
      <c r="FA34" s="22" t="n">
        <f aca="false">+AI34</f>
        <v>-2565</v>
      </c>
      <c r="FB34" s="22" t="n">
        <f aca="false">+FB33+FA34</f>
        <v>-88701</v>
      </c>
      <c r="FC34" s="74"/>
      <c r="FD34" s="74"/>
      <c r="FE34" s="74"/>
      <c r="FF34" s="74"/>
      <c r="FG34" s="74"/>
      <c r="FH34" s="74"/>
      <c r="FI34" s="74"/>
    </row>
    <row r="35" customFormat="false" ht="12" hidden="false" customHeight="true" outlineLevel="0" collapsed="false">
      <c r="A35" s="69" t="n">
        <f aca="false">+BaseloadMarkets!A35</f>
        <v>36707</v>
      </c>
      <c r="B35" s="69" t="str">
        <f aca="false">+BaseloadMarkets!B35</f>
        <v>Fri</v>
      </c>
      <c r="C35" s="22" t="n">
        <f aca="false">5000+5000</f>
        <v>10000</v>
      </c>
      <c r="D35" s="22" t="n">
        <f aca="false">5000+5000</f>
        <v>10000</v>
      </c>
      <c r="E35" s="70" t="n">
        <f aca="false">D35-C35</f>
        <v>0</v>
      </c>
      <c r="F35" s="22" t="n">
        <v>10000</v>
      </c>
      <c r="G35" s="22" t="n">
        <v>10000</v>
      </c>
      <c r="H35" s="70" t="n">
        <f aca="false">G35-F35</f>
        <v>0</v>
      </c>
      <c r="I35" s="22" t="n">
        <v>10000</v>
      </c>
      <c r="J35" s="22" t="n">
        <v>10000</v>
      </c>
      <c r="K35" s="70" t="n">
        <f aca="false">J35-I35</f>
        <v>0</v>
      </c>
      <c r="L35" s="22" t="n">
        <f aca="false">5000+5000</f>
        <v>10000</v>
      </c>
      <c r="M35" s="22" t="n">
        <f aca="false">5000+5000</f>
        <v>10000</v>
      </c>
      <c r="N35" s="70" t="n">
        <f aca="false">M35-L35</f>
        <v>0</v>
      </c>
      <c r="O35" s="22" t="n">
        <v>5000</v>
      </c>
      <c r="P35" s="22" t="n">
        <v>5000</v>
      </c>
      <c r="Q35" s="70" t="n">
        <f aca="false">P35-O35</f>
        <v>0</v>
      </c>
      <c r="R35" s="22" t="n">
        <v>5000</v>
      </c>
      <c r="S35" s="22" t="n">
        <v>5000</v>
      </c>
      <c r="T35" s="70" t="n">
        <f aca="false">S35-R35</f>
        <v>0</v>
      </c>
      <c r="U35" s="22" t="n">
        <v>5000</v>
      </c>
      <c r="V35" s="22" t="n">
        <v>5000</v>
      </c>
      <c r="W35" s="70" t="n">
        <f aca="false">V35-U35</f>
        <v>0</v>
      </c>
      <c r="X35" s="22" t="n">
        <v>10000</v>
      </c>
      <c r="Y35" s="22" t="n">
        <v>10000</v>
      </c>
      <c r="Z35" s="70" t="n">
        <f aca="false">Y35-X35</f>
        <v>0</v>
      </c>
      <c r="AA35" s="22"/>
      <c r="AB35" s="22"/>
      <c r="AC35" s="70" t="n">
        <f aca="false">AB35-AA35</f>
        <v>0</v>
      </c>
      <c r="AD35" s="22"/>
      <c r="AE35" s="22"/>
      <c r="AF35" s="70" t="n">
        <f aca="false">AE35-AD35</f>
        <v>0</v>
      </c>
      <c r="AG35" s="22" t="n">
        <v>140000</v>
      </c>
      <c r="AH35" s="22" t="n">
        <v>140000</v>
      </c>
      <c r="AI35" s="70" t="n">
        <f aca="false">AH35-AG35</f>
        <v>0</v>
      </c>
      <c r="AJ35" s="22"/>
      <c r="AK35" s="22"/>
      <c r="AL35" s="70" t="n">
        <f aca="false">AK35-AJ35</f>
        <v>0</v>
      </c>
      <c r="AM35" s="22"/>
      <c r="AN35" s="22"/>
      <c r="AO35" s="70" t="n">
        <f aca="false">AN35-AM35</f>
        <v>0</v>
      </c>
      <c r="AP35" s="22"/>
      <c r="AQ35" s="22"/>
      <c r="AR35" s="70" t="n">
        <f aca="false">AQ35-AP35</f>
        <v>0</v>
      </c>
      <c r="AS35" s="22"/>
      <c r="AT35" s="22"/>
      <c r="AU35" s="70" t="n">
        <f aca="false">AT35-AS35</f>
        <v>0</v>
      </c>
      <c r="AV35" s="22"/>
      <c r="AW35" s="22"/>
      <c r="AX35" s="70" t="n">
        <f aca="false">AW35-AV35</f>
        <v>0</v>
      </c>
      <c r="AY35" s="22"/>
      <c r="AZ35" s="22"/>
      <c r="BA35" s="70" t="n">
        <f aca="false">AZ35-AY35</f>
        <v>0</v>
      </c>
      <c r="BB35" s="22"/>
      <c r="BC35" s="22"/>
      <c r="BD35" s="70" t="n">
        <f aca="false">BC35-BB35</f>
        <v>0</v>
      </c>
      <c r="BE35" s="22"/>
      <c r="BF35" s="22"/>
      <c r="BG35" s="70" t="n">
        <f aca="false">BF35-BE35</f>
        <v>0</v>
      </c>
      <c r="BH35" s="22"/>
      <c r="BI35" s="22"/>
      <c r="BJ35" s="70" t="n">
        <f aca="false">BI35-BH35</f>
        <v>0</v>
      </c>
      <c r="BK35" s="22"/>
      <c r="BL35" s="22"/>
      <c r="BM35" s="70" t="n">
        <f aca="false">BL35-BK35</f>
        <v>0</v>
      </c>
      <c r="BN35" s="22"/>
      <c r="BO35" s="22"/>
      <c r="BP35" s="70" t="n">
        <f aca="false">BO35-BN35</f>
        <v>0</v>
      </c>
      <c r="BQ35" s="22"/>
      <c r="BR35" s="22"/>
      <c r="BS35" s="70" t="n">
        <f aca="false">BR35-BQ35</f>
        <v>0</v>
      </c>
      <c r="BT35" s="22"/>
      <c r="BU35" s="22"/>
      <c r="BV35" s="70" t="n">
        <f aca="false">BU35-BT35</f>
        <v>0</v>
      </c>
      <c r="BW35" s="22"/>
      <c r="BX35" s="22"/>
      <c r="BY35" s="70" t="n">
        <f aca="false">BX35-BW35</f>
        <v>0</v>
      </c>
      <c r="BZ35" s="22"/>
      <c r="CA35" s="22"/>
      <c r="CB35" s="70" t="n">
        <f aca="false">CA35-BZ35</f>
        <v>0</v>
      </c>
      <c r="CC35" s="22"/>
      <c r="CD35" s="22"/>
      <c r="CE35" s="70" t="n">
        <f aca="false">CD35-CC35</f>
        <v>0</v>
      </c>
      <c r="CF35" s="22"/>
      <c r="CG35" s="22"/>
      <c r="CH35" s="70" t="n">
        <f aca="false">CG35-CF35</f>
        <v>0</v>
      </c>
      <c r="CI35" s="22"/>
      <c r="CJ35" s="22"/>
      <c r="CK35" s="70" t="n">
        <f aca="false">CJ35-CI35</f>
        <v>0</v>
      </c>
      <c r="CL35" s="22"/>
      <c r="CM35" s="22"/>
      <c r="CN35" s="70" t="n">
        <f aca="false">CM35-CL35</f>
        <v>0</v>
      </c>
      <c r="CO35" s="22"/>
      <c r="CP35" s="22"/>
      <c r="CQ35" s="70" t="n">
        <f aca="false">CP35-CO35</f>
        <v>0</v>
      </c>
      <c r="CR35" s="22"/>
      <c r="CS35" s="22"/>
      <c r="CT35" s="70" t="n">
        <f aca="false">CS35-CR35</f>
        <v>0</v>
      </c>
      <c r="CU35" s="22"/>
      <c r="CV35" s="22"/>
      <c r="CW35" s="70" t="n">
        <f aca="false">CV35-CU35</f>
        <v>0</v>
      </c>
      <c r="CX35" s="22"/>
      <c r="CY35" s="22"/>
      <c r="CZ35" s="70" t="n">
        <f aca="false">CY35-CX35</f>
        <v>0</v>
      </c>
      <c r="DA35" s="22"/>
      <c r="DB35" s="22"/>
      <c r="DC35" s="70" t="n">
        <f aca="false">DB35-DA35</f>
        <v>0</v>
      </c>
      <c r="DD35" s="22"/>
      <c r="DE35" s="22"/>
      <c r="DF35" s="70" t="n">
        <f aca="false">DE35-DD35</f>
        <v>0</v>
      </c>
      <c r="DG35" s="22"/>
      <c r="DH35" s="22"/>
      <c r="DI35" s="70" t="n">
        <f aca="false">DH35-DG35</f>
        <v>0</v>
      </c>
      <c r="DJ35" s="22"/>
      <c r="DK35" s="22"/>
      <c r="DL35" s="70" t="n">
        <f aca="false">DK35-DJ35</f>
        <v>0</v>
      </c>
      <c r="DM35" s="22"/>
      <c r="DN35" s="22"/>
      <c r="DO35" s="70" t="n">
        <f aca="false">DN35-DM35</f>
        <v>0</v>
      </c>
      <c r="DP35" s="22"/>
      <c r="DQ35" s="22"/>
      <c r="DR35" s="70" t="n">
        <f aca="false">DQ35-DP35</f>
        <v>0</v>
      </c>
      <c r="DS35" s="22"/>
      <c r="DT35" s="22"/>
      <c r="DU35" s="70" t="n">
        <f aca="false">DT35-DS35</f>
        <v>0</v>
      </c>
      <c r="DV35" s="22"/>
      <c r="DW35" s="22"/>
      <c r="DX35" s="70" t="n">
        <f aca="false">DW35-DV35</f>
        <v>0</v>
      </c>
      <c r="DY35" s="22"/>
      <c r="DZ35" s="22"/>
      <c r="EA35" s="70" t="n">
        <f aca="false">DZ35-DY35</f>
        <v>0</v>
      </c>
      <c r="EB35" s="22"/>
      <c r="EC35" s="22"/>
      <c r="ED35" s="70" t="n">
        <f aca="false">EC35-EB35</f>
        <v>0</v>
      </c>
      <c r="EE35" s="22"/>
      <c r="EF35" s="22"/>
      <c r="EG35" s="70" t="n">
        <f aca="false">EF35-EE35</f>
        <v>0</v>
      </c>
      <c r="EH35" s="22"/>
      <c r="EI35" s="22"/>
      <c r="EJ35" s="70" t="n">
        <f aca="false">EI35-EH35</f>
        <v>0</v>
      </c>
      <c r="EK35" s="22"/>
      <c r="EL35" s="22"/>
      <c r="EM35" s="70" t="n">
        <f aca="false">EL35-EK35</f>
        <v>0</v>
      </c>
      <c r="EN35" s="22"/>
      <c r="EO35" s="22"/>
      <c r="EP35" s="70" t="n">
        <f aca="false">EO35-EN35</f>
        <v>0</v>
      </c>
      <c r="EQ35" s="70" t="n">
        <f aca="false">+C35+F35+I35+L35+O35+R35+U35+X35+AA35+AD35+AG35+AJ35+AM35+AP35+AS35+AV35+AY35+BB35+BE35+BH35+BK35+BN35+BQ35+BT35+BW35+BZ35+CC35+CF35+CI35+CL35+CO35+CR35+CU35+CX35+DA35+DD35+DG35+DJ35+DM35+DP35+DS35+DV35+DY35+EB35+EE35+EH35+EK35+EN35</f>
        <v>205000</v>
      </c>
      <c r="ER35" s="70" t="n">
        <f aca="false">+D35+G35+J35+M35+P35+S35+V35+Y35+AB35+AE35+AH35+AK35+AN35+AQ35+AT35+AW35+AZ35+BC35+BF35+BI35+BL35+BO35+BR35+BU35+BX35+CA35+CD35+CG35+CJ35+CM35+CP35+CS35+CV35+CY35+DB35+DE35+DH35+DK35+DN35+DQ35+DT35+DW35+DZ35+EC35+EF35+EI35+EL35+EO35</f>
        <v>205000</v>
      </c>
      <c r="ES35" s="70" t="n">
        <f aca="false">ER35-EQ35</f>
        <v>0</v>
      </c>
      <c r="ET35" s="22" t="n">
        <f aca="false">+ET34+ES35</f>
        <v>-157474</v>
      </c>
      <c r="EU35" s="74"/>
      <c r="EV35" s="70" t="n">
        <f aca="false">+EQ35-AG35</f>
        <v>65000</v>
      </c>
      <c r="EW35" s="70" t="n">
        <f aca="false">+ER35-AH35</f>
        <v>65000</v>
      </c>
      <c r="EX35" s="22" t="n">
        <f aca="false">+EW35-EV35</f>
        <v>0</v>
      </c>
      <c r="EY35" s="22" t="n">
        <f aca="false">+EY34+EX35</f>
        <v>-68773</v>
      </c>
      <c r="EZ35" s="74"/>
      <c r="FA35" s="22" t="n">
        <f aca="false">+AI35</f>
        <v>0</v>
      </c>
      <c r="FB35" s="22" t="n">
        <f aca="false">+FB34+FA35</f>
        <v>-88701</v>
      </c>
      <c r="FC35" s="74"/>
      <c r="FD35" s="74"/>
      <c r="FE35" s="74"/>
      <c r="FF35" s="74"/>
      <c r="FG35" s="74"/>
      <c r="FH35" s="74"/>
      <c r="FI35" s="74"/>
    </row>
    <row r="36" customFormat="false" ht="12" hidden="false" customHeight="true" outlineLevel="0" collapsed="false">
      <c r="A36" s="69"/>
      <c r="B36" s="69"/>
      <c r="C36" s="22"/>
      <c r="D36" s="22"/>
      <c r="E36" s="70"/>
      <c r="F36" s="22"/>
      <c r="G36" s="22"/>
      <c r="H36" s="70"/>
      <c r="I36" s="22"/>
      <c r="J36" s="22"/>
      <c r="K36" s="70"/>
      <c r="L36" s="22"/>
      <c r="M36" s="22"/>
      <c r="N36" s="70"/>
      <c r="O36" s="22"/>
      <c r="P36" s="22"/>
      <c r="Q36" s="70"/>
      <c r="R36" s="22"/>
      <c r="S36" s="22"/>
      <c r="T36" s="70"/>
      <c r="U36" s="22"/>
      <c r="V36" s="22"/>
      <c r="W36" s="70"/>
      <c r="X36" s="22"/>
      <c r="Y36" s="22"/>
      <c r="Z36" s="70"/>
      <c r="AA36" s="22"/>
      <c r="AB36" s="22"/>
      <c r="AC36" s="70"/>
      <c r="AD36" s="22"/>
      <c r="AE36" s="22"/>
      <c r="AF36" s="70"/>
      <c r="AG36" s="22"/>
      <c r="AH36" s="22"/>
      <c r="AI36" s="70"/>
      <c r="AJ36" s="22"/>
      <c r="AK36" s="22"/>
      <c r="AL36" s="70"/>
      <c r="AM36" s="22"/>
      <c r="AN36" s="22"/>
      <c r="AO36" s="70"/>
      <c r="AP36" s="22"/>
      <c r="AQ36" s="22"/>
      <c r="AR36" s="70"/>
      <c r="AS36" s="22"/>
      <c r="AT36" s="22"/>
      <c r="AU36" s="70"/>
      <c r="AV36" s="22"/>
      <c r="AW36" s="22"/>
      <c r="AX36" s="70"/>
      <c r="AY36" s="22"/>
      <c r="AZ36" s="22"/>
      <c r="BA36" s="70"/>
      <c r="BB36" s="22"/>
      <c r="BC36" s="22"/>
      <c r="BD36" s="70"/>
      <c r="BE36" s="22"/>
      <c r="BF36" s="22"/>
      <c r="BG36" s="70"/>
      <c r="BH36" s="22"/>
      <c r="BI36" s="22"/>
      <c r="BJ36" s="70"/>
      <c r="BK36" s="22"/>
      <c r="BL36" s="22"/>
      <c r="BM36" s="70"/>
      <c r="BN36" s="22"/>
      <c r="BO36" s="22"/>
      <c r="BP36" s="70"/>
      <c r="BQ36" s="22"/>
      <c r="BR36" s="22"/>
      <c r="BS36" s="70"/>
      <c r="BT36" s="22"/>
      <c r="BU36" s="22"/>
      <c r="BV36" s="70"/>
      <c r="BW36" s="22"/>
      <c r="BX36" s="22"/>
      <c r="BY36" s="70"/>
      <c r="BZ36" s="22"/>
      <c r="CA36" s="22"/>
      <c r="CB36" s="70"/>
      <c r="CC36" s="22"/>
      <c r="CD36" s="22"/>
      <c r="CE36" s="70"/>
      <c r="CF36" s="22"/>
      <c r="CG36" s="22"/>
      <c r="CH36" s="70"/>
      <c r="CI36" s="22"/>
      <c r="CJ36" s="22"/>
      <c r="CK36" s="70"/>
      <c r="CL36" s="22"/>
      <c r="CM36" s="22"/>
      <c r="CN36" s="70"/>
      <c r="CO36" s="22"/>
      <c r="CP36" s="22"/>
      <c r="CQ36" s="70"/>
      <c r="CR36" s="22"/>
      <c r="CS36" s="22"/>
      <c r="CT36" s="70"/>
      <c r="CU36" s="22"/>
      <c r="CV36" s="22"/>
      <c r="CW36" s="70"/>
      <c r="CX36" s="22"/>
      <c r="CY36" s="22"/>
      <c r="CZ36" s="70"/>
      <c r="DA36" s="22"/>
      <c r="DB36" s="22"/>
      <c r="DC36" s="70"/>
      <c r="DD36" s="22"/>
      <c r="DE36" s="22"/>
      <c r="DF36" s="70"/>
      <c r="DG36" s="22"/>
      <c r="DH36" s="22"/>
      <c r="DI36" s="70"/>
      <c r="DJ36" s="22"/>
      <c r="DK36" s="22"/>
      <c r="DL36" s="70"/>
      <c r="DM36" s="22"/>
      <c r="DN36" s="22"/>
      <c r="DO36" s="70"/>
      <c r="DP36" s="22"/>
      <c r="DQ36" s="22"/>
      <c r="DR36" s="70"/>
      <c r="DS36" s="22"/>
      <c r="DT36" s="22"/>
      <c r="DU36" s="70"/>
      <c r="DV36" s="22"/>
      <c r="DW36" s="22"/>
      <c r="DX36" s="70"/>
      <c r="DY36" s="22"/>
      <c r="DZ36" s="22"/>
      <c r="EA36" s="70"/>
      <c r="EB36" s="22"/>
      <c r="EC36" s="22"/>
      <c r="ED36" s="70"/>
      <c r="EE36" s="22"/>
      <c r="EF36" s="22"/>
      <c r="EG36" s="70"/>
      <c r="EH36" s="22"/>
      <c r="EI36" s="22"/>
      <c r="EJ36" s="70"/>
      <c r="EK36" s="22"/>
      <c r="EL36" s="22"/>
      <c r="EM36" s="70"/>
      <c r="EN36" s="22"/>
      <c r="EO36" s="22"/>
      <c r="EP36" s="70"/>
      <c r="EQ36" s="70"/>
      <c r="ER36" s="70"/>
      <c r="ES36" s="70"/>
      <c r="ET36" s="22"/>
      <c r="EU36" s="74"/>
      <c r="EV36" s="74"/>
      <c r="EW36" s="75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</row>
    <row r="37" customFormat="false" ht="12.75" hidden="false" customHeight="false" outlineLevel="0" collapsed="false">
      <c r="A37" s="76" t="s">
        <v>72</v>
      </c>
      <c r="C37" s="28" t="n">
        <f aca="false">SUM(C6:C36)</f>
        <v>300000</v>
      </c>
      <c r="D37" s="28" t="n">
        <f aca="false">SUM(D6:D36)</f>
        <v>300000</v>
      </c>
      <c r="E37" s="28" t="n">
        <f aca="false">SUM(E6:E36)</f>
        <v>0</v>
      </c>
      <c r="F37" s="28" t="n">
        <f aca="false">SUM(F6:F36)</f>
        <v>300000</v>
      </c>
      <c r="G37" s="28" t="n">
        <f aca="false">SUM(G6:G36)</f>
        <v>284119</v>
      </c>
      <c r="H37" s="28" t="n">
        <f aca="false">SUM(H6:H36)</f>
        <v>-15881</v>
      </c>
      <c r="I37" s="28" t="n">
        <f aca="false">SUM(I6:I36)</f>
        <v>300000</v>
      </c>
      <c r="J37" s="28" t="n">
        <f aca="false">SUM(J6:J36)</f>
        <v>285964</v>
      </c>
      <c r="K37" s="77" t="n">
        <f aca="false">SUM(K6:K36)</f>
        <v>-14036</v>
      </c>
      <c r="L37" s="28" t="n">
        <f aca="false">SUM(L6:L36)</f>
        <v>300000</v>
      </c>
      <c r="M37" s="28" t="n">
        <f aca="false">SUM(M6:M36)</f>
        <v>300000</v>
      </c>
      <c r="N37" s="77" t="n">
        <f aca="false">SUM(N6:N36)</f>
        <v>0</v>
      </c>
      <c r="O37" s="28" t="n">
        <f aca="false">SUM(O6:O36)</f>
        <v>150000</v>
      </c>
      <c r="P37" s="28" t="n">
        <f aca="false">SUM(P6:P36)</f>
        <v>119286</v>
      </c>
      <c r="Q37" s="77" t="n">
        <f aca="false">SUM(Q6:Q36)</f>
        <v>-30714</v>
      </c>
      <c r="R37" s="28" t="n">
        <f aca="false">SUM(R6:R36)</f>
        <v>150000</v>
      </c>
      <c r="S37" s="28" t="n">
        <f aca="false">SUM(S6:S36)</f>
        <v>150000</v>
      </c>
      <c r="T37" s="77" t="n">
        <f aca="false">SUM(T6:T36)</f>
        <v>0</v>
      </c>
      <c r="U37" s="28" t="n">
        <f aca="false">SUM(U6:U36)</f>
        <v>150000</v>
      </c>
      <c r="V37" s="28" t="n">
        <f aca="false">SUM(V6:V36)</f>
        <v>148229</v>
      </c>
      <c r="W37" s="77" t="n">
        <f aca="false">SUM(W6:W36)</f>
        <v>-1771</v>
      </c>
      <c r="X37" s="28" t="n">
        <f aca="false">SUM(X6:X36)</f>
        <v>300000</v>
      </c>
      <c r="Y37" s="28" t="n">
        <f aca="false">SUM(Y6:Y36)</f>
        <v>293629</v>
      </c>
      <c r="Z37" s="77" t="n">
        <f aca="false">SUM(Z6:Z36)</f>
        <v>-6371</v>
      </c>
      <c r="AA37" s="28" t="n">
        <f aca="false">SUM(AA6:AA36)</f>
        <v>0</v>
      </c>
      <c r="AB37" s="28" t="n">
        <f aca="false">SUM(AB6:AB36)</f>
        <v>0</v>
      </c>
      <c r="AC37" s="77" t="n">
        <f aca="false">SUM(AC6:AC36)</f>
        <v>0</v>
      </c>
      <c r="AD37" s="28" t="n">
        <f aca="false">SUM(AD6:AD36)</f>
        <v>0</v>
      </c>
      <c r="AE37" s="28" t="n">
        <f aca="false">SUM(AE6:AE36)</f>
        <v>0</v>
      </c>
      <c r="AF37" s="77" t="n">
        <f aca="false">SUM(AF6:AF36)</f>
        <v>0</v>
      </c>
      <c r="AG37" s="28" t="n">
        <f aca="false">SUM(AG6:AG36)</f>
        <v>7504000</v>
      </c>
      <c r="AH37" s="28" t="n">
        <f aca="false">SUM(AH6:AH36)</f>
        <v>7415299</v>
      </c>
      <c r="AI37" s="77" t="n">
        <f aca="false">SUM(AI6:AI36)</f>
        <v>-88701</v>
      </c>
      <c r="AJ37" s="28" t="n">
        <f aca="false">SUM(AJ6:AJ36)</f>
        <v>0</v>
      </c>
      <c r="AK37" s="28" t="n">
        <f aca="false">SUM(AK6:AK36)</f>
        <v>0</v>
      </c>
      <c r="AL37" s="77" t="n">
        <f aca="false">SUM(AL6:AL36)</f>
        <v>0</v>
      </c>
      <c r="AM37" s="28" t="n">
        <f aca="false">SUM(AM6:AM36)</f>
        <v>0</v>
      </c>
      <c r="AN37" s="28" t="n">
        <f aca="false">SUM(AN6:AN36)</f>
        <v>0</v>
      </c>
      <c r="AO37" s="77" t="n">
        <f aca="false">SUM(AO6:AO36)</f>
        <v>0</v>
      </c>
      <c r="AP37" s="28" t="n">
        <f aca="false">SUM(AP6:AP36)</f>
        <v>0</v>
      </c>
      <c r="AQ37" s="28" t="n">
        <f aca="false">SUM(AQ6:AQ36)</f>
        <v>0</v>
      </c>
      <c r="AR37" s="77" t="n">
        <f aca="false">SUM(AR6:AR36)</f>
        <v>0</v>
      </c>
      <c r="AS37" s="28" t="n">
        <f aca="false">SUM(AS6:AS36)</f>
        <v>0</v>
      </c>
      <c r="AT37" s="28" t="n">
        <f aca="false">SUM(AT6:AT36)</f>
        <v>0</v>
      </c>
      <c r="AU37" s="77" t="n">
        <f aca="false">SUM(AU6:AU36)</f>
        <v>0</v>
      </c>
      <c r="AV37" s="28" t="n">
        <f aca="false">SUM(AV6:AV36)</f>
        <v>0</v>
      </c>
      <c r="AW37" s="28" t="n">
        <f aca="false">SUM(AW6:AW36)</f>
        <v>0</v>
      </c>
      <c r="AX37" s="77" t="n">
        <f aca="false">SUM(AX6:AX36)</f>
        <v>0</v>
      </c>
      <c r="AY37" s="28" t="n">
        <f aca="false">SUM(AY6:AY36)</f>
        <v>0</v>
      </c>
      <c r="AZ37" s="28" t="n">
        <f aca="false">SUM(AZ6:AZ36)</f>
        <v>0</v>
      </c>
      <c r="BA37" s="77" t="n">
        <f aca="false">SUM(BA6:BA36)</f>
        <v>0</v>
      </c>
      <c r="BB37" s="28" t="n">
        <f aca="false">SUM(BB6:BB36)</f>
        <v>0</v>
      </c>
      <c r="BC37" s="28" t="n">
        <f aca="false">SUM(BC6:BC36)</f>
        <v>0</v>
      </c>
      <c r="BD37" s="77" t="n">
        <f aca="false">SUM(BD6:BD36)</f>
        <v>0</v>
      </c>
      <c r="BE37" s="28" t="n">
        <f aca="false">SUM(BE6:BE36)</f>
        <v>0</v>
      </c>
      <c r="BF37" s="28" t="n">
        <f aca="false">SUM(BF6:BF36)</f>
        <v>0</v>
      </c>
      <c r="BG37" s="28" t="n">
        <f aca="false">SUM(BG6:BG36)</f>
        <v>0</v>
      </c>
      <c r="BH37" s="28" t="n">
        <f aca="false">SUM(BH6:BH36)</f>
        <v>0</v>
      </c>
      <c r="BI37" s="28" t="n">
        <f aca="false">SUM(BI6:BI36)</f>
        <v>0</v>
      </c>
      <c r="BJ37" s="77" t="n">
        <f aca="false">SUM(BJ6:BJ36)</f>
        <v>0</v>
      </c>
      <c r="BK37" s="28" t="n">
        <f aca="false">SUM(BK6:BK36)</f>
        <v>0</v>
      </c>
      <c r="BL37" s="28" t="n">
        <f aca="false">SUM(BL6:BL36)</f>
        <v>0</v>
      </c>
      <c r="BM37" s="77" t="n">
        <f aca="false">SUM(BM6:BM36)</f>
        <v>0</v>
      </c>
      <c r="BN37" s="28" t="n">
        <f aca="false">SUM(BN6:BN36)</f>
        <v>0</v>
      </c>
      <c r="BO37" s="28" t="n">
        <f aca="false">SUM(BO6:BO36)</f>
        <v>0</v>
      </c>
      <c r="BP37" s="77" t="n">
        <f aca="false">SUM(BP6:BP36)</f>
        <v>0</v>
      </c>
      <c r="BQ37" s="28" t="n">
        <f aca="false">SUM(BQ6:BQ36)</f>
        <v>0</v>
      </c>
      <c r="BR37" s="28" t="n">
        <f aca="false">SUM(BR6:BR36)</f>
        <v>0</v>
      </c>
      <c r="BS37" s="77" t="n">
        <f aca="false">SUM(BS6:BS36)</f>
        <v>0</v>
      </c>
      <c r="BT37" s="28" t="n">
        <f aca="false">SUM(BT6:BT36)</f>
        <v>0</v>
      </c>
      <c r="BU37" s="28" t="n">
        <f aca="false">SUM(BU6:BU36)</f>
        <v>0</v>
      </c>
      <c r="BV37" s="77" t="n">
        <f aca="false">SUM(BV6:BV36)</f>
        <v>0</v>
      </c>
      <c r="BW37" s="28" t="n">
        <f aca="false">SUM(BW6:BW36)</f>
        <v>0</v>
      </c>
      <c r="BX37" s="28" t="n">
        <f aca="false">SUM(BX6:BX36)</f>
        <v>0</v>
      </c>
      <c r="BY37" s="77" t="n">
        <f aca="false">SUM(BY6:BY36)</f>
        <v>0</v>
      </c>
      <c r="BZ37" s="28" t="n">
        <f aca="false">SUM(BZ6:BZ36)</f>
        <v>0</v>
      </c>
      <c r="CA37" s="28" t="n">
        <f aca="false">SUM(CA6:CA36)</f>
        <v>0</v>
      </c>
      <c r="CB37" s="77" t="n">
        <f aca="false">SUM(CB6:CB36)</f>
        <v>0</v>
      </c>
      <c r="CC37" s="28" t="n">
        <f aca="false">SUM(CC6:CC36)</f>
        <v>0</v>
      </c>
      <c r="CD37" s="28" t="n">
        <f aca="false">SUM(CD6:CD36)</f>
        <v>0</v>
      </c>
      <c r="CE37" s="77" t="n">
        <f aca="false">SUM(CE6:CE36)</f>
        <v>0</v>
      </c>
      <c r="CF37" s="28" t="n">
        <f aca="false">SUM(CF6:CF36)</f>
        <v>0</v>
      </c>
      <c r="CG37" s="28" t="n">
        <f aca="false">SUM(CG6:CG36)</f>
        <v>0</v>
      </c>
      <c r="CH37" s="77" t="n">
        <f aca="false">SUM(CH6:CH36)</f>
        <v>0</v>
      </c>
      <c r="CI37" s="28" t="n">
        <f aca="false">SUM(CI6:CI36)</f>
        <v>0</v>
      </c>
      <c r="CJ37" s="28" t="n">
        <f aca="false">SUM(CJ6:CJ36)</f>
        <v>0</v>
      </c>
      <c r="CK37" s="77" t="n">
        <f aca="false">SUM(CK6:CK36)</f>
        <v>0</v>
      </c>
      <c r="CL37" s="28" t="n">
        <f aca="false">SUM(CL6:CL36)</f>
        <v>0</v>
      </c>
      <c r="CM37" s="28" t="n">
        <f aca="false">SUM(CM6:CM36)</f>
        <v>0</v>
      </c>
      <c r="CN37" s="77" t="n">
        <f aca="false">SUM(CN6:CN36)</f>
        <v>0</v>
      </c>
      <c r="CO37" s="28" t="n">
        <f aca="false">SUM(CO6:CO36)</f>
        <v>0</v>
      </c>
      <c r="CP37" s="28" t="n">
        <f aca="false">SUM(CP6:CP36)</f>
        <v>0</v>
      </c>
      <c r="CQ37" s="77" t="n">
        <f aca="false">SUM(CQ6:CQ36)</f>
        <v>0</v>
      </c>
      <c r="CR37" s="28" t="n">
        <f aca="false">SUM(CR6:CR36)</f>
        <v>0</v>
      </c>
      <c r="CS37" s="28" t="n">
        <f aca="false">SUM(CS6:CS36)</f>
        <v>0</v>
      </c>
      <c r="CT37" s="77" t="n">
        <f aca="false">SUM(CT6:CT36)</f>
        <v>0</v>
      </c>
      <c r="CU37" s="28" t="n">
        <f aca="false">SUM(CU6:CU36)</f>
        <v>0</v>
      </c>
      <c r="CV37" s="28" t="n">
        <f aca="false">SUM(CV6:CV36)</f>
        <v>0</v>
      </c>
      <c r="CW37" s="77" t="n">
        <f aca="false">SUM(CW6:CW36)</f>
        <v>0</v>
      </c>
      <c r="CX37" s="28" t="n">
        <f aca="false">SUM(CX6:CX36)</f>
        <v>0</v>
      </c>
      <c r="CY37" s="28" t="n">
        <f aca="false">SUM(CY6:CY36)</f>
        <v>0</v>
      </c>
      <c r="CZ37" s="77" t="n">
        <f aca="false">SUM(CZ6:CZ36)</f>
        <v>0</v>
      </c>
      <c r="DA37" s="28" t="n">
        <f aca="false">SUM(DA6:DA36)</f>
        <v>0</v>
      </c>
      <c r="DB37" s="28" t="n">
        <f aca="false">SUM(DB6:DB36)</f>
        <v>0</v>
      </c>
      <c r="DC37" s="77" t="n">
        <f aca="false">SUM(DC6:DC36)</f>
        <v>0</v>
      </c>
      <c r="DD37" s="28" t="n">
        <f aca="false">SUM(DD6:DD36)</f>
        <v>0</v>
      </c>
      <c r="DE37" s="28" t="n">
        <f aca="false">SUM(DE6:DE36)</f>
        <v>0</v>
      </c>
      <c r="DF37" s="77" t="n">
        <f aca="false">SUM(DF6:DF36)</f>
        <v>0</v>
      </c>
      <c r="DG37" s="28" t="n">
        <f aca="false">SUM(DG6:DG36)</f>
        <v>0</v>
      </c>
      <c r="DH37" s="28" t="n">
        <f aca="false">SUM(DH6:DH36)</f>
        <v>0</v>
      </c>
      <c r="DI37" s="77" t="n">
        <f aca="false">SUM(DI6:DI36)</f>
        <v>0</v>
      </c>
      <c r="DJ37" s="28" t="n">
        <f aca="false">SUM(DJ6:DJ36)</f>
        <v>0</v>
      </c>
      <c r="DK37" s="28" t="n">
        <f aca="false">SUM(DK6:DK36)</f>
        <v>0</v>
      </c>
      <c r="DL37" s="77" t="n">
        <f aca="false">SUM(DL6:DL36)</f>
        <v>0</v>
      </c>
      <c r="DM37" s="28" t="n">
        <f aca="false">SUM(DM6:DM36)</f>
        <v>0</v>
      </c>
      <c r="DN37" s="28" t="n">
        <f aca="false">SUM(DN6:DN36)</f>
        <v>0</v>
      </c>
      <c r="DO37" s="77" t="n">
        <f aca="false">SUM(DO6:DO36)</f>
        <v>0</v>
      </c>
      <c r="DP37" s="28" t="n">
        <f aca="false">SUM(DP6:DP36)</f>
        <v>0</v>
      </c>
      <c r="DQ37" s="28" t="n">
        <f aca="false">SUM(DQ6:DQ36)</f>
        <v>0</v>
      </c>
      <c r="DR37" s="77" t="n">
        <f aca="false">SUM(DR6:DR36)</f>
        <v>0</v>
      </c>
      <c r="DS37" s="28" t="n">
        <f aca="false">SUM(DS6:DS36)</f>
        <v>0</v>
      </c>
      <c r="DT37" s="28" t="n">
        <f aca="false">SUM(DT6:DT36)</f>
        <v>0</v>
      </c>
      <c r="DU37" s="77" t="n">
        <f aca="false">SUM(DU6:DU36)</f>
        <v>0</v>
      </c>
      <c r="DV37" s="28" t="n">
        <f aca="false">SUM(DV6:DV36)</f>
        <v>0</v>
      </c>
      <c r="DW37" s="28" t="n">
        <f aca="false">SUM(DW6:DW36)</f>
        <v>0</v>
      </c>
      <c r="DX37" s="77" t="n">
        <f aca="false">SUM(DX6:DX36)</f>
        <v>0</v>
      </c>
      <c r="DY37" s="28" t="n">
        <f aca="false">SUM(DY6:DY36)</f>
        <v>0</v>
      </c>
      <c r="DZ37" s="28" t="n">
        <f aca="false">SUM(DZ6:DZ36)</f>
        <v>0</v>
      </c>
      <c r="EA37" s="77" t="n">
        <f aca="false">SUM(EA6:EA36)</f>
        <v>0</v>
      </c>
      <c r="EB37" s="28" t="n">
        <f aca="false">SUM(EB6:EB36)</f>
        <v>0</v>
      </c>
      <c r="EC37" s="28" t="n">
        <f aca="false">SUM(EC6:EC36)</f>
        <v>0</v>
      </c>
      <c r="ED37" s="77" t="n">
        <f aca="false">SUM(ED6:ED36)</f>
        <v>0</v>
      </c>
      <c r="EE37" s="28" t="n">
        <f aca="false">SUM(EE6:EE36)</f>
        <v>0</v>
      </c>
      <c r="EF37" s="28" t="n">
        <f aca="false">SUM(EF6:EF36)</f>
        <v>0</v>
      </c>
      <c r="EG37" s="77" t="n">
        <f aca="false">SUM(EG6:EG36)</f>
        <v>0</v>
      </c>
      <c r="EH37" s="28" t="n">
        <f aca="false">SUM(EH6:EH36)</f>
        <v>0</v>
      </c>
      <c r="EI37" s="28" t="n">
        <f aca="false">SUM(EI6:EI36)</f>
        <v>0</v>
      </c>
      <c r="EJ37" s="77" t="n">
        <f aca="false">SUM(EJ6:EJ36)</f>
        <v>0</v>
      </c>
      <c r="EK37" s="28" t="n">
        <f aca="false">SUM(EK6:EK36)</f>
        <v>0</v>
      </c>
      <c r="EL37" s="28" t="n">
        <f aca="false">SUM(EL6:EL36)</f>
        <v>0</v>
      </c>
      <c r="EM37" s="77" t="n">
        <f aca="false">SUM(EM6:EM36)</f>
        <v>0</v>
      </c>
      <c r="EN37" s="28" t="n">
        <f aca="false">SUM(EN6:EN36)</f>
        <v>0</v>
      </c>
      <c r="EO37" s="28" t="n">
        <f aca="false">SUM(EO6:EO36)</f>
        <v>0</v>
      </c>
      <c r="EP37" s="77" t="n">
        <f aca="false">SUM(EP6:EP36)</f>
        <v>0</v>
      </c>
      <c r="EQ37" s="78" t="n">
        <f aca="false">SUM(EQ6:EQ36)</f>
        <v>9454000</v>
      </c>
      <c r="ER37" s="77" t="n">
        <f aca="false">SUM(ER6:ER36)</f>
        <v>9296526</v>
      </c>
      <c r="ES37" s="77" t="n">
        <f aca="false">SUM(ES6:ES36)</f>
        <v>-157474</v>
      </c>
      <c r="ET37" s="28"/>
      <c r="EU37" s="28"/>
      <c r="EV37" s="28"/>
      <c r="EW37" s="79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80"/>
      <c r="FK37" s="80"/>
      <c r="FL37" s="80"/>
      <c r="FM37" s="80"/>
      <c r="FN37" s="80"/>
      <c r="FO37" s="80"/>
      <c r="FP37" s="80"/>
      <c r="FQ37" s="80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2"/>
      <c r="GO37" s="82"/>
      <c r="GP37" s="82"/>
      <c r="GQ37" s="82"/>
      <c r="GR37" s="82"/>
      <c r="GS37" s="82"/>
      <c r="GT37" s="82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40"/>
      <c r="AA38" s="31"/>
      <c r="AB38" s="31"/>
      <c r="AC38" s="40"/>
      <c r="AD38" s="31"/>
      <c r="AE38" s="31"/>
      <c r="AF38" s="40"/>
      <c r="AG38" s="31"/>
      <c r="AH38" s="31"/>
      <c r="AI38" s="40"/>
      <c r="AJ38" s="31"/>
      <c r="AK38" s="31"/>
      <c r="AL38" s="40"/>
      <c r="AM38" s="31"/>
      <c r="AN38" s="31"/>
      <c r="AO38" s="40"/>
      <c r="AP38" s="31"/>
      <c r="AQ38" s="31"/>
      <c r="AR38" s="40"/>
      <c r="AS38" s="31"/>
      <c r="AT38" s="31"/>
      <c r="AU38" s="40"/>
      <c r="AV38" s="31"/>
      <c r="AW38" s="31"/>
      <c r="AX38" s="31"/>
      <c r="AY38" s="31"/>
      <c r="AZ38" s="31"/>
      <c r="BA38" s="40"/>
      <c r="BB38" s="31"/>
      <c r="BC38" s="31"/>
      <c r="BD38" s="40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40"/>
      <c r="BZ38" s="31"/>
      <c r="CA38" s="31"/>
      <c r="CB38" s="40"/>
      <c r="CC38" s="31"/>
      <c r="CD38" s="31"/>
      <c r="CE38" s="40"/>
      <c r="CF38" s="31"/>
      <c r="CG38" s="31"/>
      <c r="CH38" s="40"/>
      <c r="CI38" s="31"/>
      <c r="CJ38" s="31"/>
      <c r="CK38" s="40"/>
      <c r="CL38" s="31"/>
      <c r="CM38" s="31"/>
      <c r="CN38" s="40"/>
      <c r="CO38" s="31"/>
      <c r="CP38" s="31"/>
      <c r="CQ38" s="40"/>
      <c r="CR38" s="31"/>
      <c r="CS38" s="31"/>
      <c r="CT38" s="40"/>
      <c r="CU38" s="31"/>
      <c r="CV38" s="31"/>
      <c r="CW38" s="40"/>
      <c r="CX38" s="31"/>
      <c r="CY38" s="31"/>
      <c r="CZ38" s="40"/>
      <c r="DA38" s="31"/>
      <c r="DB38" s="31"/>
      <c r="DC38" s="40"/>
      <c r="DD38" s="31"/>
      <c r="DE38" s="31"/>
      <c r="DF38" s="40"/>
      <c r="DG38" s="31"/>
      <c r="DH38" s="31"/>
      <c r="DI38" s="31"/>
      <c r="DJ38" s="31"/>
      <c r="DK38" s="31"/>
      <c r="DL38" s="40"/>
      <c r="DM38" s="31"/>
      <c r="DN38" s="31"/>
      <c r="DO38" s="40"/>
      <c r="DP38" s="31"/>
      <c r="DQ38" s="31"/>
      <c r="DR38" s="40"/>
      <c r="DS38" s="31"/>
      <c r="DT38" s="31"/>
      <c r="DU38" s="40"/>
      <c r="DV38" s="31"/>
      <c r="DW38" s="31"/>
      <c r="DX38" s="40"/>
      <c r="DY38" s="31"/>
      <c r="DZ38" s="31"/>
      <c r="EA38" s="40"/>
      <c r="EB38" s="31"/>
      <c r="EC38" s="31"/>
      <c r="ED38" s="40"/>
      <c r="EE38" s="31"/>
      <c r="EF38" s="31"/>
      <c r="EG38" s="40"/>
      <c r="EH38" s="31"/>
      <c r="EI38" s="31"/>
      <c r="EJ38" s="40"/>
      <c r="EK38" s="31"/>
      <c r="EL38" s="31"/>
      <c r="EM38" s="40"/>
      <c r="EN38" s="31"/>
      <c r="EO38" s="31"/>
      <c r="EP38" s="40"/>
      <c r="EQ38" s="40"/>
      <c r="ER38" s="31"/>
      <c r="ES38" s="31"/>
      <c r="ET38" s="31"/>
      <c r="EU38" s="31"/>
      <c r="EV38" s="31"/>
      <c r="EW38" s="85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86"/>
      <c r="FK38" s="86"/>
      <c r="FL38" s="86"/>
      <c r="FM38" s="86"/>
      <c r="FN38" s="86"/>
      <c r="FO38" s="86"/>
      <c r="FP38" s="86"/>
      <c r="FQ38" s="86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8"/>
      <c r="GO38" s="88"/>
      <c r="GP38" s="88"/>
      <c r="GQ38" s="88"/>
      <c r="GR38" s="88"/>
      <c r="GS38" s="88"/>
      <c r="GT38" s="88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90" t="n">
        <v>1</v>
      </c>
      <c r="B39" s="38" t="n">
        <f aca="false">+A39+1</f>
        <v>2</v>
      </c>
      <c r="C39" s="38" t="n">
        <f aca="false">+B39+1</f>
        <v>3</v>
      </c>
      <c r="D39" s="38" t="n">
        <f aca="false">+C39+1</f>
        <v>4</v>
      </c>
      <c r="E39" s="38" t="n">
        <f aca="false">+D39+1</f>
        <v>5</v>
      </c>
      <c r="F39" s="38" t="n">
        <f aca="false">+E39+1</f>
        <v>6</v>
      </c>
      <c r="G39" s="38" t="n">
        <f aca="false">+F39+1</f>
        <v>7</v>
      </c>
      <c r="H39" s="38" t="n">
        <f aca="false">+G39+1</f>
        <v>8</v>
      </c>
      <c r="I39" s="38" t="n">
        <f aca="false">+H39+1</f>
        <v>9</v>
      </c>
      <c r="J39" s="38" t="n">
        <f aca="false">+I39+1</f>
        <v>10</v>
      </c>
      <c r="K39" s="38" t="n">
        <f aca="false">+J39+1</f>
        <v>11</v>
      </c>
      <c r="L39" s="38" t="n">
        <f aca="false">+K39+1</f>
        <v>12</v>
      </c>
      <c r="M39" s="38" t="n">
        <f aca="false">+L39+1</f>
        <v>13</v>
      </c>
      <c r="N39" s="38" t="n">
        <f aca="false">+M39+1</f>
        <v>14</v>
      </c>
      <c r="O39" s="38" t="n">
        <f aca="false">+N39+1</f>
        <v>15</v>
      </c>
      <c r="P39" s="38" t="n">
        <f aca="false">+O39+1</f>
        <v>16</v>
      </c>
      <c r="Q39" s="38" t="n">
        <f aca="false">+P39+1</f>
        <v>17</v>
      </c>
      <c r="R39" s="38" t="n">
        <f aca="false">+Q39+1</f>
        <v>18</v>
      </c>
      <c r="S39" s="38" t="n">
        <f aca="false">+R39+1</f>
        <v>19</v>
      </c>
      <c r="T39" s="38" t="n">
        <f aca="false">+S39+1</f>
        <v>20</v>
      </c>
      <c r="U39" s="38" t="n">
        <f aca="false">+T39+1</f>
        <v>21</v>
      </c>
      <c r="V39" s="38" t="n">
        <f aca="false">+U39+1</f>
        <v>22</v>
      </c>
      <c r="W39" s="38" t="n">
        <f aca="false">+V39+1</f>
        <v>23</v>
      </c>
      <c r="X39" s="38" t="n">
        <f aca="false">+W39+1</f>
        <v>24</v>
      </c>
      <c r="Y39" s="38" t="n">
        <f aca="false">+X39+1</f>
        <v>25</v>
      </c>
      <c r="Z39" s="38" t="n">
        <f aca="false">+Y39+1</f>
        <v>26</v>
      </c>
      <c r="AA39" s="38" t="n">
        <f aca="false">+Z39+1</f>
        <v>27</v>
      </c>
      <c r="AB39" s="38" t="n">
        <f aca="false">+AA39+1</f>
        <v>28</v>
      </c>
      <c r="AC39" s="38" t="n">
        <f aca="false">+AB39+1</f>
        <v>29</v>
      </c>
      <c r="AD39" s="38" t="n">
        <f aca="false">+AC39+1</f>
        <v>30</v>
      </c>
      <c r="AE39" s="38" t="n">
        <f aca="false">+AD39+1</f>
        <v>31</v>
      </c>
      <c r="AF39" s="38" t="n">
        <f aca="false">+AE39+1</f>
        <v>32</v>
      </c>
      <c r="AG39" s="38" t="n">
        <f aca="false">+AF39+1</f>
        <v>33</v>
      </c>
      <c r="AH39" s="38" t="n">
        <f aca="false">+AG39+1</f>
        <v>34</v>
      </c>
      <c r="AI39" s="38" t="n">
        <f aca="false">+AH39+1</f>
        <v>35</v>
      </c>
      <c r="AJ39" s="38" t="n">
        <f aca="false">+AI39+1</f>
        <v>36</v>
      </c>
      <c r="AK39" s="38" t="n">
        <f aca="false">+AJ39+1</f>
        <v>37</v>
      </c>
      <c r="AL39" s="38" t="n">
        <f aca="false">+AK39+1</f>
        <v>38</v>
      </c>
      <c r="AM39" s="38" t="n">
        <f aca="false">+AL39+1</f>
        <v>39</v>
      </c>
      <c r="AN39" s="38" t="n">
        <f aca="false">+AM39+1</f>
        <v>40</v>
      </c>
      <c r="AO39" s="38" t="n">
        <f aca="false">+AN39+1</f>
        <v>41</v>
      </c>
      <c r="AP39" s="38" t="n">
        <f aca="false">+AO39+1</f>
        <v>42</v>
      </c>
      <c r="AQ39" s="38" t="n">
        <f aca="false">+AP39+1</f>
        <v>43</v>
      </c>
      <c r="AR39" s="38" t="n">
        <f aca="false">+AQ39+1</f>
        <v>44</v>
      </c>
      <c r="AS39" s="38" t="n">
        <f aca="false">+AR39+1</f>
        <v>45</v>
      </c>
      <c r="AT39" s="38" t="n">
        <f aca="false">+AS39+1</f>
        <v>46</v>
      </c>
      <c r="AU39" s="38" t="n">
        <f aca="false">+AT39+1</f>
        <v>47</v>
      </c>
      <c r="AV39" s="38" t="n">
        <f aca="false">+AU39+1</f>
        <v>48</v>
      </c>
      <c r="AW39" s="38" t="n">
        <f aca="false">+AV39+1</f>
        <v>49</v>
      </c>
      <c r="AX39" s="38" t="n">
        <f aca="false">+AW39+1</f>
        <v>50</v>
      </c>
      <c r="AY39" s="38" t="n">
        <f aca="false">+AX39+1</f>
        <v>51</v>
      </c>
      <c r="AZ39" s="38" t="n">
        <f aca="false">+AY39+1</f>
        <v>52</v>
      </c>
      <c r="BA39" s="38" t="n">
        <f aca="false">+AZ39+1</f>
        <v>53</v>
      </c>
      <c r="BB39" s="38" t="n">
        <f aca="false">+BA39+1</f>
        <v>54</v>
      </c>
      <c r="BC39" s="38" t="n">
        <f aca="false">+BB39+1</f>
        <v>55</v>
      </c>
      <c r="BD39" s="38" t="n">
        <f aca="false">+BC39+1</f>
        <v>56</v>
      </c>
      <c r="BE39" s="38" t="n">
        <f aca="false">+BD39+1</f>
        <v>57</v>
      </c>
      <c r="BF39" s="38" t="n">
        <f aca="false">+BE39+1</f>
        <v>58</v>
      </c>
      <c r="BG39" s="38" t="n">
        <f aca="false">+BF39+1</f>
        <v>59</v>
      </c>
      <c r="BH39" s="38" t="n">
        <f aca="false">+BG39+1</f>
        <v>60</v>
      </c>
      <c r="BI39" s="38" t="n">
        <f aca="false">+BH39+1</f>
        <v>61</v>
      </c>
      <c r="BJ39" s="38" t="n">
        <f aca="false">+BI39+1</f>
        <v>62</v>
      </c>
      <c r="BK39" s="38" t="n">
        <f aca="false">+BJ39+1</f>
        <v>63</v>
      </c>
      <c r="BL39" s="38" t="n">
        <f aca="false">+BK39+1</f>
        <v>64</v>
      </c>
      <c r="BM39" s="38" t="n">
        <f aca="false">+BL39+1</f>
        <v>65</v>
      </c>
      <c r="BN39" s="38" t="n">
        <f aca="false">+BM39+1</f>
        <v>66</v>
      </c>
      <c r="BO39" s="38" t="n">
        <f aca="false">+BN39+1</f>
        <v>67</v>
      </c>
      <c r="BP39" s="38" t="n">
        <f aca="false">+BO39+1</f>
        <v>68</v>
      </c>
      <c r="BQ39" s="38" t="n">
        <f aca="false">+BP39+1</f>
        <v>69</v>
      </c>
      <c r="BR39" s="38" t="n">
        <f aca="false">+BQ39+1</f>
        <v>70</v>
      </c>
      <c r="BS39" s="38" t="n">
        <f aca="false">+BR39+1</f>
        <v>71</v>
      </c>
      <c r="BT39" s="38" t="n">
        <f aca="false">+BS39+1</f>
        <v>72</v>
      </c>
      <c r="BU39" s="38" t="n">
        <f aca="false">+BT39+1</f>
        <v>73</v>
      </c>
      <c r="BV39" s="38" t="n">
        <f aca="false">+BU39+1</f>
        <v>74</v>
      </c>
      <c r="BW39" s="38" t="n">
        <f aca="false">+BV39+1</f>
        <v>75</v>
      </c>
      <c r="BX39" s="38" t="n">
        <f aca="false">+BW39+1</f>
        <v>76</v>
      </c>
      <c r="BY39" s="38" t="n">
        <f aca="false">+BX39+1</f>
        <v>77</v>
      </c>
      <c r="BZ39" s="38" t="n">
        <f aca="false">+BY39+1</f>
        <v>78</v>
      </c>
      <c r="CA39" s="38" t="n">
        <f aca="false">+BZ39+1</f>
        <v>79</v>
      </c>
      <c r="CB39" s="38" t="n">
        <f aca="false">+CA39+1</f>
        <v>80</v>
      </c>
      <c r="CC39" s="38" t="n">
        <f aca="false">+CB39+1</f>
        <v>81</v>
      </c>
      <c r="CD39" s="38" t="n">
        <f aca="false">+CC39+1</f>
        <v>82</v>
      </c>
      <c r="CE39" s="38" t="n">
        <f aca="false">+CD39+1</f>
        <v>83</v>
      </c>
      <c r="CF39" s="38" t="n">
        <f aca="false">+CE39+1</f>
        <v>84</v>
      </c>
      <c r="CG39" s="38" t="n">
        <f aca="false">+CF39+1</f>
        <v>85</v>
      </c>
      <c r="CH39" s="38" t="n">
        <f aca="false">+CG39+1</f>
        <v>86</v>
      </c>
      <c r="CI39" s="38" t="n">
        <f aca="false">+CH39+1</f>
        <v>87</v>
      </c>
      <c r="CJ39" s="38" t="n">
        <f aca="false">+CI39+1</f>
        <v>88</v>
      </c>
      <c r="CK39" s="38" t="n">
        <f aca="false">+CJ39+1</f>
        <v>89</v>
      </c>
      <c r="CL39" s="38" t="n">
        <f aca="false">+CK39+1</f>
        <v>90</v>
      </c>
      <c r="CM39" s="38" t="n">
        <f aca="false">+CL39+1</f>
        <v>91</v>
      </c>
      <c r="CN39" s="38" t="n">
        <f aca="false">+CM39+1</f>
        <v>92</v>
      </c>
      <c r="CO39" s="38" t="n">
        <f aca="false">+CN39+1</f>
        <v>93</v>
      </c>
      <c r="CP39" s="38" t="n">
        <f aca="false">+CO39+1</f>
        <v>94</v>
      </c>
      <c r="CQ39" s="38" t="n">
        <f aca="false">+CP39+1</f>
        <v>95</v>
      </c>
      <c r="CR39" s="38" t="n">
        <f aca="false">+CQ39+1</f>
        <v>96</v>
      </c>
      <c r="CS39" s="38" t="n">
        <f aca="false">+CR39+1</f>
        <v>97</v>
      </c>
      <c r="CT39" s="38" t="n">
        <f aca="false">+CS39+1</f>
        <v>98</v>
      </c>
      <c r="CU39" s="38" t="n">
        <f aca="false">+CT39+1</f>
        <v>99</v>
      </c>
      <c r="CV39" s="38" t="n">
        <f aca="false">+CU39+1</f>
        <v>100</v>
      </c>
      <c r="CW39" s="38" t="n">
        <f aca="false">+CV39+1</f>
        <v>101</v>
      </c>
      <c r="CX39" s="38" t="n">
        <f aca="false">+CW39+1</f>
        <v>102</v>
      </c>
      <c r="CY39" s="38" t="n">
        <f aca="false">+CX39+1</f>
        <v>103</v>
      </c>
      <c r="CZ39" s="38" t="n">
        <f aca="false">+CY39+1</f>
        <v>104</v>
      </c>
      <c r="DA39" s="38" t="n">
        <f aca="false">+CZ39+1</f>
        <v>105</v>
      </c>
      <c r="DB39" s="38" t="n">
        <f aca="false">+DA39+1</f>
        <v>106</v>
      </c>
      <c r="DC39" s="38" t="n">
        <f aca="false">+DB39+1</f>
        <v>107</v>
      </c>
      <c r="DD39" s="38" t="n">
        <f aca="false">+DC39+1</f>
        <v>108</v>
      </c>
      <c r="DE39" s="38" t="n">
        <f aca="false">+DD39+1</f>
        <v>109</v>
      </c>
      <c r="DF39" s="38" t="n">
        <f aca="false">+DE39+1</f>
        <v>110</v>
      </c>
      <c r="DG39" s="38" t="n">
        <f aca="false">+DF39+1</f>
        <v>111</v>
      </c>
      <c r="DH39" s="38" t="n">
        <f aca="false">+DG39+1</f>
        <v>112</v>
      </c>
      <c r="DI39" s="38" t="n">
        <f aca="false">+DH39+1</f>
        <v>113</v>
      </c>
      <c r="DJ39" s="38" t="n">
        <f aca="false">+DI39+1</f>
        <v>114</v>
      </c>
      <c r="DK39" s="38" t="n">
        <f aca="false">+DJ39+1</f>
        <v>115</v>
      </c>
      <c r="DL39" s="38" t="n">
        <f aca="false">+DK39+1</f>
        <v>116</v>
      </c>
      <c r="DM39" s="38" t="n">
        <f aca="false">+DL39+1</f>
        <v>117</v>
      </c>
      <c r="DN39" s="38" t="n">
        <f aca="false">+DM39+1</f>
        <v>118</v>
      </c>
      <c r="DO39" s="38" t="n">
        <f aca="false">+DN39+1</f>
        <v>119</v>
      </c>
      <c r="DP39" s="38" t="n">
        <f aca="false">+DO39+1</f>
        <v>120</v>
      </c>
      <c r="DQ39" s="38" t="n">
        <f aca="false">+DP39+1</f>
        <v>121</v>
      </c>
      <c r="DR39" s="38" t="n">
        <f aca="false">+DQ39+1</f>
        <v>122</v>
      </c>
      <c r="DS39" s="38" t="n">
        <f aca="false">+DR39+1</f>
        <v>123</v>
      </c>
      <c r="DT39" s="38" t="n">
        <f aca="false">+DS39+1</f>
        <v>124</v>
      </c>
      <c r="DU39" s="38" t="n">
        <f aca="false">+DT39+1</f>
        <v>125</v>
      </c>
      <c r="DV39" s="38" t="n">
        <f aca="false">+DU39+1</f>
        <v>126</v>
      </c>
      <c r="DW39" s="38" t="n">
        <f aca="false">+DV39+1</f>
        <v>127</v>
      </c>
      <c r="DX39" s="38" t="n">
        <f aca="false">+DW39+1</f>
        <v>128</v>
      </c>
      <c r="DY39" s="38" t="n">
        <f aca="false">+DX39+1</f>
        <v>129</v>
      </c>
      <c r="DZ39" s="38" t="n">
        <f aca="false">+DY39+1</f>
        <v>130</v>
      </c>
      <c r="EA39" s="38" t="n">
        <f aca="false">+DZ39+1</f>
        <v>131</v>
      </c>
      <c r="EB39" s="38" t="n">
        <f aca="false">+EA39+1</f>
        <v>132</v>
      </c>
      <c r="EC39" s="38" t="n">
        <f aca="false">+EB39+1</f>
        <v>133</v>
      </c>
      <c r="ED39" s="38" t="n">
        <f aca="false">+EC39+1</f>
        <v>134</v>
      </c>
      <c r="EE39" s="38" t="n">
        <f aca="false">+ED39+1</f>
        <v>135</v>
      </c>
      <c r="EF39" s="38" t="n">
        <f aca="false">+EE39+1</f>
        <v>136</v>
      </c>
      <c r="EG39" s="38" t="n">
        <f aca="false">+EF39+1</f>
        <v>137</v>
      </c>
      <c r="EH39" s="38" t="n">
        <f aca="false">+EG39+1</f>
        <v>138</v>
      </c>
      <c r="EI39" s="38" t="n">
        <f aca="false">+EH39+1</f>
        <v>139</v>
      </c>
      <c r="EJ39" s="38" t="n">
        <f aca="false">+EI39+1</f>
        <v>140</v>
      </c>
      <c r="EK39" s="38" t="n">
        <f aca="false">+EJ39+1</f>
        <v>141</v>
      </c>
      <c r="EL39" s="38" t="n">
        <f aca="false">+EK39+1</f>
        <v>142</v>
      </c>
      <c r="EM39" s="38" t="n">
        <f aca="false">+EL39+1</f>
        <v>143</v>
      </c>
      <c r="EN39" s="38" t="n">
        <f aca="false">+EM39+1</f>
        <v>144</v>
      </c>
      <c r="EO39" s="38" t="n">
        <f aca="false">+EN39+1</f>
        <v>145</v>
      </c>
      <c r="EP39" s="38" t="n">
        <f aca="false">+EO39+1</f>
        <v>146</v>
      </c>
      <c r="EQ39" s="38" t="n">
        <f aca="false">+EP39+1</f>
        <v>147</v>
      </c>
      <c r="ER39" s="38" t="n">
        <f aca="false">+EQ39+1</f>
        <v>148</v>
      </c>
      <c r="ES39" s="38" t="n">
        <f aca="false">+ER39+1</f>
        <v>149</v>
      </c>
      <c r="ET39" s="38" t="n">
        <f aca="false">+ES39+1</f>
        <v>150</v>
      </c>
      <c r="EU39" s="38" t="n">
        <f aca="false">+ET39+1</f>
        <v>151</v>
      </c>
      <c r="EV39" s="38" t="n">
        <f aca="false">+EU39+1</f>
        <v>152</v>
      </c>
      <c r="EW39" s="38" t="n">
        <f aca="false">+EV39+1</f>
        <v>153</v>
      </c>
      <c r="EX39" s="38" t="n">
        <f aca="false">+EW39+1</f>
        <v>154</v>
      </c>
      <c r="EY39" s="38" t="n">
        <f aca="false">+EX39+1</f>
        <v>155</v>
      </c>
      <c r="EZ39" s="38" t="n">
        <f aca="false">+EY39+1</f>
        <v>156</v>
      </c>
      <c r="FA39" s="38" t="n">
        <f aca="false">+EZ39+1</f>
        <v>157</v>
      </c>
      <c r="FB39" s="38" t="n">
        <f aca="false">+FA39+1</f>
        <v>158</v>
      </c>
      <c r="FC39" s="38" t="n">
        <f aca="false">+FB39+1</f>
        <v>159</v>
      </c>
      <c r="FD39" s="38" t="n">
        <f aca="false">+FC39+1</f>
        <v>160</v>
      </c>
      <c r="FE39" s="38" t="n">
        <f aca="false">+FD39+1</f>
        <v>161</v>
      </c>
      <c r="FF39" s="38" t="n">
        <f aca="false">+FE39+1</f>
        <v>162</v>
      </c>
      <c r="FG39" s="38" t="n">
        <f aca="false">+FF39+1</f>
        <v>163</v>
      </c>
      <c r="FH39" s="38" t="n">
        <f aca="false">+FG39+1</f>
        <v>164</v>
      </c>
      <c r="FI39" s="38" t="n">
        <f aca="false">+FH39+1</f>
        <v>165</v>
      </c>
      <c r="FJ39" s="38" t="n">
        <f aca="false">+FI39+1</f>
        <v>166</v>
      </c>
      <c r="FK39" s="38" t="n">
        <f aca="false">+FJ39+1</f>
        <v>167</v>
      </c>
      <c r="FL39" s="38" t="n">
        <f aca="false">+FK39+1</f>
        <v>168</v>
      </c>
      <c r="FM39" s="38" t="n">
        <f aca="false">+FL39+1</f>
        <v>169</v>
      </c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</row>
    <row r="40" customFormat="false" ht="12.75" hidden="false" customHeight="false" outlineLevel="0" collapsed="false">
      <c r="A40" s="42"/>
      <c r="C40" s="37"/>
      <c r="F40" s="37"/>
      <c r="I40" s="37"/>
      <c r="L40" s="37"/>
      <c r="O40" s="37"/>
      <c r="R40" s="37"/>
      <c r="U40" s="37"/>
      <c r="X40" s="37"/>
      <c r="AA40" s="37"/>
      <c r="AD40" s="37"/>
      <c r="AG40" s="37"/>
      <c r="AJ40" s="37"/>
      <c r="AM40" s="37"/>
      <c r="AP40" s="37"/>
      <c r="AS40" s="37"/>
      <c r="AV40" s="37"/>
      <c r="AY40" s="37"/>
      <c r="BB40" s="37"/>
      <c r="BE40" s="37"/>
      <c r="BH40" s="37"/>
      <c r="BK40" s="37"/>
      <c r="BN40" s="37"/>
      <c r="BQ40" s="37"/>
      <c r="BT40" s="37"/>
      <c r="BW40" s="37"/>
      <c r="BZ40" s="37"/>
      <c r="CC40" s="37"/>
      <c r="CF40" s="37"/>
      <c r="CI40" s="37"/>
      <c r="CL40" s="37"/>
      <c r="CO40" s="37"/>
      <c r="CR40" s="37"/>
      <c r="CU40" s="37"/>
      <c r="CX40" s="37"/>
      <c r="DA40" s="37"/>
      <c r="DD40" s="37"/>
      <c r="DG40" s="37"/>
      <c r="DJ40" s="37"/>
      <c r="DM40" s="37"/>
      <c r="DP40" s="37"/>
      <c r="DS40" s="37"/>
      <c r="DV40" s="37"/>
      <c r="DY40" s="37"/>
      <c r="EB40" s="37"/>
      <c r="EE40" s="37"/>
      <c r="EH40" s="37"/>
      <c r="EK40" s="37"/>
      <c r="EN40" s="37"/>
      <c r="EQ40" s="40"/>
    </row>
    <row r="41" customFormat="false" ht="12.75" hidden="false" customHeight="false" outlineLevel="0" collapsed="false">
      <c r="A41" s="42"/>
      <c r="C41" s="37"/>
      <c r="F41" s="37"/>
      <c r="I41" s="37"/>
      <c r="L41" s="37"/>
      <c r="O41" s="37"/>
      <c r="R41" s="37"/>
      <c r="U41" s="37"/>
      <c r="X41" s="37"/>
      <c r="AA41" s="37"/>
      <c r="AD41" s="37"/>
      <c r="AG41" s="37"/>
      <c r="AJ41" s="37"/>
      <c r="AM41" s="37"/>
      <c r="AP41" s="37"/>
      <c r="AS41" s="37"/>
      <c r="AV41" s="37"/>
      <c r="AY41" s="37"/>
      <c r="BB41" s="37"/>
      <c r="BE41" s="37"/>
      <c r="BH41" s="37"/>
      <c r="BK41" s="37"/>
      <c r="BN41" s="37"/>
      <c r="BQ41" s="37"/>
      <c r="BT41" s="37"/>
      <c r="BW41" s="37"/>
      <c r="BZ41" s="37"/>
      <c r="CC41" s="37"/>
      <c r="CF41" s="37"/>
      <c r="CI41" s="37"/>
      <c r="CL41" s="37"/>
      <c r="CO41" s="37"/>
      <c r="CR41" s="37"/>
      <c r="CU41" s="37"/>
      <c r="CX41" s="37"/>
      <c r="DA41" s="37"/>
      <c r="DD41" s="37"/>
      <c r="DG41" s="37"/>
      <c r="DJ41" s="37"/>
      <c r="DM41" s="37"/>
      <c r="DP41" s="37"/>
      <c r="DS41" s="37"/>
      <c r="DV41" s="37"/>
      <c r="DY41" s="37"/>
      <c r="EB41" s="37"/>
      <c r="EE41" s="37"/>
      <c r="EH41" s="37"/>
      <c r="EK41" s="37"/>
      <c r="EN41" s="37"/>
    </row>
    <row r="42" customFormat="false" ht="12.75" hidden="false" customHeight="false" outlineLevel="0" collapsed="false">
      <c r="A42" s="42"/>
      <c r="C42" s="37"/>
      <c r="F42" s="37"/>
      <c r="I42" s="37"/>
      <c r="L42" s="37"/>
      <c r="O42" s="37"/>
      <c r="R42" s="37"/>
      <c r="U42" s="37"/>
      <c r="X42" s="37"/>
      <c r="AA42" s="37"/>
      <c r="AD42" s="37"/>
      <c r="AG42" s="37"/>
      <c r="AJ42" s="37"/>
      <c r="AM42" s="37"/>
      <c r="AP42" s="37"/>
      <c r="AS42" s="37"/>
      <c r="AV42" s="37"/>
      <c r="AY42" s="37"/>
      <c r="BB42" s="37"/>
      <c r="BE42" s="37"/>
      <c r="BH42" s="37"/>
      <c r="BK42" s="37"/>
      <c r="BN42" s="37"/>
      <c r="BQ42" s="37"/>
      <c r="BT42" s="37"/>
      <c r="BW42" s="37"/>
      <c r="BZ42" s="37"/>
      <c r="CC42" s="37"/>
      <c r="CF42" s="37"/>
      <c r="CI42" s="37"/>
      <c r="CL42" s="37"/>
      <c r="CO42" s="37"/>
      <c r="CR42" s="37"/>
      <c r="CU42" s="37"/>
      <c r="CX42" s="37"/>
      <c r="DA42" s="37"/>
      <c r="DD42" s="37"/>
      <c r="DG42" s="37"/>
      <c r="DJ42" s="37"/>
      <c r="DM42" s="37"/>
      <c r="DP42" s="37"/>
      <c r="DS42" s="37"/>
      <c r="DV42" s="37"/>
      <c r="DY42" s="37"/>
      <c r="EB42" s="37"/>
      <c r="EE42" s="37"/>
      <c r="EH42" s="37"/>
      <c r="EK42" s="37"/>
      <c r="EN42" s="37"/>
    </row>
    <row r="43" customFormat="false" ht="12.75" hidden="false" customHeight="false" outlineLevel="0" collapsed="false">
      <c r="A43" s="42"/>
      <c r="C43" s="37"/>
      <c r="F43" s="37"/>
      <c r="I43" s="37"/>
      <c r="L43" s="37"/>
      <c r="O43" s="37"/>
      <c r="R43" s="37"/>
      <c r="U43" s="37"/>
      <c r="X43" s="37"/>
      <c r="AA43" s="37"/>
      <c r="AD43" s="37"/>
      <c r="AG43" s="37"/>
      <c r="AJ43" s="37"/>
      <c r="AM43" s="37"/>
      <c r="AP43" s="37"/>
      <c r="AS43" s="37"/>
      <c r="AV43" s="37"/>
      <c r="AY43" s="37"/>
      <c r="BB43" s="37"/>
      <c r="BE43" s="37"/>
      <c r="BH43" s="37"/>
      <c r="BK43" s="37"/>
      <c r="BN43" s="37"/>
      <c r="BQ43" s="37"/>
      <c r="BT43" s="37"/>
      <c r="BW43" s="37"/>
      <c r="BZ43" s="37"/>
      <c r="CC43" s="37"/>
      <c r="CF43" s="37"/>
      <c r="CI43" s="37"/>
      <c r="CL43" s="37"/>
      <c r="CO43" s="37"/>
      <c r="CR43" s="37"/>
      <c r="CU43" s="37"/>
      <c r="CX43" s="37"/>
      <c r="DA43" s="37"/>
      <c r="DD43" s="37"/>
      <c r="DG43" s="37"/>
      <c r="DJ43" s="37"/>
      <c r="DM43" s="37"/>
      <c r="DP43" s="37"/>
      <c r="DS43" s="37"/>
      <c r="DV43" s="37"/>
      <c r="DY43" s="37"/>
      <c r="EB43" s="37"/>
      <c r="EE43" s="37"/>
      <c r="EH43" s="37"/>
      <c r="EK43" s="37"/>
      <c r="EN43" s="37"/>
    </row>
    <row r="44" customFormat="false" ht="12.75" hidden="false" customHeight="false" outlineLevel="0" collapsed="false">
      <c r="A44" s="0"/>
      <c r="B44" s="0"/>
      <c r="E44" s="0"/>
      <c r="H44" s="0"/>
      <c r="K44" s="0"/>
      <c r="N44" s="0"/>
      <c r="Q44" s="0"/>
      <c r="T44" s="0"/>
      <c r="W44" s="0"/>
      <c r="Z44" s="0"/>
      <c r="AC44" s="0"/>
      <c r="AF44" s="0"/>
      <c r="AI44" s="0"/>
      <c r="AL44" s="0"/>
      <c r="AO44" s="0"/>
      <c r="AR44" s="0"/>
      <c r="AU44" s="0"/>
      <c r="AX44" s="0"/>
      <c r="BA44" s="0"/>
      <c r="BD44" s="0"/>
      <c r="BG44" s="0"/>
      <c r="BJ44" s="0"/>
      <c r="BM44" s="0"/>
      <c r="BP44" s="0"/>
      <c r="BS44" s="0"/>
      <c r="BV44" s="0"/>
      <c r="BY44" s="0"/>
      <c r="CB44" s="0"/>
      <c r="CE44" s="0"/>
      <c r="CH44" s="0"/>
      <c r="CK44" s="0"/>
      <c r="CN44" s="0"/>
      <c r="CQ44" s="0"/>
      <c r="CT44" s="0"/>
      <c r="CW44" s="0"/>
      <c r="CZ44" s="0"/>
      <c r="DC44" s="0"/>
      <c r="DF44" s="0"/>
      <c r="DI44" s="0"/>
      <c r="DL44" s="0"/>
      <c r="DO44" s="0"/>
      <c r="DR44" s="0"/>
      <c r="DU44" s="0"/>
      <c r="DX44" s="0"/>
      <c r="EA44" s="0"/>
      <c r="ED44" s="0"/>
      <c r="EG44" s="0"/>
      <c r="EJ44" s="0"/>
      <c r="EM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2"/>
    </row>
    <row r="46" customFormat="false" ht="12.75" hidden="false" customHeight="false" outlineLevel="0" collapsed="false">
      <c r="A46" s="42"/>
    </row>
    <row r="47" customFormat="false" ht="12.75" hidden="false" customHeight="false" outlineLevel="0" collapsed="false">
      <c r="A47" s="42"/>
    </row>
    <row r="48" customFormat="false" ht="12.75" hidden="false" customHeight="false" outlineLevel="0" collapsed="false">
      <c r="A48" s="42"/>
    </row>
    <row r="49" customFormat="false" ht="12.75" hidden="false" customHeight="false" outlineLevel="0" collapsed="false">
      <c r="A49" s="42"/>
    </row>
    <row r="50" customFormat="false" ht="12.75" hidden="false" customHeight="false" outlineLevel="0" collapsed="false">
      <c r="A50" s="42"/>
    </row>
    <row r="51" customFormat="false" ht="12.75" hidden="false" customHeight="false" outlineLevel="0" collapsed="false">
      <c r="A51" s="42"/>
    </row>
    <row r="52" customFormat="false" ht="12.75" hidden="false" customHeight="false" outlineLevel="0" collapsed="false">
      <c r="A52" s="42"/>
    </row>
    <row r="53" customFormat="false" ht="12.75" hidden="false" customHeight="false" outlineLevel="0" collapsed="false">
      <c r="A53" s="42"/>
    </row>
    <row r="54" customFormat="false" ht="12.75" hidden="false" customHeight="false" outlineLevel="0" collapsed="false">
      <c r="A54" s="42"/>
    </row>
    <row r="55" customFormat="false" ht="12.75" hidden="false" customHeight="false" outlineLevel="0" collapsed="false">
      <c r="A55" s="42"/>
    </row>
    <row r="56" customFormat="false" ht="12.75" hidden="false" customHeight="false" outlineLevel="0" collapsed="false">
      <c r="A56" s="42"/>
    </row>
    <row r="57" customFormat="false" ht="12.75" hidden="false" customHeight="false" outlineLevel="0" collapsed="false">
      <c r="A57" s="42"/>
    </row>
    <row r="58" customFormat="false" ht="12.75" hidden="false" customHeight="false" outlineLevel="0" collapsed="false">
      <c r="A58" s="42"/>
    </row>
    <row r="59" customFormat="false" ht="12.75" hidden="false" customHeight="false" outlineLevel="0" collapsed="false">
      <c r="A59" s="42"/>
    </row>
    <row r="60" customFormat="false" ht="12.75" hidden="false" customHeight="false" outlineLevel="0" collapsed="false">
      <c r="A60" s="42"/>
    </row>
    <row r="61" customFormat="false" ht="12.75" hidden="false" customHeight="false" outlineLevel="0" collapsed="false">
      <c r="A61" s="42"/>
    </row>
    <row r="62" customFormat="false" ht="12.75" hidden="false" customHeight="false" outlineLevel="0" collapsed="false">
      <c r="A62" s="42"/>
    </row>
    <row r="63" customFormat="false" ht="12.75" hidden="false" customHeight="false" outlineLevel="0" collapsed="false">
      <c r="A63" s="42"/>
    </row>
    <row r="64" customFormat="false" ht="12.75" hidden="false" customHeight="false" outlineLevel="0" collapsed="false">
      <c r="A64" s="42"/>
    </row>
    <row r="65" customFormat="false" ht="12.75" hidden="false" customHeight="false" outlineLevel="0" collapsed="false">
      <c r="A65" s="42"/>
    </row>
    <row r="66" customFormat="false" ht="12.75" hidden="false" customHeight="false" outlineLevel="0" collapsed="false">
      <c r="A66" s="42"/>
    </row>
    <row r="67" customFormat="false" ht="12.75" hidden="false" customHeight="false" outlineLevel="0" collapsed="false">
      <c r="A67" s="42"/>
    </row>
    <row r="68" customFormat="false" ht="12.75" hidden="false" customHeight="false" outlineLevel="0" collapsed="false">
      <c r="A68" s="42"/>
    </row>
    <row r="69" customFormat="false" ht="12.75" hidden="false" customHeight="false" outlineLevel="0" collapsed="false">
      <c r="A69" s="42"/>
    </row>
    <row r="70" customFormat="false" ht="12.75" hidden="false" customHeight="false" outlineLevel="0" collapsed="false">
      <c r="A70" s="42"/>
    </row>
    <row r="71" customFormat="false" ht="12.75" hidden="false" customHeight="false" outlineLevel="0" collapsed="false">
      <c r="A71" s="42"/>
    </row>
    <row r="72" customFormat="false" ht="12.75" hidden="false" customHeight="false" outlineLevel="0" collapsed="false">
      <c r="A72" s="42"/>
    </row>
    <row r="73" customFormat="false" ht="12.75" hidden="false" customHeight="false" outlineLevel="0" collapsed="false">
      <c r="A73" s="42"/>
    </row>
    <row r="74" customFormat="false" ht="12.75" hidden="false" customHeight="false" outlineLevel="0" collapsed="false">
      <c r="A74" s="42"/>
    </row>
    <row r="75" customFormat="false" ht="12.75" hidden="false" customHeight="false" outlineLevel="0" collapsed="false">
      <c r="A75" s="42"/>
    </row>
    <row r="76" customFormat="false" ht="12.75" hidden="false" customHeight="false" outlineLevel="0" collapsed="false">
      <c r="A76" s="42"/>
    </row>
    <row r="77" customFormat="false" ht="12.75" hidden="false" customHeight="false" outlineLevel="0" collapsed="false">
      <c r="A77" s="42"/>
    </row>
    <row r="78" customFormat="false" ht="12.75" hidden="false" customHeight="false" outlineLevel="0" collapsed="false">
      <c r="A78" s="42"/>
    </row>
    <row r="79" customFormat="false" ht="12.75" hidden="false" customHeight="false" outlineLevel="0" collapsed="false">
      <c r="A79" s="42"/>
    </row>
    <row r="80" customFormat="false" ht="12.75" hidden="false" customHeight="false" outlineLevel="0" collapsed="false">
      <c r="A80" s="42"/>
    </row>
    <row r="81" customFormat="false" ht="12.75" hidden="false" customHeight="false" outlineLevel="0" collapsed="false">
      <c r="A81" s="42"/>
    </row>
    <row r="82" customFormat="false" ht="12.75" hidden="false" customHeight="false" outlineLevel="0" collapsed="false">
      <c r="A82" s="42"/>
    </row>
    <row r="83" customFormat="false" ht="12.75" hidden="false" customHeight="false" outlineLevel="0" collapsed="false">
      <c r="A83" s="42"/>
    </row>
    <row r="84" customFormat="false" ht="12.75" hidden="false" customHeight="false" outlineLevel="0" collapsed="false">
      <c r="A84" s="42"/>
    </row>
    <row r="85" customFormat="false" ht="12.75" hidden="false" customHeight="false" outlineLevel="0" collapsed="false">
      <c r="A85" s="42"/>
    </row>
    <row r="86" customFormat="false" ht="12.75" hidden="false" customHeight="false" outlineLevel="0" collapsed="false">
      <c r="A86" s="42"/>
    </row>
    <row r="87" customFormat="false" ht="12.75" hidden="false" customHeight="false" outlineLevel="0" collapsed="false">
      <c r="A87" s="42"/>
    </row>
    <row r="88" customFormat="false" ht="12.75" hidden="false" customHeight="false" outlineLevel="0" collapsed="false">
      <c r="A88" s="42"/>
    </row>
    <row r="89" customFormat="false" ht="12.75" hidden="false" customHeight="false" outlineLevel="0" collapsed="false">
      <c r="A89" s="42"/>
    </row>
    <row r="90" customFormat="false" ht="12.75" hidden="false" customHeight="false" outlineLevel="0" collapsed="false">
      <c r="A90" s="42"/>
    </row>
    <row r="91" customFormat="false" ht="12.75" hidden="false" customHeight="false" outlineLevel="0" collapsed="false">
      <c r="A91" s="42"/>
    </row>
    <row r="92" customFormat="false" ht="12.75" hidden="false" customHeight="false" outlineLevel="0" collapsed="false">
      <c r="A92" s="42"/>
    </row>
    <row r="93" customFormat="false" ht="12.75" hidden="false" customHeight="false" outlineLevel="0" collapsed="false">
      <c r="A93" s="42"/>
    </row>
    <row r="94" customFormat="false" ht="12.75" hidden="false" customHeight="false" outlineLevel="0" collapsed="false">
      <c r="A94" s="42"/>
    </row>
    <row r="95" customFormat="false" ht="12.75" hidden="false" customHeight="false" outlineLevel="0" collapsed="false">
      <c r="A95" s="42"/>
    </row>
    <row r="96" customFormat="false" ht="12.75" hidden="false" customHeight="false" outlineLevel="0" collapsed="false">
      <c r="A96" s="42"/>
    </row>
    <row r="97" customFormat="false" ht="12.75" hidden="false" customHeight="false" outlineLevel="0" collapsed="false">
      <c r="A97" s="42"/>
    </row>
    <row r="98" customFormat="false" ht="12.75" hidden="false" customHeight="false" outlineLevel="0" collapsed="false">
      <c r="A98" s="42"/>
    </row>
    <row r="99" customFormat="false" ht="12.75" hidden="false" customHeight="false" outlineLevel="0" collapsed="false">
      <c r="A99" s="42"/>
    </row>
    <row r="100" customFormat="false" ht="12.75" hidden="false" customHeight="false" outlineLevel="0" collapsed="false">
      <c r="A100" s="42"/>
    </row>
    <row r="101" customFormat="false" ht="12.75" hidden="false" customHeight="false" outlineLevel="0" collapsed="false">
      <c r="A101" s="42"/>
    </row>
    <row r="102" customFormat="false" ht="12.75" hidden="false" customHeight="false" outlineLevel="0" collapsed="false">
      <c r="A102" s="42"/>
    </row>
    <row r="103" customFormat="false" ht="12.75" hidden="false" customHeight="false" outlineLevel="0" collapsed="false">
      <c r="A103" s="42"/>
    </row>
    <row r="104" customFormat="false" ht="12.75" hidden="false" customHeight="false" outlineLevel="0" collapsed="false">
      <c r="A104" s="42"/>
    </row>
    <row r="105" customFormat="false" ht="12.75" hidden="false" customHeight="false" outlineLevel="0" collapsed="false">
      <c r="A105" s="42"/>
    </row>
    <row r="106" customFormat="false" ht="12.75" hidden="false" customHeight="false" outlineLevel="0" collapsed="false">
      <c r="A106" s="42"/>
    </row>
    <row r="107" customFormat="false" ht="12.75" hidden="false" customHeight="false" outlineLevel="0" collapsed="false">
      <c r="A107" s="42"/>
    </row>
    <row r="108" customFormat="false" ht="12.75" hidden="false" customHeight="false" outlineLevel="0" collapsed="false">
      <c r="A108" s="42"/>
    </row>
    <row r="109" customFormat="false" ht="12.75" hidden="false" customHeight="false" outlineLevel="0" collapsed="false">
      <c r="A109" s="42"/>
    </row>
    <row r="110" customFormat="false" ht="12.75" hidden="false" customHeight="false" outlineLevel="0" collapsed="false">
      <c r="A110" s="42"/>
    </row>
    <row r="111" customFormat="false" ht="12.75" hidden="false" customHeight="false" outlineLevel="0" collapsed="false">
      <c r="A111" s="42"/>
    </row>
    <row r="112" customFormat="false" ht="12.75" hidden="false" customHeight="false" outlineLevel="0" collapsed="false">
      <c r="A112" s="42"/>
    </row>
    <row r="113" customFormat="false" ht="12.75" hidden="false" customHeight="false" outlineLevel="0" collapsed="false">
      <c r="A113" s="42"/>
    </row>
    <row r="114" customFormat="false" ht="12.75" hidden="false" customHeight="false" outlineLevel="0" collapsed="false">
      <c r="A114" s="42"/>
    </row>
    <row r="115" customFormat="false" ht="12.75" hidden="false" customHeight="false" outlineLevel="0" collapsed="false">
      <c r="A115" s="42"/>
    </row>
    <row r="116" customFormat="false" ht="12.75" hidden="false" customHeight="false" outlineLevel="0" collapsed="false">
      <c r="A116" s="42"/>
    </row>
    <row r="117" customFormat="false" ht="12.75" hidden="false" customHeight="false" outlineLevel="0" collapsed="false">
      <c r="A117" s="42"/>
    </row>
    <row r="118" customFormat="false" ht="12.75" hidden="false" customHeight="false" outlineLevel="0" collapsed="false">
      <c r="A118" s="42"/>
    </row>
    <row r="119" customFormat="false" ht="12.75" hidden="false" customHeight="false" outlineLevel="0" collapsed="false">
      <c r="A119" s="42"/>
    </row>
    <row r="120" customFormat="false" ht="12.75" hidden="false" customHeight="false" outlineLevel="0" collapsed="false">
      <c r="A120" s="42"/>
    </row>
    <row r="121" customFormat="false" ht="12.75" hidden="false" customHeight="false" outlineLevel="0" collapsed="false">
      <c r="A121" s="42"/>
    </row>
    <row r="122" customFormat="false" ht="12.75" hidden="false" customHeight="false" outlineLevel="0" collapsed="false">
      <c r="A122" s="42"/>
    </row>
    <row r="123" customFormat="false" ht="12.75" hidden="false" customHeight="false" outlineLevel="0" collapsed="false">
      <c r="A123" s="42"/>
    </row>
    <row r="124" customFormat="false" ht="12.75" hidden="false" customHeight="false" outlineLevel="0" collapsed="false">
      <c r="A124" s="42"/>
    </row>
    <row r="125" customFormat="false" ht="12.75" hidden="false" customHeight="false" outlineLevel="0" collapsed="false">
      <c r="A125" s="42"/>
    </row>
    <row r="126" customFormat="false" ht="12.75" hidden="false" customHeight="false" outlineLevel="0" collapsed="false">
      <c r="A126" s="42"/>
    </row>
    <row r="127" customFormat="false" ht="12.75" hidden="false" customHeight="false" outlineLevel="0" collapsed="false">
      <c r="A127" s="42"/>
    </row>
    <row r="128" customFormat="false" ht="12.75" hidden="false" customHeight="false" outlineLevel="0" collapsed="false">
      <c r="A128" s="42"/>
    </row>
    <row r="129" customFormat="false" ht="12.75" hidden="false" customHeight="false" outlineLevel="0" collapsed="false">
      <c r="A129" s="42"/>
    </row>
    <row r="130" customFormat="false" ht="12.75" hidden="false" customHeight="false" outlineLevel="0" collapsed="false">
      <c r="A130" s="42"/>
    </row>
    <row r="131" customFormat="false" ht="12.75" hidden="false" customHeight="false" outlineLevel="0" collapsed="false">
      <c r="A131" s="42"/>
    </row>
    <row r="132" customFormat="false" ht="12.75" hidden="false" customHeight="false" outlineLevel="0" collapsed="false">
      <c r="A132" s="42"/>
    </row>
    <row r="133" customFormat="false" ht="12.75" hidden="false" customHeight="false" outlineLevel="0" collapsed="false">
      <c r="A133" s="42"/>
    </row>
    <row r="134" customFormat="false" ht="12.75" hidden="false" customHeight="false" outlineLevel="0" collapsed="false">
      <c r="A134" s="42"/>
    </row>
    <row r="135" customFormat="false" ht="12.75" hidden="false" customHeight="false" outlineLevel="0" collapsed="false">
      <c r="A135" s="42"/>
    </row>
    <row r="136" customFormat="false" ht="12.75" hidden="false" customHeight="false" outlineLevel="0" collapsed="false">
      <c r="A136" s="42"/>
    </row>
    <row r="137" customFormat="false" ht="12.75" hidden="false" customHeight="false" outlineLevel="0" collapsed="false">
      <c r="A137" s="42"/>
    </row>
    <row r="138" customFormat="false" ht="12.75" hidden="false" customHeight="false" outlineLevel="0" collapsed="false">
      <c r="A138" s="42"/>
    </row>
    <row r="139" customFormat="false" ht="12.75" hidden="false" customHeight="false" outlineLevel="0" collapsed="false">
      <c r="A139" s="42"/>
    </row>
    <row r="140" customFormat="false" ht="12.75" hidden="false" customHeight="false" outlineLevel="0" collapsed="false">
      <c r="A140" s="42"/>
    </row>
    <row r="141" customFormat="false" ht="12.75" hidden="false" customHeight="false" outlineLevel="0" collapsed="false">
      <c r="A141" s="42"/>
    </row>
    <row r="142" customFormat="false" ht="12.75" hidden="false" customHeight="false" outlineLevel="0" collapsed="false">
      <c r="A142" s="42"/>
    </row>
    <row r="143" customFormat="false" ht="12.75" hidden="false" customHeight="false" outlineLevel="0" collapsed="false">
      <c r="A143" s="42"/>
    </row>
    <row r="144" customFormat="false" ht="12.75" hidden="false" customHeight="false" outlineLevel="0" collapsed="false">
      <c r="A144" s="42"/>
    </row>
    <row r="145" customFormat="false" ht="12.75" hidden="false" customHeight="false" outlineLevel="0" collapsed="false">
      <c r="A145" s="42"/>
    </row>
    <row r="146" customFormat="false" ht="12.75" hidden="false" customHeight="false" outlineLevel="0" collapsed="false">
      <c r="A146" s="42"/>
    </row>
    <row r="147" customFormat="false" ht="12.75" hidden="false" customHeight="false" outlineLevel="0" collapsed="false">
      <c r="A147" s="42"/>
    </row>
    <row r="148" customFormat="false" ht="12.75" hidden="false" customHeight="false" outlineLevel="0" collapsed="false">
      <c r="A148" s="42"/>
    </row>
    <row r="149" customFormat="false" ht="12.75" hidden="false" customHeight="false" outlineLevel="0" collapsed="false">
      <c r="A149" s="42"/>
    </row>
    <row r="150" customFormat="false" ht="12.75" hidden="false" customHeight="false" outlineLevel="0" collapsed="false">
      <c r="A150" s="42"/>
    </row>
    <row r="151" customFormat="false" ht="12.75" hidden="false" customHeight="false" outlineLevel="0" collapsed="false">
      <c r="A151" s="42"/>
    </row>
    <row r="152" customFormat="false" ht="12.75" hidden="false" customHeight="false" outlineLevel="0" collapsed="false">
      <c r="A152" s="42"/>
    </row>
    <row r="153" customFormat="false" ht="12.75" hidden="false" customHeight="false" outlineLevel="0" collapsed="false">
      <c r="A153" s="42"/>
    </row>
    <row r="154" customFormat="false" ht="12.75" hidden="false" customHeight="false" outlineLevel="0" collapsed="false">
      <c r="A154" s="42"/>
    </row>
    <row r="155" customFormat="false" ht="12.75" hidden="false" customHeight="false" outlineLevel="0" collapsed="false">
      <c r="A155" s="42"/>
    </row>
    <row r="156" customFormat="false" ht="12.75" hidden="false" customHeight="false" outlineLevel="0" collapsed="false">
      <c r="A156" s="42"/>
    </row>
    <row r="157" customFormat="false" ht="12.75" hidden="false" customHeight="false" outlineLevel="0" collapsed="false">
      <c r="A157" s="42"/>
    </row>
    <row r="158" customFormat="false" ht="12.75" hidden="false" customHeight="false" outlineLevel="0" collapsed="false">
      <c r="A158" s="42"/>
    </row>
    <row r="159" customFormat="false" ht="12.75" hidden="false" customHeight="false" outlineLevel="0" collapsed="false">
      <c r="A159" s="42"/>
    </row>
    <row r="160" customFormat="false" ht="12.75" hidden="false" customHeight="false" outlineLevel="0" collapsed="false">
      <c r="A160" s="42"/>
    </row>
    <row r="161" customFormat="false" ht="12.75" hidden="false" customHeight="false" outlineLevel="0" collapsed="false">
      <c r="A161" s="42"/>
    </row>
    <row r="162" customFormat="false" ht="12.75" hidden="false" customHeight="false" outlineLevel="0" collapsed="false">
      <c r="A162" s="42"/>
    </row>
    <row r="163" customFormat="false" ht="12.75" hidden="false" customHeight="false" outlineLevel="0" collapsed="false">
      <c r="A163" s="42"/>
    </row>
    <row r="164" customFormat="false" ht="12.75" hidden="false" customHeight="false" outlineLevel="0" collapsed="false">
      <c r="A164" s="42"/>
    </row>
    <row r="165" customFormat="false" ht="12.75" hidden="false" customHeight="false" outlineLevel="0" collapsed="false">
      <c r="A165" s="42"/>
    </row>
    <row r="166" customFormat="false" ht="12.75" hidden="false" customHeight="false" outlineLevel="0" collapsed="false">
      <c r="A166" s="42"/>
    </row>
    <row r="167" customFormat="false" ht="12.75" hidden="false" customHeight="false" outlineLevel="0" collapsed="false">
      <c r="A167" s="42"/>
    </row>
    <row r="168" customFormat="false" ht="12.75" hidden="false" customHeight="false" outlineLevel="0" collapsed="false">
      <c r="A168" s="42"/>
    </row>
    <row r="169" customFormat="false" ht="12.75" hidden="false" customHeight="false" outlineLevel="0" collapsed="false">
      <c r="A169" s="42"/>
    </row>
    <row r="170" customFormat="false" ht="12.75" hidden="false" customHeight="false" outlineLevel="0" collapsed="false">
      <c r="A170" s="42"/>
    </row>
    <row r="171" customFormat="false" ht="12.75" hidden="false" customHeight="false" outlineLevel="0" collapsed="false">
      <c r="A171" s="42"/>
    </row>
    <row r="172" customFormat="false" ht="12.75" hidden="false" customHeight="false" outlineLevel="0" collapsed="false">
      <c r="A172" s="42"/>
    </row>
    <row r="173" customFormat="false" ht="12.75" hidden="false" customHeight="false" outlineLevel="0" collapsed="false">
      <c r="A173" s="42"/>
    </row>
    <row r="174" customFormat="false" ht="12.75" hidden="false" customHeight="false" outlineLevel="0" collapsed="false">
      <c r="A174" s="42"/>
    </row>
    <row r="175" customFormat="false" ht="12.75" hidden="false" customHeight="false" outlineLevel="0" collapsed="false">
      <c r="A175" s="42"/>
    </row>
    <row r="176" customFormat="false" ht="12.75" hidden="false" customHeight="false" outlineLevel="0" collapsed="false">
      <c r="A176" s="42"/>
    </row>
    <row r="177" customFormat="false" ht="12.75" hidden="false" customHeight="false" outlineLevel="0" collapsed="false">
      <c r="A177" s="42"/>
    </row>
    <row r="178" customFormat="false" ht="12.75" hidden="false" customHeight="false" outlineLevel="0" collapsed="false">
      <c r="A178" s="42"/>
    </row>
    <row r="179" customFormat="false" ht="12.75" hidden="false" customHeight="false" outlineLevel="0" collapsed="false">
      <c r="A179" s="42"/>
    </row>
    <row r="180" customFormat="false" ht="12.75" hidden="false" customHeight="false" outlineLevel="0" collapsed="false">
      <c r="A180" s="42"/>
    </row>
    <row r="181" customFormat="false" ht="12.75" hidden="false" customHeight="false" outlineLevel="0" collapsed="false">
      <c r="A181" s="42"/>
    </row>
    <row r="182" customFormat="false" ht="12.75" hidden="false" customHeight="false" outlineLevel="0" collapsed="false">
      <c r="A182" s="42"/>
    </row>
    <row r="183" customFormat="false" ht="12.75" hidden="false" customHeight="false" outlineLevel="0" collapsed="false">
      <c r="A183" s="42"/>
    </row>
    <row r="184" customFormat="false" ht="12.75" hidden="false" customHeight="false" outlineLevel="0" collapsed="false">
      <c r="A184" s="42"/>
    </row>
    <row r="185" customFormat="false" ht="12.75" hidden="false" customHeight="false" outlineLevel="0" collapsed="false">
      <c r="A185" s="42"/>
    </row>
    <row r="186" customFormat="false" ht="12.75" hidden="false" customHeight="false" outlineLevel="0" collapsed="false">
      <c r="A186" s="42"/>
    </row>
    <row r="187" customFormat="false" ht="12.75" hidden="false" customHeight="false" outlineLevel="0" collapsed="false">
      <c r="A187" s="42"/>
    </row>
    <row r="188" customFormat="false" ht="12.75" hidden="false" customHeight="false" outlineLevel="0" collapsed="false">
      <c r="A188" s="42"/>
    </row>
    <row r="189" customFormat="false" ht="12.75" hidden="false" customHeight="false" outlineLevel="0" collapsed="false">
      <c r="A189" s="42"/>
    </row>
    <row r="190" customFormat="false" ht="12.75" hidden="false" customHeight="false" outlineLevel="0" collapsed="false">
      <c r="A190" s="42"/>
    </row>
    <row r="191" customFormat="false" ht="12.75" hidden="false" customHeight="false" outlineLevel="0" collapsed="false">
      <c r="A191" s="42"/>
    </row>
    <row r="192" customFormat="false" ht="12.75" hidden="false" customHeight="false" outlineLevel="0" collapsed="false">
      <c r="A192" s="42"/>
    </row>
    <row r="193" customFormat="false" ht="12.75" hidden="false" customHeight="false" outlineLevel="0" collapsed="false">
      <c r="A193" s="42"/>
    </row>
    <row r="194" customFormat="false" ht="12.75" hidden="false" customHeight="false" outlineLevel="0" collapsed="false">
      <c r="A194" s="42"/>
    </row>
    <row r="195" customFormat="false" ht="12.75" hidden="false" customHeight="false" outlineLevel="0" collapsed="false">
      <c r="A195" s="42"/>
    </row>
    <row r="196" customFormat="false" ht="12.75" hidden="false" customHeight="false" outlineLevel="0" collapsed="false">
      <c r="A196" s="42"/>
    </row>
    <row r="197" customFormat="false" ht="12.75" hidden="false" customHeight="false" outlineLevel="0" collapsed="false">
      <c r="A197" s="42"/>
    </row>
    <row r="198" customFormat="false" ht="12.75" hidden="false" customHeight="false" outlineLevel="0" collapsed="false">
      <c r="A198" s="42"/>
    </row>
    <row r="199" customFormat="false" ht="12.75" hidden="false" customHeight="false" outlineLevel="0" collapsed="false">
      <c r="A199" s="42"/>
    </row>
    <row r="200" customFormat="false" ht="12.75" hidden="false" customHeight="false" outlineLevel="0" collapsed="false">
      <c r="A200" s="42"/>
    </row>
    <row r="201" customFormat="false" ht="12.75" hidden="false" customHeight="false" outlineLevel="0" collapsed="false">
      <c r="A201" s="42"/>
    </row>
    <row r="202" customFormat="false" ht="12.75" hidden="false" customHeight="false" outlineLevel="0" collapsed="false">
      <c r="A202" s="42"/>
    </row>
    <row r="203" customFormat="false" ht="12.75" hidden="false" customHeight="false" outlineLevel="0" collapsed="false">
      <c r="A203" s="42"/>
    </row>
    <row r="204" customFormat="false" ht="12.75" hidden="false" customHeight="false" outlineLevel="0" collapsed="false">
      <c r="A204" s="42"/>
    </row>
    <row r="205" customFormat="false" ht="12.75" hidden="false" customHeight="false" outlineLevel="0" collapsed="false">
      <c r="A205" s="42"/>
    </row>
    <row r="206" customFormat="false" ht="12.75" hidden="false" customHeight="false" outlineLevel="0" collapsed="false">
      <c r="A206" s="42"/>
    </row>
    <row r="207" customFormat="false" ht="12.75" hidden="false" customHeight="false" outlineLevel="0" collapsed="false">
      <c r="A207" s="42"/>
    </row>
    <row r="208" customFormat="false" ht="12.75" hidden="false" customHeight="false" outlineLevel="0" collapsed="false">
      <c r="A208" s="42"/>
    </row>
    <row r="209" customFormat="false" ht="12.75" hidden="false" customHeight="false" outlineLevel="0" collapsed="false">
      <c r="A209" s="42"/>
    </row>
    <row r="210" customFormat="false" ht="12.75" hidden="false" customHeight="false" outlineLevel="0" collapsed="false">
      <c r="A210" s="42"/>
    </row>
    <row r="211" customFormat="false" ht="12.75" hidden="false" customHeight="false" outlineLevel="0" collapsed="false">
      <c r="A211" s="42"/>
    </row>
    <row r="212" customFormat="false" ht="12.75" hidden="false" customHeight="false" outlineLevel="0" collapsed="false">
      <c r="A212" s="42"/>
    </row>
    <row r="213" customFormat="false" ht="12.75" hidden="false" customHeight="false" outlineLevel="0" collapsed="false">
      <c r="A213" s="42"/>
    </row>
    <row r="214" customFormat="false" ht="12.75" hidden="false" customHeight="false" outlineLevel="0" collapsed="false">
      <c r="A214" s="42"/>
    </row>
    <row r="215" customFormat="false" ht="12.75" hidden="false" customHeight="false" outlineLevel="0" collapsed="false">
      <c r="A215" s="42"/>
    </row>
    <row r="216" customFormat="false" ht="12.75" hidden="false" customHeight="false" outlineLevel="0" collapsed="false">
      <c r="A216" s="42"/>
    </row>
    <row r="217" customFormat="false" ht="12.75" hidden="false" customHeight="false" outlineLevel="0" collapsed="false">
      <c r="A217" s="42"/>
    </row>
    <row r="218" customFormat="false" ht="12.75" hidden="false" customHeight="false" outlineLevel="0" collapsed="false">
      <c r="A218" s="42"/>
    </row>
    <row r="219" customFormat="false" ht="12.75" hidden="false" customHeight="false" outlineLevel="0" collapsed="false">
      <c r="A219" s="42"/>
    </row>
    <row r="220" customFormat="false" ht="12.75" hidden="false" customHeight="false" outlineLevel="0" collapsed="false">
      <c r="A220" s="42"/>
    </row>
    <row r="221" customFormat="false" ht="12.75" hidden="false" customHeight="false" outlineLevel="0" collapsed="false">
      <c r="A221" s="42"/>
    </row>
    <row r="222" customFormat="false" ht="12.75" hidden="false" customHeight="false" outlineLevel="0" collapsed="false">
      <c r="A222" s="42"/>
    </row>
    <row r="223" customFormat="false" ht="12.75" hidden="false" customHeight="false" outlineLevel="0" collapsed="false">
      <c r="A223" s="42"/>
    </row>
    <row r="224" customFormat="false" ht="12.75" hidden="false" customHeight="false" outlineLevel="0" collapsed="false">
      <c r="A224" s="42"/>
    </row>
    <row r="225" customFormat="false" ht="12.75" hidden="false" customHeight="false" outlineLevel="0" collapsed="false">
      <c r="A225" s="42"/>
    </row>
    <row r="226" customFormat="false" ht="12.75" hidden="false" customHeight="false" outlineLevel="0" collapsed="false">
      <c r="A226" s="42"/>
    </row>
    <row r="227" customFormat="false" ht="12.75" hidden="false" customHeight="false" outlineLevel="0" collapsed="false">
      <c r="A227" s="42"/>
    </row>
    <row r="228" customFormat="false" ht="12.75" hidden="false" customHeight="false" outlineLevel="0" collapsed="false">
      <c r="A228" s="42"/>
    </row>
    <row r="229" customFormat="false" ht="12.75" hidden="false" customHeight="false" outlineLevel="0" collapsed="false">
      <c r="A229" s="42"/>
    </row>
    <row r="230" customFormat="false" ht="12.75" hidden="false" customHeight="false" outlineLevel="0" collapsed="false">
      <c r="A230" s="42"/>
    </row>
    <row r="231" customFormat="false" ht="12.75" hidden="false" customHeight="false" outlineLevel="0" collapsed="false">
      <c r="A231" s="42"/>
    </row>
    <row r="232" customFormat="false" ht="12.75" hidden="false" customHeight="false" outlineLevel="0" collapsed="false">
      <c r="A232" s="42"/>
    </row>
    <row r="233" customFormat="false" ht="12.75" hidden="false" customHeight="false" outlineLevel="0" collapsed="false">
      <c r="A233" s="42"/>
    </row>
    <row r="234" customFormat="false" ht="12.75" hidden="false" customHeight="false" outlineLevel="0" collapsed="false">
      <c r="A234" s="42"/>
    </row>
    <row r="235" customFormat="false" ht="12.75" hidden="false" customHeight="false" outlineLevel="0" collapsed="false">
      <c r="A235" s="42"/>
    </row>
    <row r="236" customFormat="false" ht="12.75" hidden="false" customHeight="false" outlineLevel="0" collapsed="false">
      <c r="A236" s="42"/>
    </row>
    <row r="237" customFormat="false" ht="12.75" hidden="false" customHeight="false" outlineLevel="0" collapsed="false">
      <c r="A237" s="42"/>
    </row>
    <row r="238" customFormat="false" ht="12.75" hidden="false" customHeight="false" outlineLevel="0" collapsed="false">
      <c r="A238" s="42"/>
    </row>
    <row r="239" customFormat="false" ht="12.75" hidden="false" customHeight="false" outlineLevel="0" collapsed="false">
      <c r="A239" s="42"/>
    </row>
    <row r="240" customFormat="false" ht="12.75" hidden="false" customHeight="false" outlineLevel="0" collapsed="false">
      <c r="A240" s="42"/>
    </row>
    <row r="241" customFormat="false" ht="12.75" hidden="false" customHeight="false" outlineLevel="0" collapsed="false">
      <c r="A241" s="42"/>
    </row>
    <row r="242" customFormat="false" ht="12.75" hidden="false" customHeight="false" outlineLevel="0" collapsed="false">
      <c r="A242" s="42"/>
    </row>
    <row r="243" customFormat="false" ht="12.75" hidden="false" customHeight="false" outlineLevel="0" collapsed="false">
      <c r="A243" s="42"/>
    </row>
    <row r="244" customFormat="false" ht="12.75" hidden="false" customHeight="false" outlineLevel="0" collapsed="false">
      <c r="A244" s="42"/>
    </row>
    <row r="245" customFormat="false" ht="12.75" hidden="false" customHeight="false" outlineLevel="0" collapsed="false">
      <c r="A245" s="42"/>
    </row>
    <row r="246" customFormat="false" ht="12.75" hidden="false" customHeight="false" outlineLevel="0" collapsed="false">
      <c r="A246" s="42"/>
    </row>
    <row r="247" customFormat="false" ht="12.75" hidden="false" customHeight="false" outlineLevel="0" collapsed="false">
      <c r="A247" s="42"/>
    </row>
    <row r="248" customFormat="false" ht="12.75" hidden="false" customHeight="false" outlineLevel="0" collapsed="false">
      <c r="A248" s="42"/>
    </row>
    <row r="249" customFormat="false" ht="12.75" hidden="false" customHeight="false" outlineLevel="0" collapsed="false">
      <c r="A249" s="42"/>
    </row>
    <row r="250" customFormat="false" ht="12.75" hidden="false" customHeight="false" outlineLevel="0" collapsed="false">
      <c r="A250" s="42"/>
    </row>
    <row r="251" customFormat="false" ht="12.75" hidden="false" customHeight="false" outlineLevel="0" collapsed="false">
      <c r="A251" s="42"/>
    </row>
    <row r="252" customFormat="false" ht="12.75" hidden="false" customHeight="false" outlineLevel="0" collapsed="false">
      <c r="A252" s="42"/>
    </row>
    <row r="253" customFormat="false" ht="12.75" hidden="false" customHeight="false" outlineLevel="0" collapsed="false">
      <c r="A253" s="42"/>
    </row>
    <row r="254" customFormat="false" ht="12.75" hidden="false" customHeight="false" outlineLevel="0" collapsed="false">
      <c r="A254" s="42"/>
    </row>
    <row r="255" customFormat="false" ht="12.75" hidden="false" customHeight="false" outlineLevel="0" collapsed="false">
      <c r="A255" s="42"/>
    </row>
    <row r="256" customFormat="false" ht="12.75" hidden="false" customHeight="false" outlineLevel="0" collapsed="false">
      <c r="A256" s="42"/>
    </row>
    <row r="257" customFormat="false" ht="12.75" hidden="false" customHeight="false" outlineLevel="0" collapsed="false">
      <c r="A257" s="42"/>
    </row>
    <row r="258" customFormat="false" ht="12.75" hidden="false" customHeight="false" outlineLevel="0" collapsed="false">
      <c r="A258" s="42"/>
    </row>
    <row r="259" customFormat="false" ht="12.75" hidden="false" customHeight="false" outlineLevel="0" collapsed="false">
      <c r="A259" s="42"/>
    </row>
    <row r="260" customFormat="false" ht="12.75" hidden="false" customHeight="false" outlineLevel="0" collapsed="false">
      <c r="A260" s="42"/>
    </row>
    <row r="261" customFormat="false" ht="12.75" hidden="false" customHeight="false" outlineLevel="0" collapsed="false">
      <c r="A261" s="42"/>
    </row>
    <row r="262" customFormat="false" ht="12.75" hidden="false" customHeight="false" outlineLevel="0" collapsed="false">
      <c r="A262" s="42"/>
    </row>
    <row r="263" customFormat="false" ht="12.75" hidden="false" customHeight="false" outlineLevel="0" collapsed="false">
      <c r="A263" s="42"/>
    </row>
    <row r="264" customFormat="false" ht="12.75" hidden="false" customHeight="false" outlineLevel="0" collapsed="false">
      <c r="A264" s="42"/>
    </row>
    <row r="265" customFormat="false" ht="12.75" hidden="false" customHeight="false" outlineLevel="0" collapsed="false">
      <c r="A265" s="42"/>
    </row>
    <row r="266" customFormat="false" ht="12.75" hidden="false" customHeight="false" outlineLevel="0" collapsed="false">
      <c r="A266" s="42"/>
    </row>
    <row r="267" customFormat="false" ht="12.75" hidden="false" customHeight="false" outlineLevel="0" collapsed="false">
      <c r="A267" s="42"/>
    </row>
    <row r="268" customFormat="false" ht="12.75" hidden="false" customHeight="false" outlineLevel="0" collapsed="false">
      <c r="A268" s="42"/>
    </row>
    <row r="269" customFormat="false" ht="12.75" hidden="false" customHeight="false" outlineLevel="0" collapsed="false">
      <c r="A269" s="42"/>
    </row>
    <row r="270" customFormat="false" ht="12.75" hidden="false" customHeight="false" outlineLevel="0" collapsed="false">
      <c r="A270" s="42"/>
    </row>
    <row r="271" customFormat="false" ht="12.75" hidden="false" customHeight="false" outlineLevel="0" collapsed="false">
      <c r="A271" s="42"/>
    </row>
    <row r="272" customFormat="false" ht="12.75" hidden="false" customHeight="false" outlineLevel="0" collapsed="false">
      <c r="A272" s="42"/>
    </row>
    <row r="273" customFormat="false" ht="12.75" hidden="false" customHeight="false" outlineLevel="0" collapsed="false">
      <c r="A273" s="42"/>
    </row>
    <row r="274" customFormat="false" ht="12.75" hidden="false" customHeight="false" outlineLevel="0" collapsed="false">
      <c r="A274" s="42"/>
    </row>
    <row r="275" customFormat="false" ht="12.75" hidden="false" customHeight="false" outlineLevel="0" collapsed="false">
      <c r="A275" s="42"/>
    </row>
    <row r="276" customFormat="false" ht="12.75" hidden="false" customHeight="false" outlineLevel="0" collapsed="false">
      <c r="A276" s="42"/>
    </row>
    <row r="277" customFormat="false" ht="12.75" hidden="false" customHeight="false" outlineLevel="0" collapsed="false">
      <c r="A277" s="42"/>
    </row>
    <row r="278" customFormat="false" ht="12.75" hidden="false" customHeight="false" outlineLevel="0" collapsed="false">
      <c r="A278" s="42"/>
    </row>
    <row r="279" customFormat="false" ht="12.75" hidden="false" customHeight="false" outlineLevel="0" collapsed="false">
      <c r="A279" s="42"/>
    </row>
    <row r="280" customFormat="false" ht="12.75" hidden="false" customHeight="false" outlineLevel="0" collapsed="false">
      <c r="A280" s="42"/>
    </row>
    <row r="281" customFormat="false" ht="12.75" hidden="false" customHeight="false" outlineLevel="0" collapsed="false">
      <c r="A281" s="42"/>
    </row>
    <row r="282" customFormat="false" ht="12.75" hidden="false" customHeight="false" outlineLevel="0" collapsed="false">
      <c r="A282" s="42"/>
    </row>
    <row r="283" customFormat="false" ht="12.75" hidden="false" customHeight="false" outlineLevel="0" collapsed="false">
      <c r="A283" s="42"/>
    </row>
    <row r="284" customFormat="false" ht="12.75" hidden="false" customHeight="false" outlineLevel="0" collapsed="false">
      <c r="A284" s="42"/>
    </row>
    <row r="285" customFormat="false" ht="12.75" hidden="false" customHeight="false" outlineLevel="0" collapsed="false">
      <c r="A285" s="42"/>
    </row>
    <row r="286" customFormat="false" ht="12.75" hidden="false" customHeight="false" outlineLevel="0" collapsed="false">
      <c r="A286" s="42"/>
    </row>
    <row r="287" customFormat="false" ht="12.75" hidden="false" customHeight="false" outlineLevel="0" collapsed="false">
      <c r="A287" s="42"/>
    </row>
    <row r="288" customFormat="false" ht="12.75" hidden="false" customHeight="false" outlineLevel="0" collapsed="false">
      <c r="A288" s="42"/>
    </row>
    <row r="289" customFormat="false" ht="12.75" hidden="false" customHeight="false" outlineLevel="0" collapsed="false">
      <c r="A289" s="42"/>
    </row>
    <row r="290" customFormat="false" ht="12.75" hidden="false" customHeight="false" outlineLevel="0" collapsed="false">
      <c r="A290" s="42"/>
    </row>
    <row r="291" customFormat="false" ht="12.75" hidden="false" customHeight="false" outlineLevel="0" collapsed="false">
      <c r="A291" s="42"/>
    </row>
    <row r="292" customFormat="false" ht="12.75" hidden="false" customHeight="false" outlineLevel="0" collapsed="false">
      <c r="A292" s="42"/>
    </row>
    <row r="293" customFormat="false" ht="12.75" hidden="false" customHeight="false" outlineLevel="0" collapsed="false">
      <c r="A293" s="42"/>
    </row>
    <row r="294" customFormat="false" ht="12.75" hidden="false" customHeight="false" outlineLevel="0" collapsed="false">
      <c r="A294" s="42"/>
    </row>
    <row r="295" customFormat="false" ht="12.75" hidden="false" customHeight="false" outlineLevel="0" collapsed="false">
      <c r="A295" s="42"/>
    </row>
    <row r="296" customFormat="false" ht="12.75" hidden="false" customHeight="false" outlineLevel="0" collapsed="false">
      <c r="A296" s="42"/>
    </row>
    <row r="297" customFormat="false" ht="12.75" hidden="false" customHeight="false" outlineLevel="0" collapsed="false">
      <c r="A297" s="42"/>
    </row>
    <row r="298" customFormat="false" ht="12.75" hidden="false" customHeight="false" outlineLevel="0" collapsed="false">
      <c r="A298" s="42"/>
    </row>
    <row r="299" customFormat="false" ht="12.75" hidden="false" customHeight="false" outlineLevel="0" collapsed="false">
      <c r="A299" s="42"/>
    </row>
    <row r="300" customFormat="false" ht="12.75" hidden="false" customHeight="false" outlineLevel="0" collapsed="false">
      <c r="A300" s="42"/>
    </row>
    <row r="301" customFormat="false" ht="12.75" hidden="false" customHeight="false" outlineLevel="0" collapsed="false">
      <c r="A301" s="42"/>
    </row>
    <row r="302" customFormat="false" ht="12.75" hidden="false" customHeight="false" outlineLevel="0" collapsed="false">
      <c r="A302" s="42"/>
    </row>
    <row r="303" customFormat="false" ht="12.75" hidden="false" customHeight="false" outlineLevel="0" collapsed="false">
      <c r="A303" s="42"/>
    </row>
    <row r="304" customFormat="false" ht="12.75" hidden="false" customHeight="false" outlineLevel="0" collapsed="false">
      <c r="A304" s="42"/>
    </row>
    <row r="305" customFormat="false" ht="12.75" hidden="false" customHeight="false" outlineLevel="0" collapsed="false">
      <c r="A305" s="42"/>
    </row>
    <row r="306" customFormat="false" ht="12.75" hidden="false" customHeight="false" outlineLevel="0" collapsed="false">
      <c r="A306" s="42"/>
    </row>
    <row r="307" customFormat="false" ht="12.75" hidden="false" customHeight="false" outlineLevel="0" collapsed="false">
      <c r="A307" s="42"/>
    </row>
    <row r="308" customFormat="false" ht="12.75" hidden="false" customHeight="false" outlineLevel="0" collapsed="false">
      <c r="A308" s="42"/>
    </row>
    <row r="309" customFormat="false" ht="12.75" hidden="false" customHeight="false" outlineLevel="0" collapsed="false">
      <c r="A309" s="42"/>
    </row>
    <row r="310" customFormat="false" ht="12.75" hidden="false" customHeight="false" outlineLevel="0" collapsed="false">
      <c r="A310" s="42"/>
    </row>
    <row r="311" customFormat="false" ht="12.75" hidden="false" customHeight="false" outlineLevel="0" collapsed="false">
      <c r="A311" s="42"/>
    </row>
    <row r="312" customFormat="false" ht="12.75" hidden="false" customHeight="false" outlineLevel="0" collapsed="false">
      <c r="A312" s="42"/>
    </row>
    <row r="313" customFormat="false" ht="12.75" hidden="false" customHeight="false" outlineLevel="0" collapsed="false">
      <c r="A313" s="42"/>
    </row>
    <row r="314" customFormat="false" ht="12.75" hidden="false" customHeight="false" outlineLevel="0" collapsed="false">
      <c r="A314" s="42"/>
    </row>
    <row r="315" customFormat="false" ht="12.75" hidden="false" customHeight="false" outlineLevel="0" collapsed="false">
      <c r="A315" s="42"/>
    </row>
    <row r="316" customFormat="false" ht="12.75" hidden="false" customHeight="false" outlineLevel="0" collapsed="false">
      <c r="A316" s="42"/>
    </row>
    <row r="317" customFormat="false" ht="12.75" hidden="false" customHeight="false" outlineLevel="0" collapsed="false">
      <c r="A317" s="42"/>
    </row>
    <row r="318" customFormat="false" ht="12.75" hidden="false" customHeight="false" outlineLevel="0" collapsed="false">
      <c r="A318" s="42"/>
    </row>
    <row r="319" customFormat="false" ht="12.75" hidden="false" customHeight="false" outlineLevel="0" collapsed="false">
      <c r="A319" s="42"/>
    </row>
    <row r="320" customFormat="false" ht="12.75" hidden="false" customHeight="false" outlineLevel="0" collapsed="false">
      <c r="A320" s="42"/>
    </row>
    <row r="321" customFormat="false" ht="12.75" hidden="false" customHeight="false" outlineLevel="0" collapsed="false">
      <c r="A321" s="42"/>
    </row>
    <row r="322" customFormat="false" ht="12.75" hidden="false" customHeight="false" outlineLevel="0" collapsed="false">
      <c r="A322" s="42"/>
    </row>
    <row r="323" customFormat="false" ht="12.75" hidden="false" customHeight="false" outlineLevel="0" collapsed="false">
      <c r="A323" s="42"/>
    </row>
    <row r="324" customFormat="false" ht="12.75" hidden="false" customHeight="false" outlineLevel="0" collapsed="false">
      <c r="A324" s="42"/>
    </row>
    <row r="325" customFormat="false" ht="12.75" hidden="false" customHeight="false" outlineLevel="0" collapsed="false">
      <c r="A325" s="42"/>
    </row>
    <row r="326" customFormat="false" ht="12.75" hidden="false" customHeight="false" outlineLevel="0" collapsed="false">
      <c r="A326" s="42"/>
    </row>
    <row r="327" customFormat="false" ht="12.75" hidden="false" customHeight="false" outlineLevel="0" collapsed="false">
      <c r="A327" s="42"/>
    </row>
    <row r="328" customFormat="false" ht="12.75" hidden="false" customHeight="false" outlineLevel="0" collapsed="false">
      <c r="A328" s="42"/>
    </row>
    <row r="329" customFormat="false" ht="12.75" hidden="false" customHeight="false" outlineLevel="0" collapsed="false">
      <c r="A329" s="42"/>
    </row>
    <row r="330" customFormat="false" ht="12.75" hidden="false" customHeight="false" outlineLevel="0" collapsed="false">
      <c r="A330" s="42"/>
    </row>
    <row r="331" customFormat="false" ht="12.75" hidden="false" customHeight="false" outlineLevel="0" collapsed="false">
      <c r="A331" s="42"/>
    </row>
    <row r="332" customFormat="false" ht="12.75" hidden="false" customHeight="false" outlineLevel="0" collapsed="false">
      <c r="A332" s="42"/>
    </row>
    <row r="333" customFormat="false" ht="12.75" hidden="false" customHeight="false" outlineLevel="0" collapsed="false">
      <c r="A333" s="42"/>
    </row>
    <row r="334" customFormat="false" ht="12.75" hidden="false" customHeight="false" outlineLevel="0" collapsed="false">
      <c r="A334" s="42"/>
    </row>
    <row r="335" customFormat="false" ht="12.75" hidden="false" customHeight="false" outlineLevel="0" collapsed="false">
      <c r="A335" s="42"/>
    </row>
    <row r="336" customFormat="false" ht="12.75" hidden="false" customHeight="false" outlineLevel="0" collapsed="false">
      <c r="A336" s="42"/>
    </row>
    <row r="337" customFormat="false" ht="12.75" hidden="false" customHeight="false" outlineLevel="0" collapsed="false">
      <c r="A337" s="42"/>
    </row>
    <row r="338" customFormat="false" ht="12.75" hidden="false" customHeight="false" outlineLevel="0" collapsed="false">
      <c r="A338" s="42"/>
    </row>
    <row r="339" customFormat="false" ht="12.75" hidden="false" customHeight="false" outlineLevel="0" collapsed="false">
      <c r="A339" s="42"/>
    </row>
    <row r="340" customFormat="false" ht="12.75" hidden="false" customHeight="false" outlineLevel="0" collapsed="false">
      <c r="A340" s="42"/>
    </row>
    <row r="341" customFormat="false" ht="12.75" hidden="false" customHeight="false" outlineLevel="0" collapsed="false">
      <c r="A341" s="42"/>
    </row>
    <row r="342" customFormat="false" ht="12.75" hidden="false" customHeight="false" outlineLevel="0" collapsed="false">
      <c r="A342" s="42"/>
    </row>
    <row r="343" customFormat="false" ht="12.75" hidden="false" customHeight="false" outlineLevel="0" collapsed="false">
      <c r="A343" s="42"/>
    </row>
    <row r="344" customFormat="false" ht="12.75" hidden="false" customHeight="false" outlineLevel="0" collapsed="false">
      <c r="A344" s="42"/>
    </row>
    <row r="345" customFormat="false" ht="12.75" hidden="false" customHeight="false" outlineLevel="0" collapsed="false">
      <c r="A345" s="42"/>
    </row>
    <row r="346" customFormat="false" ht="12.75" hidden="false" customHeight="false" outlineLevel="0" collapsed="false">
      <c r="A346" s="42"/>
    </row>
    <row r="347" customFormat="false" ht="12.75" hidden="false" customHeight="false" outlineLevel="0" collapsed="false">
      <c r="A347" s="42"/>
    </row>
    <row r="348" customFormat="false" ht="12.75" hidden="false" customHeight="false" outlineLevel="0" collapsed="false">
      <c r="A348" s="42"/>
    </row>
    <row r="349" customFormat="false" ht="12.75" hidden="false" customHeight="false" outlineLevel="0" collapsed="false">
      <c r="A349" s="42"/>
    </row>
    <row r="350" customFormat="false" ht="12.75" hidden="false" customHeight="false" outlineLevel="0" collapsed="false">
      <c r="A350" s="42"/>
    </row>
    <row r="351" customFormat="false" ht="12.75" hidden="false" customHeight="false" outlineLevel="0" collapsed="false">
      <c r="A351" s="42"/>
    </row>
    <row r="352" customFormat="false" ht="12.75" hidden="false" customHeight="false" outlineLevel="0" collapsed="false">
      <c r="A352" s="42"/>
    </row>
    <row r="353" customFormat="false" ht="12.75" hidden="false" customHeight="false" outlineLevel="0" collapsed="false">
      <c r="A353" s="42"/>
    </row>
    <row r="354" customFormat="false" ht="12.75" hidden="false" customHeight="false" outlineLevel="0" collapsed="false">
      <c r="A354" s="42"/>
    </row>
    <row r="355" customFormat="false" ht="12.75" hidden="false" customHeight="false" outlineLevel="0" collapsed="false">
      <c r="A355" s="42"/>
    </row>
    <row r="356" customFormat="false" ht="12.75" hidden="false" customHeight="false" outlineLevel="0" collapsed="false">
      <c r="A356" s="42"/>
    </row>
    <row r="357" customFormat="false" ht="12.75" hidden="false" customHeight="false" outlineLevel="0" collapsed="false">
      <c r="A357" s="42"/>
    </row>
    <row r="358" customFormat="false" ht="12.75" hidden="false" customHeight="false" outlineLevel="0" collapsed="false">
      <c r="A358" s="42"/>
    </row>
    <row r="359" customFormat="false" ht="12.75" hidden="false" customHeight="false" outlineLevel="0" collapsed="false">
      <c r="A359" s="42"/>
    </row>
    <row r="360" customFormat="false" ht="12.75" hidden="false" customHeight="false" outlineLevel="0" collapsed="false">
      <c r="A360" s="42"/>
    </row>
    <row r="361" customFormat="false" ht="12.75" hidden="false" customHeight="false" outlineLevel="0" collapsed="false">
      <c r="A361" s="42"/>
    </row>
    <row r="362" customFormat="false" ht="12.75" hidden="false" customHeight="false" outlineLevel="0" collapsed="false">
      <c r="A362" s="42"/>
    </row>
    <row r="363" customFormat="false" ht="12.75" hidden="false" customHeight="false" outlineLevel="0" collapsed="false">
      <c r="A363" s="42"/>
    </row>
    <row r="364" customFormat="false" ht="12.75" hidden="false" customHeight="false" outlineLevel="0" collapsed="false">
      <c r="A364" s="42"/>
    </row>
    <row r="365" customFormat="false" ht="12.75" hidden="false" customHeight="false" outlineLevel="0" collapsed="false">
      <c r="A365" s="42"/>
    </row>
    <row r="366" customFormat="false" ht="12.75" hidden="false" customHeight="false" outlineLevel="0" collapsed="false">
      <c r="A366" s="42"/>
    </row>
    <row r="367" customFormat="false" ht="12.75" hidden="false" customHeight="false" outlineLevel="0" collapsed="false">
      <c r="A367" s="42"/>
    </row>
    <row r="368" customFormat="false" ht="12.75" hidden="false" customHeight="false" outlineLevel="0" collapsed="false">
      <c r="A368" s="42"/>
    </row>
    <row r="369" customFormat="false" ht="12.75" hidden="false" customHeight="false" outlineLevel="0" collapsed="false">
      <c r="A369" s="42"/>
    </row>
    <row r="370" customFormat="false" ht="12.75" hidden="false" customHeight="false" outlineLevel="0" collapsed="false">
      <c r="A370" s="42"/>
    </row>
    <row r="371" customFormat="false" ht="12.75" hidden="false" customHeight="false" outlineLevel="0" collapsed="false">
      <c r="A371" s="42"/>
    </row>
    <row r="372" customFormat="false" ht="12.75" hidden="false" customHeight="false" outlineLevel="0" collapsed="false">
      <c r="A372" s="42"/>
    </row>
    <row r="373" customFormat="false" ht="12.75" hidden="false" customHeight="false" outlineLevel="0" collapsed="false">
      <c r="A373" s="42"/>
    </row>
    <row r="374" customFormat="false" ht="12.75" hidden="false" customHeight="false" outlineLevel="0" collapsed="false">
      <c r="A374" s="42"/>
    </row>
    <row r="375" customFormat="false" ht="12.75" hidden="false" customHeight="false" outlineLevel="0" collapsed="false">
      <c r="A375" s="42"/>
    </row>
    <row r="376" customFormat="false" ht="12.75" hidden="false" customHeight="false" outlineLevel="0" collapsed="false">
      <c r="A376" s="42"/>
    </row>
    <row r="377" customFormat="false" ht="12.75" hidden="false" customHeight="false" outlineLevel="0" collapsed="false">
      <c r="A377" s="42"/>
    </row>
    <row r="378" customFormat="false" ht="12.75" hidden="false" customHeight="false" outlineLevel="0" collapsed="false">
      <c r="A378" s="42"/>
    </row>
    <row r="379" customFormat="false" ht="12.75" hidden="false" customHeight="false" outlineLevel="0" collapsed="false">
      <c r="A379" s="42"/>
    </row>
    <row r="380" customFormat="false" ht="12.75" hidden="false" customHeight="false" outlineLevel="0" collapsed="false">
      <c r="A380" s="42"/>
    </row>
    <row r="381" customFormat="false" ht="12.75" hidden="false" customHeight="false" outlineLevel="0" collapsed="false">
      <c r="A381" s="42"/>
    </row>
    <row r="382" customFormat="false" ht="12.75" hidden="false" customHeight="false" outlineLevel="0" collapsed="false">
      <c r="A382" s="42"/>
    </row>
    <row r="383" customFormat="false" ht="12.75" hidden="false" customHeight="false" outlineLevel="0" collapsed="false">
      <c r="A383" s="42"/>
    </row>
    <row r="384" customFormat="false" ht="12.75" hidden="false" customHeight="false" outlineLevel="0" collapsed="false">
      <c r="A384" s="42"/>
    </row>
    <row r="385" customFormat="false" ht="12.75" hidden="false" customHeight="false" outlineLevel="0" collapsed="false">
      <c r="A385" s="42"/>
    </row>
    <row r="386" customFormat="false" ht="12.75" hidden="false" customHeight="false" outlineLevel="0" collapsed="false">
      <c r="A386" s="42"/>
    </row>
    <row r="387" customFormat="false" ht="12.75" hidden="false" customHeight="false" outlineLevel="0" collapsed="false">
      <c r="A387" s="42"/>
    </row>
    <row r="388" customFormat="false" ht="12.75" hidden="false" customHeight="false" outlineLevel="0" collapsed="false">
      <c r="A388" s="42"/>
    </row>
    <row r="389" customFormat="false" ht="12.75" hidden="false" customHeight="false" outlineLevel="0" collapsed="false">
      <c r="A389" s="42"/>
    </row>
    <row r="390" customFormat="false" ht="12.75" hidden="false" customHeight="false" outlineLevel="0" collapsed="false">
      <c r="A390" s="42"/>
    </row>
    <row r="391" customFormat="false" ht="12.75" hidden="false" customHeight="false" outlineLevel="0" collapsed="false">
      <c r="A391" s="42"/>
    </row>
    <row r="392" customFormat="false" ht="12.75" hidden="false" customHeight="false" outlineLevel="0" collapsed="false">
      <c r="A392" s="42"/>
    </row>
    <row r="393" customFormat="false" ht="12.75" hidden="false" customHeight="false" outlineLevel="0" collapsed="false">
      <c r="A393" s="42"/>
    </row>
    <row r="394" customFormat="false" ht="12.75" hidden="false" customHeight="false" outlineLevel="0" collapsed="false">
      <c r="A394" s="42"/>
    </row>
    <row r="395" customFormat="false" ht="12.75" hidden="false" customHeight="false" outlineLevel="0" collapsed="false">
      <c r="A395" s="42"/>
    </row>
    <row r="396" customFormat="false" ht="12.75" hidden="false" customHeight="false" outlineLevel="0" collapsed="false">
      <c r="A396" s="42"/>
    </row>
    <row r="397" customFormat="false" ht="12.75" hidden="false" customHeight="false" outlineLevel="0" collapsed="false">
      <c r="A397" s="42"/>
    </row>
    <row r="398" customFormat="false" ht="12.75" hidden="false" customHeight="false" outlineLevel="0" collapsed="false">
      <c r="A398" s="42"/>
    </row>
    <row r="399" customFormat="false" ht="12.75" hidden="false" customHeight="false" outlineLevel="0" collapsed="false">
      <c r="A399" s="42"/>
    </row>
    <row r="400" customFormat="false" ht="12.75" hidden="false" customHeight="false" outlineLevel="0" collapsed="false">
      <c r="A400" s="42"/>
    </row>
    <row r="401" customFormat="false" ht="12.75" hidden="false" customHeight="false" outlineLevel="0" collapsed="false">
      <c r="A401" s="42"/>
    </row>
    <row r="402" customFormat="false" ht="12.75" hidden="false" customHeight="false" outlineLevel="0" collapsed="false">
      <c r="A402" s="42"/>
    </row>
    <row r="403" customFormat="false" ht="12.75" hidden="false" customHeight="false" outlineLevel="0" collapsed="false">
      <c r="A403" s="42"/>
    </row>
    <row r="404" customFormat="false" ht="12.75" hidden="false" customHeight="false" outlineLevel="0" collapsed="false">
      <c r="A404" s="42"/>
    </row>
    <row r="405" customFormat="false" ht="12.75" hidden="false" customHeight="false" outlineLevel="0" collapsed="false">
      <c r="A405" s="42"/>
    </row>
    <row r="406" customFormat="false" ht="12.75" hidden="false" customHeight="false" outlineLevel="0" collapsed="false">
      <c r="A406" s="42"/>
    </row>
    <row r="407" customFormat="false" ht="12.75" hidden="false" customHeight="false" outlineLevel="0" collapsed="false">
      <c r="A407" s="42"/>
    </row>
    <row r="408" customFormat="false" ht="12.75" hidden="false" customHeight="false" outlineLevel="0" collapsed="false">
      <c r="A408" s="42"/>
    </row>
    <row r="409" customFormat="false" ht="12.75" hidden="false" customHeight="false" outlineLevel="0" collapsed="false">
      <c r="A409" s="42"/>
    </row>
    <row r="410" customFormat="false" ht="12.75" hidden="false" customHeight="false" outlineLevel="0" collapsed="false">
      <c r="A410" s="42"/>
    </row>
    <row r="411" customFormat="false" ht="12.75" hidden="false" customHeight="false" outlineLevel="0" collapsed="false">
      <c r="A411" s="42"/>
    </row>
    <row r="412" customFormat="false" ht="12.75" hidden="false" customHeight="false" outlineLevel="0" collapsed="false">
      <c r="A412" s="42"/>
    </row>
    <row r="413" customFormat="false" ht="12.75" hidden="false" customHeight="false" outlineLevel="0" collapsed="false">
      <c r="A413" s="42"/>
    </row>
    <row r="414" customFormat="false" ht="12.75" hidden="false" customHeight="false" outlineLevel="0" collapsed="false">
      <c r="A414" s="42"/>
    </row>
    <row r="415" customFormat="false" ht="12.75" hidden="false" customHeight="false" outlineLevel="0" collapsed="false">
      <c r="A415" s="42"/>
    </row>
    <row r="416" customFormat="false" ht="12.75" hidden="false" customHeight="false" outlineLevel="0" collapsed="false">
      <c r="A416" s="42"/>
    </row>
    <row r="417" customFormat="false" ht="12.75" hidden="false" customHeight="false" outlineLevel="0" collapsed="false">
      <c r="A417" s="42"/>
    </row>
    <row r="418" customFormat="false" ht="12.75" hidden="false" customHeight="false" outlineLevel="0" collapsed="false">
      <c r="A418" s="42"/>
    </row>
    <row r="419" customFormat="false" ht="12.75" hidden="false" customHeight="false" outlineLevel="0" collapsed="false">
      <c r="A419" s="42"/>
    </row>
    <row r="420" customFormat="false" ht="12.75" hidden="false" customHeight="false" outlineLevel="0" collapsed="false">
      <c r="A420" s="42"/>
    </row>
    <row r="421" customFormat="false" ht="12.75" hidden="false" customHeight="false" outlineLevel="0" collapsed="false">
      <c r="A421" s="42"/>
    </row>
    <row r="422" customFormat="false" ht="12.75" hidden="false" customHeight="false" outlineLevel="0" collapsed="false">
      <c r="A422" s="42"/>
    </row>
    <row r="423" customFormat="false" ht="12.75" hidden="false" customHeight="false" outlineLevel="0" collapsed="false">
      <c r="A423" s="42"/>
    </row>
    <row r="424" customFormat="false" ht="12.75" hidden="false" customHeight="false" outlineLevel="0" collapsed="false">
      <c r="A424" s="42"/>
    </row>
    <row r="425" customFormat="false" ht="12.75" hidden="false" customHeight="false" outlineLevel="0" collapsed="false">
      <c r="A425" s="42"/>
    </row>
    <row r="426" customFormat="false" ht="12.75" hidden="false" customHeight="false" outlineLevel="0" collapsed="false">
      <c r="A426" s="42"/>
    </row>
    <row r="427" customFormat="false" ht="12.75" hidden="false" customHeight="false" outlineLevel="0" collapsed="false">
      <c r="A427" s="42"/>
    </row>
    <row r="428" customFormat="false" ht="12.75" hidden="false" customHeight="false" outlineLevel="0" collapsed="false">
      <c r="A428" s="42"/>
    </row>
    <row r="429" customFormat="false" ht="12.75" hidden="false" customHeight="false" outlineLevel="0" collapsed="false">
      <c r="A429" s="42"/>
    </row>
    <row r="430" customFormat="false" ht="12.75" hidden="false" customHeight="false" outlineLevel="0" collapsed="false">
      <c r="A430" s="42"/>
    </row>
    <row r="431" customFormat="false" ht="12.75" hidden="false" customHeight="false" outlineLevel="0" collapsed="false">
      <c r="A431" s="42"/>
    </row>
    <row r="432" customFormat="false" ht="12.75" hidden="false" customHeight="false" outlineLevel="0" collapsed="false">
      <c r="A432" s="42"/>
    </row>
    <row r="433" customFormat="false" ht="12.75" hidden="false" customHeight="false" outlineLevel="0" collapsed="false">
      <c r="A433" s="42"/>
    </row>
    <row r="434" customFormat="false" ht="12.75" hidden="false" customHeight="false" outlineLevel="0" collapsed="false">
      <c r="A434" s="42"/>
    </row>
    <row r="435" customFormat="false" ht="12.75" hidden="false" customHeight="false" outlineLevel="0" collapsed="false">
      <c r="A435" s="42"/>
    </row>
    <row r="436" customFormat="false" ht="12.75" hidden="false" customHeight="false" outlineLevel="0" collapsed="false">
      <c r="A436" s="42"/>
    </row>
    <row r="437" customFormat="false" ht="12.75" hidden="false" customHeight="false" outlineLevel="0" collapsed="false">
      <c r="A437" s="42"/>
    </row>
    <row r="438" customFormat="false" ht="12.75" hidden="false" customHeight="false" outlineLevel="0" collapsed="false">
      <c r="A438" s="42"/>
    </row>
    <row r="439" customFormat="false" ht="12.75" hidden="false" customHeight="false" outlineLevel="0" collapsed="false">
      <c r="A439" s="42"/>
    </row>
    <row r="440" customFormat="false" ht="12.75" hidden="false" customHeight="false" outlineLevel="0" collapsed="false">
      <c r="A440" s="42"/>
    </row>
    <row r="441" customFormat="false" ht="12.75" hidden="false" customHeight="false" outlineLevel="0" collapsed="false">
      <c r="A441" s="42"/>
    </row>
    <row r="442" customFormat="false" ht="12.75" hidden="false" customHeight="false" outlineLevel="0" collapsed="false">
      <c r="A442" s="42"/>
    </row>
    <row r="443" customFormat="false" ht="12.75" hidden="false" customHeight="false" outlineLevel="0" collapsed="false">
      <c r="A443" s="42"/>
    </row>
    <row r="444" customFormat="false" ht="12.75" hidden="false" customHeight="false" outlineLevel="0" collapsed="false">
      <c r="A444" s="42"/>
    </row>
    <row r="445" customFormat="false" ht="12.75" hidden="false" customHeight="false" outlineLevel="0" collapsed="false">
      <c r="A445" s="42"/>
    </row>
    <row r="446" customFormat="false" ht="12.75" hidden="false" customHeight="false" outlineLevel="0" collapsed="false">
      <c r="A446" s="42"/>
    </row>
    <row r="447" customFormat="false" ht="12.75" hidden="false" customHeight="false" outlineLevel="0" collapsed="false">
      <c r="A447" s="42"/>
    </row>
    <row r="448" customFormat="false" ht="12.75" hidden="false" customHeight="false" outlineLevel="0" collapsed="false">
      <c r="A448" s="42"/>
    </row>
    <row r="449" customFormat="false" ht="12.75" hidden="false" customHeight="false" outlineLevel="0" collapsed="false">
      <c r="A449" s="42"/>
    </row>
    <row r="450" customFormat="false" ht="12.75" hidden="false" customHeight="false" outlineLevel="0" collapsed="false">
      <c r="A450" s="42"/>
    </row>
    <row r="451" customFormat="false" ht="12.75" hidden="false" customHeight="false" outlineLevel="0" collapsed="false">
      <c r="A451" s="42"/>
    </row>
    <row r="452" customFormat="false" ht="12.75" hidden="false" customHeight="false" outlineLevel="0" collapsed="false">
      <c r="A452" s="42"/>
    </row>
    <row r="453" customFormat="false" ht="12.75" hidden="false" customHeight="false" outlineLevel="0" collapsed="false">
      <c r="A453" s="42"/>
    </row>
    <row r="454" customFormat="false" ht="12.75" hidden="false" customHeight="false" outlineLevel="0" collapsed="false">
      <c r="A454" s="42"/>
    </row>
    <row r="455" customFormat="false" ht="12.75" hidden="false" customHeight="false" outlineLevel="0" collapsed="false">
      <c r="A455" s="42"/>
    </row>
    <row r="456" customFormat="false" ht="12.75" hidden="false" customHeight="false" outlineLevel="0" collapsed="false">
      <c r="A456" s="42"/>
    </row>
    <row r="457" customFormat="false" ht="12.75" hidden="false" customHeight="false" outlineLevel="0" collapsed="false">
      <c r="A457" s="42"/>
    </row>
    <row r="458" customFormat="false" ht="12.75" hidden="false" customHeight="false" outlineLevel="0" collapsed="false">
      <c r="A458" s="42"/>
    </row>
    <row r="459" customFormat="false" ht="12.75" hidden="false" customHeight="false" outlineLevel="0" collapsed="false">
      <c r="A459" s="42"/>
    </row>
    <row r="460" customFormat="false" ht="12.75" hidden="false" customHeight="false" outlineLevel="0" collapsed="false">
      <c r="A460" s="42"/>
    </row>
    <row r="461" customFormat="false" ht="12.75" hidden="false" customHeight="false" outlineLevel="0" collapsed="false">
      <c r="A461" s="42"/>
    </row>
    <row r="462" customFormat="false" ht="12.75" hidden="false" customHeight="false" outlineLevel="0" collapsed="false">
      <c r="A462" s="42"/>
    </row>
    <row r="463" customFormat="false" ht="12.75" hidden="false" customHeight="false" outlineLevel="0" collapsed="false">
      <c r="A463" s="42"/>
    </row>
    <row r="464" customFormat="false" ht="12.75" hidden="false" customHeight="false" outlineLevel="0" collapsed="false">
      <c r="A464" s="42"/>
    </row>
    <row r="465" customFormat="false" ht="12.75" hidden="false" customHeight="false" outlineLevel="0" collapsed="false">
      <c r="A465" s="42"/>
    </row>
    <row r="466" customFormat="false" ht="12.75" hidden="false" customHeight="false" outlineLevel="0" collapsed="false">
      <c r="A466" s="42"/>
    </row>
    <row r="467" customFormat="false" ht="12.75" hidden="false" customHeight="false" outlineLevel="0" collapsed="false">
      <c r="A467" s="42"/>
    </row>
    <row r="468" customFormat="false" ht="12.75" hidden="false" customHeight="false" outlineLevel="0" collapsed="false">
      <c r="A468" s="42"/>
    </row>
    <row r="469" customFormat="false" ht="12.75" hidden="false" customHeight="false" outlineLevel="0" collapsed="false">
      <c r="A469" s="42"/>
    </row>
    <row r="470" customFormat="false" ht="12.75" hidden="false" customHeight="false" outlineLevel="0" collapsed="false">
      <c r="A470" s="42"/>
    </row>
    <row r="471" customFormat="false" ht="12.75" hidden="false" customHeight="false" outlineLevel="0" collapsed="false">
      <c r="A471" s="42"/>
    </row>
    <row r="472" customFormat="false" ht="12.75" hidden="false" customHeight="false" outlineLevel="0" collapsed="false">
      <c r="A472" s="42"/>
    </row>
    <row r="473" customFormat="false" ht="12.75" hidden="false" customHeight="false" outlineLevel="0" collapsed="false">
      <c r="A473" s="42"/>
    </row>
    <row r="474" customFormat="false" ht="12.75" hidden="false" customHeight="false" outlineLevel="0" collapsed="false">
      <c r="A474" s="42"/>
    </row>
    <row r="475" customFormat="false" ht="12.75" hidden="false" customHeight="false" outlineLevel="0" collapsed="false">
      <c r="A475" s="42"/>
    </row>
    <row r="476" customFormat="false" ht="12.75" hidden="false" customHeight="false" outlineLevel="0" collapsed="false">
      <c r="A476" s="42"/>
    </row>
    <row r="477" customFormat="false" ht="12.75" hidden="false" customHeight="false" outlineLevel="0" collapsed="false">
      <c r="A477" s="42"/>
    </row>
    <row r="478" customFormat="false" ht="12.75" hidden="false" customHeight="false" outlineLevel="0" collapsed="false">
      <c r="A478" s="42"/>
    </row>
    <row r="479" customFormat="false" ht="12.75" hidden="false" customHeight="false" outlineLevel="0" collapsed="false">
      <c r="A479" s="42"/>
    </row>
    <row r="480" customFormat="false" ht="12.75" hidden="false" customHeight="false" outlineLevel="0" collapsed="false">
      <c r="A480" s="42"/>
    </row>
    <row r="481" customFormat="false" ht="12.75" hidden="false" customHeight="false" outlineLevel="0" collapsed="false">
      <c r="A481" s="42"/>
    </row>
    <row r="482" customFormat="false" ht="12.75" hidden="false" customHeight="false" outlineLevel="0" collapsed="false">
      <c r="A482" s="42"/>
    </row>
    <row r="483" customFormat="false" ht="12.75" hidden="false" customHeight="false" outlineLevel="0" collapsed="false">
      <c r="A483" s="42"/>
    </row>
    <row r="484" customFormat="false" ht="12.75" hidden="false" customHeight="false" outlineLevel="0" collapsed="false">
      <c r="A484" s="42"/>
    </row>
    <row r="485" customFormat="false" ht="12.75" hidden="false" customHeight="false" outlineLevel="0" collapsed="false">
      <c r="A485" s="42"/>
    </row>
    <row r="486" customFormat="false" ht="12.75" hidden="false" customHeight="false" outlineLevel="0" collapsed="false">
      <c r="A486" s="42"/>
    </row>
    <row r="487" customFormat="false" ht="12.75" hidden="false" customHeight="false" outlineLevel="0" collapsed="false">
      <c r="A487" s="42"/>
    </row>
    <row r="488" customFormat="false" ht="12.75" hidden="false" customHeight="false" outlineLevel="0" collapsed="false">
      <c r="A488" s="42"/>
    </row>
    <row r="489" customFormat="false" ht="12.75" hidden="false" customHeight="false" outlineLevel="0" collapsed="false">
      <c r="A489" s="42"/>
    </row>
    <row r="490" customFormat="false" ht="12.75" hidden="false" customHeight="false" outlineLevel="0" collapsed="false">
      <c r="A490" s="42"/>
    </row>
    <row r="491" customFormat="false" ht="12.75" hidden="false" customHeight="false" outlineLevel="0" collapsed="false">
      <c r="A491" s="42"/>
    </row>
    <row r="492" customFormat="false" ht="12.75" hidden="false" customHeight="false" outlineLevel="0" collapsed="false">
      <c r="A492" s="42"/>
    </row>
    <row r="493" customFormat="false" ht="12.75" hidden="false" customHeight="false" outlineLevel="0" collapsed="false">
      <c r="A493" s="42"/>
    </row>
    <row r="494" customFormat="false" ht="12.75" hidden="false" customHeight="false" outlineLevel="0" collapsed="false">
      <c r="A494" s="42"/>
    </row>
    <row r="495" customFormat="false" ht="12.75" hidden="false" customHeight="false" outlineLevel="0" collapsed="false">
      <c r="A495" s="42"/>
    </row>
    <row r="496" customFormat="false" ht="12.75" hidden="false" customHeight="false" outlineLevel="0" collapsed="false">
      <c r="A496" s="42"/>
    </row>
    <row r="497" customFormat="false" ht="12.75" hidden="false" customHeight="false" outlineLevel="0" collapsed="false">
      <c r="A497" s="42"/>
    </row>
    <row r="498" customFormat="false" ht="12.75" hidden="false" customHeight="false" outlineLevel="0" collapsed="false">
      <c r="A498" s="42"/>
    </row>
    <row r="499" customFormat="false" ht="12.75" hidden="false" customHeight="false" outlineLevel="0" collapsed="false">
      <c r="A499" s="42"/>
    </row>
    <row r="500" customFormat="false" ht="12.75" hidden="false" customHeight="false" outlineLevel="0" collapsed="false">
      <c r="A500" s="42"/>
    </row>
    <row r="501" customFormat="false" ht="12.75" hidden="false" customHeight="false" outlineLevel="0" collapsed="false">
      <c r="A501" s="42"/>
    </row>
    <row r="502" customFormat="false" ht="12.75" hidden="false" customHeight="false" outlineLevel="0" collapsed="false">
      <c r="A502" s="42"/>
    </row>
    <row r="503" customFormat="false" ht="12.75" hidden="false" customHeight="false" outlineLevel="0" collapsed="false">
      <c r="A503" s="42"/>
    </row>
    <row r="504" customFormat="false" ht="12.75" hidden="false" customHeight="false" outlineLevel="0" collapsed="false">
      <c r="A504" s="42"/>
    </row>
    <row r="505" customFormat="false" ht="12.75" hidden="false" customHeight="false" outlineLevel="0" collapsed="false">
      <c r="A505" s="42"/>
    </row>
    <row r="506" customFormat="false" ht="12.75" hidden="false" customHeight="false" outlineLevel="0" collapsed="false">
      <c r="A506" s="42"/>
    </row>
    <row r="507" customFormat="false" ht="12.75" hidden="false" customHeight="false" outlineLevel="0" collapsed="false">
      <c r="A507" s="42"/>
    </row>
    <row r="508" customFormat="false" ht="12.75" hidden="false" customHeight="false" outlineLevel="0" collapsed="false">
      <c r="A508" s="42"/>
    </row>
    <row r="509" customFormat="false" ht="12.75" hidden="false" customHeight="false" outlineLevel="0" collapsed="false">
      <c r="A509" s="42"/>
    </row>
    <row r="510" customFormat="false" ht="12.75" hidden="false" customHeight="false" outlineLevel="0" collapsed="false">
      <c r="A510" s="42"/>
    </row>
    <row r="511" customFormat="false" ht="12.75" hidden="false" customHeight="false" outlineLevel="0" collapsed="false">
      <c r="A511" s="42"/>
    </row>
    <row r="512" customFormat="false" ht="12.75" hidden="false" customHeight="false" outlineLevel="0" collapsed="false">
      <c r="A512" s="42"/>
    </row>
    <row r="513" customFormat="false" ht="12.75" hidden="false" customHeight="false" outlineLevel="0" collapsed="false">
      <c r="A513" s="42"/>
    </row>
    <row r="514" customFormat="false" ht="12.75" hidden="false" customHeight="false" outlineLevel="0" collapsed="false">
      <c r="A514" s="42"/>
    </row>
    <row r="515" customFormat="false" ht="12.75" hidden="false" customHeight="false" outlineLevel="0" collapsed="false">
      <c r="A515" s="42"/>
    </row>
  </sheetData>
  <printOptions headings="false" gridLines="true" gridLinesSet="true" horizontalCentered="true" verticalCentered="true"/>
  <pageMargins left="0" right="0" top="0" bottom="0" header="0" footer="0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1" manualBreakCount="11">
    <brk id="26" man="true" max="65535" min="0"/>
    <brk id="38" man="true" max="65535" min="0"/>
    <brk id="50" man="true" max="65535" min="0"/>
    <brk id="62" man="true" max="65535" min="0"/>
    <brk id="74" man="true" max="65535" min="0"/>
    <brk id="86" man="true" max="65535" min="0"/>
    <brk id="98" man="true" max="65535" min="0"/>
    <brk id="110" man="true" max="65535" min="0"/>
    <brk id="122" man="true" max="65535" min="0"/>
    <brk id="134" man="true" max="65535" min="0"/>
    <brk id="146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E36" activeCellId="0" sqref="E36"/>
    </sheetView>
  </sheetViews>
  <sheetFormatPr defaultColWidth="15.15234375" defaultRowHeight="12.75" customHeight="true" zeroHeight="false" outlineLevelRow="0" outlineLevelCol="0"/>
  <cols>
    <col collapsed="false" customWidth="false" hidden="false" outlineLevel="0" max="1" min="1" style="41" width="15.15"/>
    <col collapsed="false" customWidth="false" hidden="false" outlineLevel="0" max="2" min="2" style="42" width="15.15"/>
    <col collapsed="false" customWidth="true" hidden="false" outlineLevel="0" max="3" min="3" style="42" width="20.82"/>
    <col collapsed="false" customWidth="true" hidden="false" outlineLevel="0" max="4" min="4" style="42" width="18.82"/>
    <col collapsed="false" customWidth="false" hidden="false" outlineLevel="0" max="7" min="5" style="42" width="15.15"/>
    <col collapsed="false" customWidth="false" hidden="false" outlineLevel="0" max="8" min="8" style="100" width="15.15"/>
    <col collapsed="false" customWidth="false" hidden="false" outlineLevel="0" max="11" min="9" style="42" width="15.15"/>
    <col collapsed="false" customWidth="false" hidden="false" outlineLevel="0" max="12" min="12" style="101" width="15.15"/>
    <col collapsed="false" customWidth="true" hidden="false" outlineLevel="0" max="13" min="13" style="42" width="16.32"/>
    <col collapsed="false" customWidth="false" hidden="false" outlineLevel="0" max="14" min="14" style="42" width="15.15"/>
    <col collapsed="false" customWidth="false" hidden="false" outlineLevel="0" max="15" min="15" style="3" width="15.15"/>
    <col collapsed="false" customWidth="false" hidden="false" outlineLevel="0" max="18" min="16" style="42" width="15.15"/>
    <col collapsed="false" customWidth="false" hidden="false" outlineLevel="0" max="19" min="19" style="102" width="15.15"/>
    <col collapsed="false" customWidth="false" hidden="false" outlineLevel="0" max="22" min="20" style="3" width="15.15"/>
    <col collapsed="false" customWidth="false" hidden="false" outlineLevel="0" max="25" min="23" style="42" width="15.15"/>
    <col collapsed="false" customWidth="false" hidden="false" outlineLevel="0" max="26" min="26" style="102" width="15.15"/>
    <col collapsed="false" customWidth="false" hidden="false" outlineLevel="0" max="27" min="27" style="3" width="15.15"/>
    <col collapsed="false" customWidth="false" hidden="false" outlineLevel="0" max="28" min="28" style="29" width="15.15"/>
    <col collapsed="false" customWidth="false" hidden="false" outlineLevel="0" max="34" min="29" style="103" width="15.15"/>
    <col collapsed="false" customWidth="false" hidden="false" outlineLevel="0" max="35" min="35" style="104" width="15.15"/>
    <col collapsed="false" customWidth="false" hidden="false" outlineLevel="0" max="41" min="36" style="103" width="15.15"/>
    <col collapsed="false" customWidth="false" hidden="false" outlineLevel="0" max="42" min="42" style="104" width="15.15"/>
    <col collapsed="false" customWidth="false" hidden="false" outlineLevel="0" max="48" min="43" style="103" width="15.15"/>
    <col collapsed="false" customWidth="false" hidden="false" outlineLevel="0" max="49" min="49" style="104" width="15.15"/>
    <col collapsed="false" customWidth="false" hidden="false" outlineLevel="0" max="55" min="50" style="103" width="15.15"/>
    <col collapsed="false" customWidth="false" hidden="false" outlineLevel="0" max="56" min="56" style="104" width="15.15"/>
    <col collapsed="false" customWidth="false" hidden="false" outlineLevel="0" max="62" min="57" style="103" width="15.15"/>
    <col collapsed="false" customWidth="false" hidden="false" outlineLevel="0" max="63" min="63" style="104" width="15.15"/>
    <col collapsed="false" customWidth="false" hidden="false" outlineLevel="0" max="69" min="64" style="105" width="15.15"/>
    <col collapsed="false" customWidth="false" hidden="false" outlineLevel="0" max="70" min="70" style="104" width="15.15"/>
    <col collapsed="false" customWidth="false" hidden="false" outlineLevel="0" max="76" min="71" style="105" width="15.15"/>
    <col collapsed="false" customWidth="false" hidden="false" outlineLevel="0" max="77" min="77" style="104" width="15.15"/>
    <col collapsed="false" customWidth="false" hidden="false" outlineLevel="0" max="83" min="78" style="105" width="15.15"/>
    <col collapsed="false" customWidth="false" hidden="false" outlineLevel="0" max="84" min="84" style="104" width="15.15"/>
    <col collapsed="false" customWidth="false" hidden="false" outlineLevel="0" max="90" min="85" style="105" width="15.15"/>
    <col collapsed="false" customWidth="false" hidden="false" outlineLevel="0" max="91" min="91" style="104" width="15.15"/>
    <col collapsed="false" customWidth="false" hidden="false" outlineLevel="0" max="92" min="92" style="43" width="15.15"/>
    <col collapsed="false" customWidth="false" hidden="false" outlineLevel="0" max="95" min="93" style="40" width="15.15"/>
    <col collapsed="false" customWidth="false" hidden="false" outlineLevel="0" max="97" min="96" style="3" width="15.15"/>
    <col collapsed="false" customWidth="false" hidden="false" outlineLevel="0" max="98" min="98" style="43" width="15.15"/>
    <col collapsed="false" customWidth="false" hidden="false" outlineLevel="0" max="110" min="99" style="3" width="15.15"/>
    <col collapsed="false" customWidth="false" hidden="false" outlineLevel="0" max="118" min="111" style="44" width="15.15"/>
    <col collapsed="false" customWidth="false" hidden="false" outlineLevel="0" max="140" min="119" style="45" width="15.15"/>
    <col collapsed="false" customWidth="false" hidden="false" outlineLevel="0" max="147" min="141" style="46" width="15.15"/>
    <col collapsed="false" customWidth="false" hidden="false" outlineLevel="0" max="257" min="148" style="1" width="15.15"/>
  </cols>
  <sheetData>
    <row r="1" customFormat="false" ht="15.75" hidden="false" customHeight="false" outlineLevel="0" collapsed="false">
      <c r="A1" s="10" t="s">
        <v>74</v>
      </c>
      <c r="B1" s="48" t="n">
        <f aca="false">+BaseloadMarkets!B1</f>
        <v>36678</v>
      </c>
      <c r="D1" s="106"/>
      <c r="E1" s="10"/>
      <c r="F1" s="10"/>
      <c r="G1" s="10"/>
      <c r="I1" s="10"/>
      <c r="J1" s="10"/>
      <c r="K1" s="10"/>
      <c r="P1" s="10"/>
      <c r="Q1" s="10"/>
      <c r="R1" s="10"/>
      <c r="W1" s="10"/>
      <c r="X1" s="10"/>
      <c r="Y1" s="10"/>
      <c r="CN1" s="40"/>
      <c r="CQ1" s="104"/>
    </row>
    <row r="2" customFormat="false" ht="12.75" hidden="false" customHeight="true" outlineLevel="0" collapsed="false">
      <c r="A2" s="10" t="s">
        <v>48</v>
      </c>
      <c r="B2" s="10"/>
      <c r="C2" s="10" t="s">
        <v>131</v>
      </c>
      <c r="D2" s="10"/>
      <c r="E2" s="10"/>
      <c r="F2" s="10"/>
      <c r="G2" s="10"/>
      <c r="H2" s="107"/>
      <c r="I2" s="10"/>
      <c r="J2" s="10"/>
      <c r="K2" s="10"/>
      <c r="L2" s="108"/>
      <c r="M2" s="10"/>
      <c r="N2" s="10"/>
      <c r="O2" s="109" t="n">
        <v>125681</v>
      </c>
      <c r="P2" s="10"/>
      <c r="Q2" s="10"/>
      <c r="R2" s="10"/>
      <c r="S2" s="110"/>
      <c r="T2" s="11"/>
      <c r="U2" s="11"/>
      <c r="V2" s="60" t="n">
        <v>249249</v>
      </c>
      <c r="W2" s="10"/>
      <c r="X2" s="10"/>
      <c r="Y2" s="10"/>
      <c r="Z2" s="110"/>
      <c r="AA2" s="12"/>
      <c r="AB2" s="11"/>
      <c r="AC2" s="111"/>
      <c r="AD2" s="112"/>
      <c r="AE2" s="112"/>
      <c r="AF2" s="112"/>
      <c r="AG2" s="112"/>
      <c r="AH2" s="112"/>
      <c r="AI2" s="113"/>
      <c r="AJ2" s="111"/>
      <c r="AK2" s="112"/>
      <c r="AL2" s="112"/>
      <c r="AM2" s="112"/>
      <c r="AN2" s="112"/>
      <c r="AO2" s="112"/>
      <c r="AP2" s="113"/>
      <c r="AQ2" s="111"/>
      <c r="AR2" s="112"/>
      <c r="AS2" s="112"/>
      <c r="AT2" s="112"/>
      <c r="AU2" s="112"/>
      <c r="AV2" s="112"/>
      <c r="AW2" s="113"/>
      <c r="AX2" s="111"/>
      <c r="AY2" s="112"/>
      <c r="AZ2" s="112"/>
      <c r="BA2" s="112"/>
      <c r="BB2" s="112"/>
      <c r="BC2" s="112"/>
      <c r="BD2" s="113"/>
      <c r="BE2" s="111"/>
      <c r="BF2" s="112"/>
      <c r="BG2" s="112"/>
      <c r="BH2" s="112"/>
      <c r="BI2" s="112"/>
      <c r="BJ2" s="112"/>
      <c r="BK2" s="113"/>
      <c r="BL2" s="114"/>
      <c r="BM2" s="115"/>
      <c r="BN2" s="115"/>
      <c r="BO2" s="115"/>
      <c r="BP2" s="115"/>
      <c r="BQ2" s="115"/>
      <c r="BR2" s="113"/>
      <c r="BS2" s="114"/>
      <c r="BT2" s="115"/>
      <c r="BU2" s="115"/>
      <c r="BV2" s="115"/>
      <c r="BW2" s="115"/>
      <c r="BX2" s="115"/>
      <c r="BY2" s="113"/>
      <c r="BZ2" s="114"/>
      <c r="CA2" s="115"/>
      <c r="CB2" s="115"/>
      <c r="CC2" s="115"/>
      <c r="CD2" s="115"/>
      <c r="CE2" s="115"/>
      <c r="CF2" s="113"/>
      <c r="CG2" s="114"/>
      <c r="CH2" s="115"/>
      <c r="CI2" s="115"/>
      <c r="CJ2" s="115"/>
      <c r="CK2" s="115"/>
      <c r="CL2" s="115"/>
      <c r="CM2" s="113"/>
      <c r="CN2" s="53"/>
      <c r="CO2" s="4"/>
      <c r="CP2" s="4"/>
      <c r="CQ2" s="113"/>
      <c r="CR2" s="12"/>
      <c r="CS2" s="12"/>
      <c r="CT2" s="9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55"/>
      <c r="DH2" s="55"/>
      <c r="DI2" s="55"/>
      <c r="DJ2" s="55"/>
      <c r="DK2" s="55"/>
      <c r="DL2" s="55"/>
      <c r="DM2" s="55"/>
      <c r="DN2" s="55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7"/>
      <c r="EL2" s="57"/>
      <c r="EM2" s="57"/>
      <c r="EN2" s="57"/>
      <c r="EO2" s="57"/>
      <c r="EP2" s="57"/>
      <c r="EQ2" s="57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true" outlineLevel="0" collapsed="false">
      <c r="A3" s="10" t="s">
        <v>104</v>
      </c>
      <c r="B3" s="10"/>
      <c r="C3" s="10" t="s">
        <v>132</v>
      </c>
      <c r="D3" s="10"/>
      <c r="E3" s="10"/>
      <c r="F3" s="10" t="s">
        <v>133</v>
      </c>
      <c r="G3" s="10" t="s">
        <v>134</v>
      </c>
      <c r="H3" s="107"/>
      <c r="I3" s="10" t="s">
        <v>135</v>
      </c>
      <c r="J3" s="10"/>
      <c r="K3" s="10"/>
      <c r="L3" s="108" t="s">
        <v>50</v>
      </c>
      <c r="M3" s="10"/>
      <c r="N3" s="10"/>
      <c r="O3" s="109" t="s">
        <v>136</v>
      </c>
      <c r="P3" s="10"/>
      <c r="Q3" s="10"/>
      <c r="R3" s="10" t="s">
        <v>137</v>
      </c>
      <c r="S3" s="110" t="s">
        <v>50</v>
      </c>
      <c r="T3" s="11"/>
      <c r="U3" s="11"/>
      <c r="V3" s="60" t="s">
        <v>138</v>
      </c>
      <c r="W3" s="10"/>
      <c r="X3" s="10"/>
      <c r="Y3" s="10"/>
      <c r="Z3" s="110"/>
      <c r="AA3" s="12"/>
      <c r="AB3" s="11"/>
      <c r="AC3" s="111" t="s">
        <v>139</v>
      </c>
      <c r="AD3" s="112"/>
      <c r="AE3" s="112"/>
      <c r="AF3" s="112"/>
      <c r="AG3" s="112" t="s">
        <v>50</v>
      </c>
      <c r="AH3" s="112"/>
      <c r="AI3" s="113"/>
      <c r="AJ3" s="111" t="s">
        <v>140</v>
      </c>
      <c r="AK3" s="112"/>
      <c r="AL3" s="112"/>
      <c r="AM3" s="112"/>
      <c r="AN3" s="112" t="s">
        <v>50</v>
      </c>
      <c r="AO3" s="112"/>
      <c r="AP3" s="113"/>
      <c r="AQ3" s="111" t="s">
        <v>141</v>
      </c>
      <c r="AR3" s="112"/>
      <c r="AS3" s="112"/>
      <c r="AT3" s="112"/>
      <c r="AU3" s="112" t="s">
        <v>50</v>
      </c>
      <c r="AV3" s="112"/>
      <c r="AW3" s="113"/>
      <c r="AX3" s="111" t="s">
        <v>142</v>
      </c>
      <c r="AY3" s="112"/>
      <c r="AZ3" s="112"/>
      <c r="BA3" s="112"/>
      <c r="BB3" s="112" t="s">
        <v>50</v>
      </c>
      <c r="BC3" s="112"/>
      <c r="BD3" s="113"/>
      <c r="BE3" s="111" t="s">
        <v>143</v>
      </c>
      <c r="BF3" s="112"/>
      <c r="BG3" s="112"/>
      <c r="BH3" s="112"/>
      <c r="BI3" s="112" t="s">
        <v>50</v>
      </c>
      <c r="BJ3" s="112"/>
      <c r="BK3" s="113"/>
      <c r="BL3" s="114"/>
      <c r="BM3" s="115"/>
      <c r="BN3" s="115"/>
      <c r="BO3" s="115"/>
      <c r="BP3" s="115"/>
      <c r="BQ3" s="115"/>
      <c r="BR3" s="113"/>
      <c r="BS3" s="114"/>
      <c r="BT3" s="115"/>
      <c r="BU3" s="115"/>
      <c r="BV3" s="115"/>
      <c r="BW3" s="115"/>
      <c r="BX3" s="115"/>
      <c r="BY3" s="113"/>
      <c r="BZ3" s="114"/>
      <c r="CA3" s="115"/>
      <c r="CB3" s="115"/>
      <c r="CC3" s="115"/>
      <c r="CD3" s="115"/>
      <c r="CE3" s="115"/>
      <c r="CF3" s="113"/>
      <c r="CG3" s="114"/>
      <c r="CH3" s="115"/>
      <c r="CI3" s="115"/>
      <c r="CJ3" s="115"/>
      <c r="CK3" s="115"/>
      <c r="CL3" s="115"/>
      <c r="CM3" s="113"/>
      <c r="CN3" s="53"/>
      <c r="CO3" s="4"/>
      <c r="CP3" s="4"/>
      <c r="CQ3" s="113" t="s">
        <v>144</v>
      </c>
      <c r="CR3" s="12"/>
      <c r="CS3" s="12"/>
      <c r="CT3" s="9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55"/>
      <c r="DH3" s="55"/>
      <c r="DI3" s="55"/>
      <c r="DJ3" s="55"/>
      <c r="DK3" s="55"/>
      <c r="DL3" s="55"/>
      <c r="DM3" s="55"/>
      <c r="DN3" s="55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7"/>
      <c r="EL3" s="57"/>
      <c r="EM3" s="57"/>
      <c r="EN3" s="57"/>
      <c r="EO3" s="57"/>
      <c r="EP3" s="57"/>
      <c r="EQ3" s="57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true" outlineLevel="0" collapsed="false">
      <c r="A4" s="10" t="s">
        <v>87</v>
      </c>
      <c r="B4" s="10" t="s">
        <v>88</v>
      </c>
      <c r="C4" s="10" t="s">
        <v>145</v>
      </c>
      <c r="D4" s="10" t="s">
        <v>146</v>
      </c>
      <c r="E4" s="10" t="s">
        <v>44</v>
      </c>
      <c r="F4" s="10" t="s">
        <v>121</v>
      </c>
      <c r="G4" s="10"/>
      <c r="H4" s="107"/>
      <c r="I4" s="10" t="s">
        <v>147</v>
      </c>
      <c r="J4" s="10"/>
      <c r="K4" s="10"/>
      <c r="L4" s="108" t="s">
        <v>145</v>
      </c>
      <c r="M4" s="10" t="s">
        <v>83</v>
      </c>
      <c r="N4" s="10" t="s">
        <v>84</v>
      </c>
      <c r="O4" s="109" t="s">
        <v>148</v>
      </c>
      <c r="P4" s="10" t="s">
        <v>146</v>
      </c>
      <c r="Q4" s="10" t="s">
        <v>44</v>
      </c>
      <c r="R4" s="10" t="s">
        <v>149</v>
      </c>
      <c r="S4" s="110" t="s">
        <v>150</v>
      </c>
      <c r="T4" s="11" t="s">
        <v>83</v>
      </c>
      <c r="U4" s="11" t="s">
        <v>84</v>
      </c>
      <c r="V4" s="60" t="s">
        <v>151</v>
      </c>
      <c r="W4" s="10" t="s">
        <v>146</v>
      </c>
      <c r="X4" s="10" t="s">
        <v>137</v>
      </c>
      <c r="Y4" s="10"/>
      <c r="Z4" s="110" t="s">
        <v>151</v>
      </c>
      <c r="AA4" s="12" t="s">
        <v>83</v>
      </c>
      <c r="AB4" s="11" t="s">
        <v>84</v>
      </c>
      <c r="AC4" s="112" t="s">
        <v>152</v>
      </c>
      <c r="AD4" s="112" t="s">
        <v>146</v>
      </c>
      <c r="AE4" s="107" t="s">
        <v>44</v>
      </c>
      <c r="AF4" s="112"/>
      <c r="AG4" s="112" t="s">
        <v>152</v>
      </c>
      <c r="AH4" s="112" t="s">
        <v>83</v>
      </c>
      <c r="AI4" s="113" t="s">
        <v>84</v>
      </c>
      <c r="AJ4" s="112" t="s">
        <v>152</v>
      </c>
      <c r="AK4" s="112" t="s">
        <v>146</v>
      </c>
      <c r="AL4" s="112"/>
      <c r="AM4" s="112" t="s">
        <v>134</v>
      </c>
      <c r="AN4" s="112" t="s">
        <v>152</v>
      </c>
      <c r="AO4" s="112" t="s">
        <v>83</v>
      </c>
      <c r="AP4" s="113" t="s">
        <v>84</v>
      </c>
      <c r="AQ4" s="112" t="s">
        <v>152</v>
      </c>
      <c r="AR4" s="112" t="s">
        <v>120</v>
      </c>
      <c r="AS4" s="112"/>
      <c r="AT4" s="112"/>
      <c r="AU4" s="112" t="s">
        <v>152</v>
      </c>
      <c r="AV4" s="112" t="s">
        <v>83</v>
      </c>
      <c r="AW4" s="113" t="s">
        <v>84</v>
      </c>
      <c r="AX4" s="112" t="s">
        <v>152</v>
      </c>
      <c r="AY4" s="112" t="s">
        <v>146</v>
      </c>
      <c r="AZ4" s="107" t="s">
        <v>44</v>
      </c>
      <c r="BA4" s="112"/>
      <c r="BB4" s="112" t="s">
        <v>152</v>
      </c>
      <c r="BC4" s="112" t="s">
        <v>83</v>
      </c>
      <c r="BD4" s="113" t="s">
        <v>84</v>
      </c>
      <c r="BE4" s="112" t="s">
        <v>152</v>
      </c>
      <c r="BF4" s="112" t="s">
        <v>146</v>
      </c>
      <c r="BG4" s="107" t="s">
        <v>44</v>
      </c>
      <c r="BH4" s="112"/>
      <c r="BI4" s="112" t="s">
        <v>152</v>
      </c>
      <c r="BJ4" s="112" t="s">
        <v>83</v>
      </c>
      <c r="BK4" s="113" t="s">
        <v>84</v>
      </c>
      <c r="BL4" s="115"/>
      <c r="BM4" s="115"/>
      <c r="BN4" s="115"/>
      <c r="BO4" s="115"/>
      <c r="BP4" s="115"/>
      <c r="BQ4" s="115" t="s">
        <v>83</v>
      </c>
      <c r="BR4" s="113" t="s">
        <v>84</v>
      </c>
      <c r="BS4" s="115"/>
      <c r="BT4" s="115"/>
      <c r="BU4" s="115"/>
      <c r="BV4" s="115"/>
      <c r="BW4" s="115"/>
      <c r="BX4" s="115" t="s">
        <v>83</v>
      </c>
      <c r="BY4" s="113" t="s">
        <v>84</v>
      </c>
      <c r="BZ4" s="115"/>
      <c r="CA4" s="115"/>
      <c r="CB4" s="115"/>
      <c r="CC4" s="115"/>
      <c r="CD4" s="115"/>
      <c r="CE4" s="115" t="s">
        <v>83</v>
      </c>
      <c r="CF4" s="113" t="s">
        <v>84</v>
      </c>
      <c r="CG4" s="115"/>
      <c r="CH4" s="115"/>
      <c r="CI4" s="115"/>
      <c r="CJ4" s="115"/>
      <c r="CK4" s="115"/>
      <c r="CL4" s="115" t="s">
        <v>83</v>
      </c>
      <c r="CM4" s="113" t="s">
        <v>84</v>
      </c>
      <c r="CN4" s="10" t="s">
        <v>50</v>
      </c>
      <c r="CO4" s="11" t="s">
        <v>50</v>
      </c>
      <c r="CP4" s="4"/>
      <c r="CQ4" s="113" t="s">
        <v>84</v>
      </c>
      <c r="CR4" s="12"/>
      <c r="CS4" s="12"/>
      <c r="CT4" s="9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55"/>
      <c r="DH4" s="55"/>
      <c r="DI4" s="55"/>
      <c r="DJ4" s="55"/>
      <c r="DK4" s="55"/>
      <c r="DL4" s="55"/>
      <c r="DM4" s="55"/>
      <c r="DN4" s="55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7"/>
      <c r="EL4" s="57"/>
      <c r="EM4" s="57"/>
      <c r="EN4" s="57"/>
      <c r="EO4" s="57"/>
      <c r="EP4" s="57"/>
      <c r="EQ4" s="57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true" outlineLevel="0" collapsed="false">
      <c r="A5" s="10" t="s">
        <v>51</v>
      </c>
      <c r="B5" s="10" t="s">
        <v>92</v>
      </c>
      <c r="C5" s="17" t="s">
        <v>153</v>
      </c>
      <c r="D5" s="17" t="s">
        <v>154</v>
      </c>
      <c r="E5" s="17" t="s">
        <v>53</v>
      </c>
      <c r="F5" s="17"/>
      <c r="G5" s="17"/>
      <c r="H5" s="116" t="s">
        <v>155</v>
      </c>
      <c r="I5" s="17" t="s">
        <v>71</v>
      </c>
      <c r="J5" s="17"/>
      <c r="K5" s="17"/>
      <c r="L5" s="117" t="s">
        <v>156</v>
      </c>
      <c r="M5" s="19" t="s">
        <v>94</v>
      </c>
      <c r="N5" s="19" t="s">
        <v>157</v>
      </c>
      <c r="O5" s="19" t="s">
        <v>153</v>
      </c>
      <c r="P5" s="17" t="s">
        <v>154</v>
      </c>
      <c r="Q5" s="17" t="s">
        <v>53</v>
      </c>
      <c r="R5" s="17" t="s">
        <v>158</v>
      </c>
      <c r="S5" s="118" t="s">
        <v>156</v>
      </c>
      <c r="T5" s="19" t="s">
        <v>94</v>
      </c>
      <c r="U5" s="19" t="s">
        <v>157</v>
      </c>
      <c r="V5" s="19" t="s">
        <v>153</v>
      </c>
      <c r="W5" s="17" t="s">
        <v>154</v>
      </c>
      <c r="X5" s="17"/>
      <c r="Y5" s="17"/>
      <c r="Z5" s="118" t="s">
        <v>156</v>
      </c>
      <c r="AA5" s="19" t="s">
        <v>94</v>
      </c>
      <c r="AB5" s="19" t="s">
        <v>157</v>
      </c>
      <c r="AC5" s="119" t="s">
        <v>153</v>
      </c>
      <c r="AD5" s="119" t="s">
        <v>154</v>
      </c>
      <c r="AE5" s="116" t="s">
        <v>53</v>
      </c>
      <c r="AF5" s="119"/>
      <c r="AG5" s="119" t="s">
        <v>156</v>
      </c>
      <c r="AH5" s="119" t="s">
        <v>94</v>
      </c>
      <c r="AI5" s="120" t="s">
        <v>157</v>
      </c>
      <c r="AJ5" s="119" t="s">
        <v>153</v>
      </c>
      <c r="AK5" s="119" t="s">
        <v>154</v>
      </c>
      <c r="AL5" s="119" t="s">
        <v>44</v>
      </c>
      <c r="AM5" s="119" t="s">
        <v>86</v>
      </c>
      <c r="AN5" s="119" t="s">
        <v>156</v>
      </c>
      <c r="AO5" s="119" t="s">
        <v>94</v>
      </c>
      <c r="AP5" s="120" t="s">
        <v>157</v>
      </c>
      <c r="AQ5" s="119" t="s">
        <v>153</v>
      </c>
      <c r="AR5" s="119" t="s">
        <v>159</v>
      </c>
      <c r="AS5" s="119"/>
      <c r="AT5" s="119"/>
      <c r="AU5" s="119" t="s">
        <v>156</v>
      </c>
      <c r="AV5" s="119" t="s">
        <v>94</v>
      </c>
      <c r="AW5" s="120" t="s">
        <v>157</v>
      </c>
      <c r="AX5" s="119" t="s">
        <v>153</v>
      </c>
      <c r="AY5" s="119" t="s">
        <v>154</v>
      </c>
      <c r="AZ5" s="116" t="s">
        <v>53</v>
      </c>
      <c r="BA5" s="119"/>
      <c r="BB5" s="119" t="s">
        <v>156</v>
      </c>
      <c r="BC5" s="119" t="s">
        <v>94</v>
      </c>
      <c r="BD5" s="120" t="s">
        <v>157</v>
      </c>
      <c r="BE5" s="119" t="s">
        <v>153</v>
      </c>
      <c r="BF5" s="119" t="s">
        <v>154</v>
      </c>
      <c r="BG5" s="116" t="s">
        <v>53</v>
      </c>
      <c r="BH5" s="119"/>
      <c r="BI5" s="119" t="s">
        <v>156</v>
      </c>
      <c r="BJ5" s="119" t="s">
        <v>94</v>
      </c>
      <c r="BK5" s="120" t="s">
        <v>157</v>
      </c>
      <c r="BL5" s="121"/>
      <c r="BM5" s="121"/>
      <c r="BN5" s="121"/>
      <c r="BO5" s="121"/>
      <c r="BP5" s="121" t="s">
        <v>156</v>
      </c>
      <c r="BQ5" s="121" t="s">
        <v>94</v>
      </c>
      <c r="BR5" s="120" t="s">
        <v>157</v>
      </c>
      <c r="BS5" s="121"/>
      <c r="BT5" s="121"/>
      <c r="BU5" s="121"/>
      <c r="BV5" s="121"/>
      <c r="BW5" s="121" t="s">
        <v>156</v>
      </c>
      <c r="BX5" s="121" t="s">
        <v>94</v>
      </c>
      <c r="BY5" s="120" t="s">
        <v>157</v>
      </c>
      <c r="BZ5" s="121"/>
      <c r="CA5" s="121"/>
      <c r="CB5" s="121"/>
      <c r="CC5" s="121"/>
      <c r="CD5" s="121" t="s">
        <v>156</v>
      </c>
      <c r="CE5" s="121" t="s">
        <v>94</v>
      </c>
      <c r="CF5" s="120" t="s">
        <v>157</v>
      </c>
      <c r="CG5" s="121"/>
      <c r="CH5" s="121"/>
      <c r="CI5" s="121"/>
      <c r="CJ5" s="121"/>
      <c r="CK5" s="121" t="s">
        <v>156</v>
      </c>
      <c r="CL5" s="121" t="s">
        <v>94</v>
      </c>
      <c r="CM5" s="120" t="s">
        <v>157</v>
      </c>
      <c r="CN5" s="54" t="s">
        <v>74</v>
      </c>
      <c r="CO5" s="54" t="s">
        <v>95</v>
      </c>
      <c r="CP5" s="54" t="s">
        <v>94</v>
      </c>
      <c r="CQ5" s="120" t="s">
        <v>157</v>
      </c>
      <c r="CR5" s="19"/>
      <c r="CS5" s="19"/>
      <c r="CT5" s="93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65"/>
      <c r="DH5" s="65"/>
      <c r="DI5" s="65"/>
      <c r="DJ5" s="65"/>
      <c r="DK5" s="65"/>
      <c r="DL5" s="65"/>
      <c r="DM5" s="65"/>
      <c r="DN5" s="65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7"/>
      <c r="EL5" s="67"/>
      <c r="EM5" s="67"/>
      <c r="EN5" s="67"/>
      <c r="EO5" s="67"/>
      <c r="EP5" s="67"/>
      <c r="EQ5" s="67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2.75" hidden="false" customHeight="false" outlineLevel="0" collapsed="false">
      <c r="A6" s="69" t="n">
        <f aca="false">+BaseloadMarkets!A6</f>
        <v>36678</v>
      </c>
      <c r="B6" s="69" t="str">
        <f aca="false">+BaseloadMarkets!B6</f>
        <v>Thu</v>
      </c>
      <c r="C6" s="22" t="n">
        <v>9766</v>
      </c>
      <c r="D6" s="22" t="n">
        <v>2929</v>
      </c>
      <c r="E6" s="22" t="n">
        <f aca="false">14679+2000</f>
        <v>16679</v>
      </c>
      <c r="F6" s="22" t="n">
        <v>1000</v>
      </c>
      <c r="G6" s="22"/>
      <c r="H6" s="122" t="n">
        <f aca="false">+Border!AD4</f>
        <v>0</v>
      </c>
      <c r="I6" s="22"/>
      <c r="J6" s="22"/>
      <c r="K6" s="22"/>
      <c r="L6" s="123" t="n">
        <f aca="false">SUM(D6:K6)</f>
        <v>20608</v>
      </c>
      <c r="M6" s="70" t="n">
        <f aca="false">+L6-C6</f>
        <v>10842</v>
      </c>
      <c r="N6" s="70" t="n">
        <f aca="false">M6</f>
        <v>10842</v>
      </c>
      <c r="O6" s="22" t="n">
        <v>1535</v>
      </c>
      <c r="P6" s="22" t="n">
        <v>5856</v>
      </c>
      <c r="Q6" s="22"/>
      <c r="R6" s="22"/>
      <c r="S6" s="124" t="n">
        <f aca="false">SUM(P6:R6)</f>
        <v>5856</v>
      </c>
      <c r="T6" s="70" t="n">
        <f aca="false">+S6-O6</f>
        <v>4321</v>
      </c>
      <c r="U6" s="70" t="n">
        <f aca="false">T6</f>
        <v>4321</v>
      </c>
      <c r="V6" s="22" t="n">
        <v>725</v>
      </c>
      <c r="W6" s="22" t="n">
        <v>5857</v>
      </c>
      <c r="X6" s="22"/>
      <c r="Y6" s="22"/>
      <c r="Z6" s="123" t="n">
        <f aca="false">SUM(W6:Y6)</f>
        <v>5857</v>
      </c>
      <c r="AA6" s="70" t="n">
        <f aca="false">+Z6-V6</f>
        <v>5132</v>
      </c>
      <c r="AB6" s="74" t="n">
        <f aca="false">+AA6</f>
        <v>5132</v>
      </c>
      <c r="AC6" s="122" t="n">
        <v>157</v>
      </c>
      <c r="AD6" s="122" t="n">
        <v>1757</v>
      </c>
      <c r="AE6" s="122"/>
      <c r="AF6" s="122"/>
      <c r="AG6" s="122" t="n">
        <f aca="false">SUM(AD6:AF6)</f>
        <v>1757</v>
      </c>
      <c r="AH6" s="125" t="n">
        <f aca="false">+AG6-AC6</f>
        <v>1600</v>
      </c>
      <c r="AI6" s="126" t="n">
        <f aca="false">AH6</f>
        <v>1600</v>
      </c>
      <c r="AJ6" s="122" t="n">
        <v>9487</v>
      </c>
      <c r="AK6" s="122" t="n">
        <f aca="false">4023+3352</f>
        <v>7375</v>
      </c>
      <c r="AL6" s="122" t="n">
        <v>10299</v>
      </c>
      <c r="AM6" s="122" t="n">
        <v>3600</v>
      </c>
      <c r="AN6" s="122" t="n">
        <f aca="false">SUM(AK6:AM6)</f>
        <v>21274</v>
      </c>
      <c r="AO6" s="125" t="n">
        <f aca="false">+AN6-AJ6</f>
        <v>11787</v>
      </c>
      <c r="AP6" s="126" t="n">
        <f aca="false">AO6</f>
        <v>11787</v>
      </c>
      <c r="AQ6" s="122" t="n">
        <v>0</v>
      </c>
      <c r="AR6" s="122" t="n">
        <v>0</v>
      </c>
      <c r="AS6" s="122"/>
      <c r="AT6" s="122"/>
      <c r="AU6" s="122" t="n">
        <f aca="false">SUM(AR6:AT6)</f>
        <v>0</v>
      </c>
      <c r="AV6" s="125" t="n">
        <f aca="false">+AU6-AQ6</f>
        <v>0</v>
      </c>
      <c r="AW6" s="126" t="n">
        <f aca="false">AV6</f>
        <v>0</v>
      </c>
      <c r="AX6" s="122" t="n">
        <v>195</v>
      </c>
      <c r="AY6" s="122" t="n">
        <v>1757</v>
      </c>
      <c r="AZ6" s="122"/>
      <c r="BA6" s="122"/>
      <c r="BB6" s="122" t="n">
        <f aca="false">SUM(AY6:BA6)</f>
        <v>1757</v>
      </c>
      <c r="BC6" s="125" t="n">
        <f aca="false">+BB6-AX6</f>
        <v>1562</v>
      </c>
      <c r="BD6" s="126" t="n">
        <f aca="false">BC6</f>
        <v>1562</v>
      </c>
      <c r="BE6" s="122" t="n">
        <v>321</v>
      </c>
      <c r="BF6" s="122" t="n">
        <v>2343</v>
      </c>
      <c r="BG6" s="122"/>
      <c r="BH6" s="122"/>
      <c r="BI6" s="122" t="n">
        <f aca="false">SUM(BF6:BH6)</f>
        <v>2343</v>
      </c>
      <c r="BJ6" s="125" t="n">
        <f aca="false">+BI6-BE6</f>
        <v>2022</v>
      </c>
      <c r="BK6" s="126" t="n">
        <f aca="false">BJ6</f>
        <v>2022</v>
      </c>
      <c r="BL6" s="127"/>
      <c r="BM6" s="127"/>
      <c r="BN6" s="127"/>
      <c r="BO6" s="127"/>
      <c r="BP6" s="127" t="n">
        <f aca="false">SUM(BM6:BO6)</f>
        <v>0</v>
      </c>
      <c r="BQ6" s="128" t="n">
        <f aca="false">+BP6-BL6</f>
        <v>0</v>
      </c>
      <c r="BR6" s="126" t="n">
        <f aca="false">BQ6</f>
        <v>0</v>
      </c>
      <c r="BS6" s="127"/>
      <c r="BT6" s="127"/>
      <c r="BU6" s="127"/>
      <c r="BV6" s="127"/>
      <c r="BW6" s="127" t="n">
        <f aca="false">SUM(BT6:BV6)</f>
        <v>0</v>
      </c>
      <c r="BX6" s="128" t="n">
        <f aca="false">+BW6-BS6</f>
        <v>0</v>
      </c>
      <c r="BY6" s="126" t="n">
        <f aca="false">BX6</f>
        <v>0</v>
      </c>
      <c r="BZ6" s="127"/>
      <c r="CA6" s="127"/>
      <c r="CB6" s="127"/>
      <c r="CC6" s="127"/>
      <c r="CD6" s="127" t="n">
        <f aca="false">SUM(CA6:CC6)</f>
        <v>0</v>
      </c>
      <c r="CE6" s="128" t="n">
        <f aca="false">+CD6-BZ6</f>
        <v>0</v>
      </c>
      <c r="CF6" s="126" t="n">
        <f aca="false">CE6</f>
        <v>0</v>
      </c>
      <c r="CG6" s="127"/>
      <c r="CH6" s="127"/>
      <c r="CI6" s="127"/>
      <c r="CJ6" s="127"/>
      <c r="CK6" s="127" t="n">
        <f aca="false">SUM(CH6:CJ6)</f>
        <v>0</v>
      </c>
      <c r="CL6" s="128" t="n">
        <f aca="false">+CK6-CG6</f>
        <v>0</v>
      </c>
      <c r="CM6" s="126" t="n">
        <f aca="false">CL6</f>
        <v>0</v>
      </c>
      <c r="CN6" s="70" t="n">
        <f aca="false">+C6+O6+V6+AC6+AJ6+AQ6+AX6+BE6+BL6+BS6+BZ6+CG6</f>
        <v>22186</v>
      </c>
      <c r="CO6" s="70" t="n">
        <f aca="false">+L6+S6+Z6+AG6+AN6+AU6+BB6+BI6+BP6+BW6+CD6+CK6</f>
        <v>59452</v>
      </c>
      <c r="CP6" s="70" t="n">
        <f aca="false">CO6-CN6</f>
        <v>37266</v>
      </c>
      <c r="CQ6" s="126" t="n">
        <f aca="false">CP6</f>
        <v>37266</v>
      </c>
      <c r="CR6" s="22"/>
      <c r="CS6" s="70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38"/>
      <c r="DH6" s="38"/>
      <c r="DI6" s="38"/>
      <c r="DJ6" s="38"/>
      <c r="DK6" s="38"/>
      <c r="DL6" s="38"/>
      <c r="DM6" s="38"/>
      <c r="DN6" s="38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2"/>
      <c r="EL6" s="72"/>
      <c r="EM6" s="72"/>
      <c r="EN6" s="72"/>
      <c r="EO6" s="72"/>
      <c r="EP6" s="72"/>
      <c r="EQ6" s="72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2.75" hidden="false" customHeight="false" outlineLevel="0" collapsed="false">
      <c r="A7" s="69" t="n">
        <f aca="false">+BaseloadMarkets!A7</f>
        <v>36679</v>
      </c>
      <c r="B7" s="69" t="str">
        <f aca="false">+BaseloadMarkets!B7</f>
        <v>Fri</v>
      </c>
      <c r="C7" s="22" t="n">
        <v>7172</v>
      </c>
      <c r="D7" s="22" t="n">
        <v>2686</v>
      </c>
      <c r="E7" s="22" t="n">
        <f aca="false">13509+2000</f>
        <v>15509</v>
      </c>
      <c r="F7" s="22" t="n">
        <v>1000</v>
      </c>
      <c r="G7" s="22"/>
      <c r="H7" s="122" t="n">
        <f aca="false">+Border!AD5</f>
        <v>0</v>
      </c>
      <c r="I7" s="22"/>
      <c r="J7" s="22"/>
      <c r="K7" s="22"/>
      <c r="L7" s="123" t="n">
        <f aca="false">SUM(D7:K7)</f>
        <v>19195</v>
      </c>
      <c r="M7" s="70" t="n">
        <f aca="false">+L7-C7</f>
        <v>12023</v>
      </c>
      <c r="N7" s="70" t="n">
        <f aca="false">N6+M7</f>
        <v>22865</v>
      </c>
      <c r="O7" s="22" t="n">
        <v>2331</v>
      </c>
      <c r="P7" s="22" t="n">
        <v>5373</v>
      </c>
      <c r="Q7" s="22"/>
      <c r="R7" s="22"/>
      <c r="S7" s="124" t="n">
        <f aca="false">SUM(P7:R7)</f>
        <v>5373</v>
      </c>
      <c r="T7" s="70" t="n">
        <f aca="false">+S7-O7</f>
        <v>3042</v>
      </c>
      <c r="U7" s="70" t="n">
        <f aca="false">U6+T7</f>
        <v>7363</v>
      </c>
      <c r="V7" s="22" t="n">
        <v>1398</v>
      </c>
      <c r="W7" s="22" t="n">
        <v>4767</v>
      </c>
      <c r="X7" s="22"/>
      <c r="Y7" s="22"/>
      <c r="Z7" s="123" t="n">
        <f aca="false">SUM(W7:Y7)</f>
        <v>4767</v>
      </c>
      <c r="AA7" s="70" t="n">
        <f aca="false">+Z7-V7</f>
        <v>3369</v>
      </c>
      <c r="AB7" s="74" t="n">
        <f aca="false">+AB6+AA7</f>
        <v>8501</v>
      </c>
      <c r="AC7" s="122" t="n">
        <v>184</v>
      </c>
      <c r="AD7" s="122" t="n">
        <v>934</v>
      </c>
      <c r="AE7" s="122"/>
      <c r="AF7" s="122"/>
      <c r="AG7" s="122" t="n">
        <f aca="false">SUM(AD7:AF7)</f>
        <v>934</v>
      </c>
      <c r="AH7" s="125" t="n">
        <f aca="false">+AG7-AC7</f>
        <v>750</v>
      </c>
      <c r="AI7" s="126" t="n">
        <f aca="false">AI6+AH7</f>
        <v>2350</v>
      </c>
      <c r="AJ7" s="122" t="n">
        <v>8354</v>
      </c>
      <c r="AK7" s="122" t="n">
        <f aca="false">2687+12543</f>
        <v>15230</v>
      </c>
      <c r="AL7" s="122" t="n">
        <v>3783</v>
      </c>
      <c r="AM7" s="122" t="n">
        <v>3600</v>
      </c>
      <c r="AN7" s="122" t="n">
        <f aca="false">SUM(AK7:AM7)</f>
        <v>22613</v>
      </c>
      <c r="AO7" s="125" t="n">
        <f aca="false">+AN7-AJ7</f>
        <v>14259</v>
      </c>
      <c r="AP7" s="126" t="n">
        <f aca="false">AP6+AO7</f>
        <v>26046</v>
      </c>
      <c r="AQ7" s="122" t="n">
        <v>0</v>
      </c>
      <c r="AR7" s="122" t="n">
        <v>0</v>
      </c>
      <c r="AS7" s="122"/>
      <c r="AT7" s="122"/>
      <c r="AU7" s="122" t="n">
        <f aca="false">SUM(AR7:AT7)</f>
        <v>0</v>
      </c>
      <c r="AV7" s="125" t="n">
        <f aca="false">+AU7-AQ7</f>
        <v>0</v>
      </c>
      <c r="AW7" s="126" t="n">
        <f aca="false">AW6+AV7</f>
        <v>0</v>
      </c>
      <c r="AX7" s="122" t="n">
        <v>199</v>
      </c>
      <c r="AY7" s="122" t="n">
        <v>934</v>
      </c>
      <c r="AZ7" s="122"/>
      <c r="BA7" s="122"/>
      <c r="BB7" s="122" t="n">
        <f aca="false">SUM(AY7:BA7)</f>
        <v>934</v>
      </c>
      <c r="BC7" s="125" t="n">
        <f aca="false">+BB7-AX7</f>
        <v>735</v>
      </c>
      <c r="BD7" s="126" t="n">
        <f aca="false">BD6+BC7</f>
        <v>2297</v>
      </c>
      <c r="BE7" s="122" t="n">
        <v>326</v>
      </c>
      <c r="BF7" s="122" t="n">
        <v>934</v>
      </c>
      <c r="BG7" s="122"/>
      <c r="BH7" s="122"/>
      <c r="BI7" s="122" t="n">
        <f aca="false">SUM(BF7:BH7)</f>
        <v>934</v>
      </c>
      <c r="BJ7" s="125" t="n">
        <f aca="false">+BI7-BE7</f>
        <v>608</v>
      </c>
      <c r="BK7" s="126" t="n">
        <f aca="false">BK6+BJ7</f>
        <v>2630</v>
      </c>
      <c r="BL7" s="127"/>
      <c r="BM7" s="127"/>
      <c r="BN7" s="127"/>
      <c r="BO7" s="127"/>
      <c r="BP7" s="127" t="n">
        <f aca="false">SUM(BM7:BO7)</f>
        <v>0</v>
      </c>
      <c r="BQ7" s="128" t="n">
        <f aca="false">+BP7-BL7</f>
        <v>0</v>
      </c>
      <c r="BR7" s="126" t="n">
        <f aca="false">BR6+BQ7</f>
        <v>0</v>
      </c>
      <c r="BS7" s="127"/>
      <c r="BT7" s="127"/>
      <c r="BU7" s="127"/>
      <c r="BV7" s="127"/>
      <c r="BW7" s="127" t="n">
        <f aca="false">SUM(BT7:BV7)</f>
        <v>0</v>
      </c>
      <c r="BX7" s="128" t="n">
        <f aca="false">+BW7-BS7</f>
        <v>0</v>
      </c>
      <c r="BY7" s="126" t="n">
        <f aca="false">BY6+BX7</f>
        <v>0</v>
      </c>
      <c r="BZ7" s="127"/>
      <c r="CA7" s="127"/>
      <c r="CB7" s="127"/>
      <c r="CC7" s="127"/>
      <c r="CD7" s="127" t="n">
        <f aca="false">SUM(CA7:CC7)</f>
        <v>0</v>
      </c>
      <c r="CE7" s="128" t="n">
        <f aca="false">+CD7-BZ7</f>
        <v>0</v>
      </c>
      <c r="CF7" s="126" t="n">
        <f aca="false">CF6+CE7</f>
        <v>0</v>
      </c>
      <c r="CG7" s="127"/>
      <c r="CH7" s="127"/>
      <c r="CI7" s="127"/>
      <c r="CJ7" s="127"/>
      <c r="CK7" s="127" t="n">
        <f aca="false">SUM(CH7:CJ7)</f>
        <v>0</v>
      </c>
      <c r="CL7" s="128" t="n">
        <f aca="false">+CK7-CG7</f>
        <v>0</v>
      </c>
      <c r="CM7" s="126" t="n">
        <f aca="false">CM6+CL7</f>
        <v>0</v>
      </c>
      <c r="CN7" s="70" t="n">
        <f aca="false">+C7+O7+V7+AC7+AJ7+AQ7+AX7+BE7+BL7+BS7+BZ7+CG7</f>
        <v>19964</v>
      </c>
      <c r="CO7" s="70" t="n">
        <f aca="false">+L7+S7+Z7+AG7+AN7+AU7+BB7+BI7+BP7+BW7+CD7+CK7</f>
        <v>54750</v>
      </c>
      <c r="CP7" s="70" t="n">
        <f aca="false">CO7-CN7</f>
        <v>34786</v>
      </c>
      <c r="CQ7" s="126" t="n">
        <f aca="false">CQ6+CP7</f>
        <v>72052</v>
      </c>
      <c r="CR7" s="22"/>
      <c r="CS7" s="70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38"/>
      <c r="DH7" s="38"/>
      <c r="DI7" s="38"/>
      <c r="DJ7" s="38"/>
      <c r="DK7" s="38"/>
      <c r="DL7" s="38"/>
      <c r="DM7" s="38"/>
      <c r="DN7" s="38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2"/>
      <c r="EL7" s="72"/>
      <c r="EM7" s="72"/>
      <c r="EN7" s="72"/>
      <c r="EO7" s="72"/>
      <c r="EP7" s="72"/>
      <c r="EQ7" s="72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2.75" hidden="false" customHeight="false" outlineLevel="0" collapsed="false">
      <c r="A8" s="69" t="n">
        <f aca="false">+BaseloadMarkets!A8</f>
        <v>36680</v>
      </c>
      <c r="B8" s="69" t="str">
        <f aca="false">+BaseloadMarkets!B8</f>
        <v>Sat</v>
      </c>
      <c r="C8" s="22" t="n">
        <v>7180</v>
      </c>
      <c r="D8" s="22" t="n">
        <v>2800</v>
      </c>
      <c r="E8" s="22" t="n">
        <v>3000</v>
      </c>
      <c r="F8" s="22" t="n">
        <v>1000</v>
      </c>
      <c r="G8" s="22"/>
      <c r="H8" s="122" t="n">
        <f aca="false">+Border!AD6</f>
        <v>0</v>
      </c>
      <c r="I8" s="22"/>
      <c r="J8" s="22"/>
      <c r="K8" s="22"/>
      <c r="L8" s="123" t="n">
        <f aca="false">SUM(D8:K8)</f>
        <v>6800</v>
      </c>
      <c r="M8" s="70" t="n">
        <f aca="false">+L8-C8</f>
        <v>-380</v>
      </c>
      <c r="N8" s="70" t="n">
        <f aca="false">N7+M8</f>
        <v>22485</v>
      </c>
      <c r="O8" s="22" t="n">
        <v>2410</v>
      </c>
      <c r="P8" s="22" t="n">
        <v>137</v>
      </c>
      <c r="Q8" s="22"/>
      <c r="R8" s="22"/>
      <c r="S8" s="124" t="n">
        <f aca="false">SUM(P8:R8)</f>
        <v>137</v>
      </c>
      <c r="T8" s="70" t="n">
        <f aca="false">+S8-O8</f>
        <v>-2273</v>
      </c>
      <c r="U8" s="70" t="n">
        <f aca="false">U7+T8</f>
        <v>5090</v>
      </c>
      <c r="V8" s="22" t="n">
        <v>703</v>
      </c>
      <c r="W8" s="22" t="n">
        <v>224</v>
      </c>
      <c r="X8" s="22"/>
      <c r="Y8" s="22"/>
      <c r="Z8" s="123" t="n">
        <f aca="false">SUM(W8:Y8)</f>
        <v>224</v>
      </c>
      <c r="AA8" s="70" t="n">
        <f aca="false">+Z8-V8</f>
        <v>-479</v>
      </c>
      <c r="AB8" s="74" t="n">
        <f aca="false">+AB7+AA8</f>
        <v>8022</v>
      </c>
      <c r="AC8" s="122" t="n">
        <v>196</v>
      </c>
      <c r="AD8" s="122" t="n">
        <v>0</v>
      </c>
      <c r="AE8" s="122"/>
      <c r="AF8" s="122"/>
      <c r="AG8" s="122" t="n">
        <f aca="false">SUM(AD8:AF8)</f>
        <v>0</v>
      </c>
      <c r="AH8" s="125" t="n">
        <f aca="false">+AG8-AC8</f>
        <v>-196</v>
      </c>
      <c r="AI8" s="126" t="n">
        <f aca="false">AI7+AH8</f>
        <v>2154</v>
      </c>
      <c r="AJ8" s="122" t="n">
        <v>6487</v>
      </c>
      <c r="AK8" s="122" t="n">
        <v>2620</v>
      </c>
      <c r="AL8" s="122" t="n">
        <v>988</v>
      </c>
      <c r="AM8" s="122" t="n">
        <v>2600</v>
      </c>
      <c r="AN8" s="122" t="n">
        <f aca="false">SUM(AK8:AM8)</f>
        <v>6208</v>
      </c>
      <c r="AO8" s="125" t="n">
        <f aca="false">+AN8-AJ8</f>
        <v>-279</v>
      </c>
      <c r="AP8" s="126" t="n">
        <f aca="false">AP7+AO8</f>
        <v>25767</v>
      </c>
      <c r="AQ8" s="122" t="n">
        <v>0</v>
      </c>
      <c r="AR8" s="122" t="n">
        <v>0</v>
      </c>
      <c r="AS8" s="122"/>
      <c r="AT8" s="122"/>
      <c r="AU8" s="122" t="n">
        <f aca="false">SUM(AR8:AT8)</f>
        <v>0</v>
      </c>
      <c r="AV8" s="125" t="n">
        <f aca="false">+AU8-AQ8</f>
        <v>0</v>
      </c>
      <c r="AW8" s="126" t="n">
        <f aca="false">AW7+AV8</f>
        <v>0</v>
      </c>
      <c r="AX8" s="122" t="n">
        <v>27</v>
      </c>
      <c r="AY8" s="122" t="n">
        <v>0</v>
      </c>
      <c r="AZ8" s="122"/>
      <c r="BA8" s="122"/>
      <c r="BB8" s="122" t="n">
        <f aca="false">SUM(AY8:BA8)</f>
        <v>0</v>
      </c>
      <c r="BC8" s="125" t="n">
        <f aca="false">+BB8-AX8</f>
        <v>-27</v>
      </c>
      <c r="BD8" s="126" t="n">
        <f aca="false">BD7+BC8</f>
        <v>2270</v>
      </c>
      <c r="BE8" s="122" t="n">
        <v>184</v>
      </c>
      <c r="BF8" s="122" t="n">
        <v>0</v>
      </c>
      <c r="BG8" s="122"/>
      <c r="BH8" s="122"/>
      <c r="BI8" s="122" t="n">
        <f aca="false">SUM(BF8:BH8)</f>
        <v>0</v>
      </c>
      <c r="BJ8" s="125" t="n">
        <f aca="false">+BI8-BE8</f>
        <v>-184</v>
      </c>
      <c r="BK8" s="126" t="n">
        <f aca="false">BK7+BJ8</f>
        <v>2446</v>
      </c>
      <c r="BL8" s="127"/>
      <c r="BM8" s="127"/>
      <c r="BN8" s="127"/>
      <c r="BO8" s="127"/>
      <c r="BP8" s="127" t="n">
        <f aca="false">SUM(BM8:BO8)</f>
        <v>0</v>
      </c>
      <c r="BQ8" s="128" t="n">
        <f aca="false">+BP8-BL8</f>
        <v>0</v>
      </c>
      <c r="BR8" s="126" t="n">
        <f aca="false">BR7+BQ8</f>
        <v>0</v>
      </c>
      <c r="BS8" s="127"/>
      <c r="BT8" s="127"/>
      <c r="BU8" s="127"/>
      <c r="BV8" s="127"/>
      <c r="BW8" s="127" t="n">
        <f aca="false">SUM(BT8:BV8)</f>
        <v>0</v>
      </c>
      <c r="BX8" s="128" t="n">
        <f aca="false">+BW8-BS8</f>
        <v>0</v>
      </c>
      <c r="BY8" s="126" t="n">
        <f aca="false">BY7+BX8</f>
        <v>0</v>
      </c>
      <c r="BZ8" s="127"/>
      <c r="CA8" s="127"/>
      <c r="CB8" s="127"/>
      <c r="CC8" s="127"/>
      <c r="CD8" s="127" t="n">
        <f aca="false">SUM(CA8:CC8)</f>
        <v>0</v>
      </c>
      <c r="CE8" s="128" t="n">
        <f aca="false">+CD8-BZ8</f>
        <v>0</v>
      </c>
      <c r="CF8" s="126" t="n">
        <f aca="false">CF7+CE8</f>
        <v>0</v>
      </c>
      <c r="CG8" s="127"/>
      <c r="CH8" s="127"/>
      <c r="CI8" s="127"/>
      <c r="CJ8" s="127"/>
      <c r="CK8" s="127" t="n">
        <f aca="false">SUM(CH8:CJ8)</f>
        <v>0</v>
      </c>
      <c r="CL8" s="128" t="n">
        <f aca="false">+CK8-CG8</f>
        <v>0</v>
      </c>
      <c r="CM8" s="126" t="n">
        <f aca="false">CM7+CL8</f>
        <v>0</v>
      </c>
      <c r="CN8" s="70" t="n">
        <f aca="false">+C8+O8+V8+AC8+AJ8+AQ8+AX8+BE8+BL8+BS8+BZ8+CG8</f>
        <v>17187</v>
      </c>
      <c r="CO8" s="70" t="n">
        <f aca="false">+L8+S8+Z8+AG8+AN8+AU8+BB8+BI8+BP8+BW8+CD8+CK8</f>
        <v>13369</v>
      </c>
      <c r="CP8" s="70" t="n">
        <f aca="false">CO8-CN8</f>
        <v>-3818</v>
      </c>
      <c r="CQ8" s="126" t="n">
        <f aca="false">CQ7+CP8</f>
        <v>68234</v>
      </c>
      <c r="CR8" s="74"/>
      <c r="CS8" s="74"/>
      <c r="CT8" s="75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</row>
    <row r="9" customFormat="false" ht="12.75" hidden="false" customHeight="false" outlineLevel="0" collapsed="false">
      <c r="A9" s="69" t="n">
        <f aca="false">+BaseloadMarkets!A9</f>
        <v>36681</v>
      </c>
      <c r="B9" s="69" t="str">
        <f aca="false">+BaseloadMarkets!B9</f>
        <v>Sun</v>
      </c>
      <c r="C9" s="22" t="n">
        <v>9117</v>
      </c>
      <c r="D9" s="22" t="n">
        <v>3157</v>
      </c>
      <c r="E9" s="22" t="n">
        <v>2996</v>
      </c>
      <c r="F9" s="22" t="n">
        <v>1000</v>
      </c>
      <c r="G9" s="22"/>
      <c r="H9" s="122" t="n">
        <f aca="false">+Border!AD7</f>
        <v>0</v>
      </c>
      <c r="I9" s="22"/>
      <c r="J9" s="22"/>
      <c r="K9" s="22"/>
      <c r="L9" s="123" t="n">
        <f aca="false">SUM(D9:K9)</f>
        <v>7153</v>
      </c>
      <c r="M9" s="70" t="n">
        <f aca="false">+L9-C9</f>
        <v>-1964</v>
      </c>
      <c r="N9" s="70" t="n">
        <f aca="false">N8+M9</f>
        <v>20521</v>
      </c>
      <c r="O9" s="22" t="n">
        <v>2196</v>
      </c>
      <c r="P9" s="22" t="n">
        <v>625</v>
      </c>
      <c r="Q9" s="22"/>
      <c r="R9" s="22"/>
      <c r="S9" s="124" t="n">
        <f aca="false">SUM(P9:R9)</f>
        <v>625</v>
      </c>
      <c r="T9" s="70" t="n">
        <f aca="false">+S9-O9</f>
        <v>-1571</v>
      </c>
      <c r="U9" s="70" t="n">
        <f aca="false">U8+T9</f>
        <v>3519</v>
      </c>
      <c r="V9" s="22" t="n">
        <v>570</v>
      </c>
      <c r="W9" s="22" t="n">
        <v>333</v>
      </c>
      <c r="X9" s="22"/>
      <c r="Y9" s="22"/>
      <c r="Z9" s="123" t="n">
        <f aca="false">SUM(W9:Y9)</f>
        <v>333</v>
      </c>
      <c r="AA9" s="70" t="n">
        <f aca="false">+Z9-V9</f>
        <v>-237</v>
      </c>
      <c r="AB9" s="74" t="n">
        <f aca="false">+AB8+AA9</f>
        <v>7785</v>
      </c>
      <c r="AC9" s="122" t="n">
        <v>29</v>
      </c>
      <c r="AD9" s="122" t="n">
        <v>0</v>
      </c>
      <c r="AE9" s="122"/>
      <c r="AF9" s="122"/>
      <c r="AG9" s="122" t="n">
        <f aca="false">SUM(AD9:AF9)</f>
        <v>0</v>
      </c>
      <c r="AH9" s="125" t="n">
        <f aca="false">+AG9-AC9</f>
        <v>-29</v>
      </c>
      <c r="AI9" s="126" t="n">
        <f aca="false">AI8+AH9</f>
        <v>2125</v>
      </c>
      <c r="AJ9" s="122" t="n">
        <v>8902</v>
      </c>
      <c r="AK9" s="122" t="n">
        <v>1622</v>
      </c>
      <c r="AL9" s="122" t="n">
        <v>987</v>
      </c>
      <c r="AM9" s="122" t="n">
        <v>2600</v>
      </c>
      <c r="AN9" s="122" t="n">
        <f aca="false">SUM(AK9:AM9)</f>
        <v>5209</v>
      </c>
      <c r="AO9" s="125" t="n">
        <f aca="false">+AN9-AJ9</f>
        <v>-3693</v>
      </c>
      <c r="AP9" s="126" t="n">
        <f aca="false">AP8+AO9</f>
        <v>22074</v>
      </c>
      <c r="AQ9" s="122" t="n">
        <v>0</v>
      </c>
      <c r="AR9" s="122" t="n">
        <v>0</v>
      </c>
      <c r="AS9" s="122"/>
      <c r="AT9" s="122"/>
      <c r="AU9" s="122" t="n">
        <f aca="false">SUM(AR9:AT9)</f>
        <v>0</v>
      </c>
      <c r="AV9" s="125" t="n">
        <f aca="false">+AU9-AQ9</f>
        <v>0</v>
      </c>
      <c r="AW9" s="126" t="n">
        <f aca="false">AW8+AV9</f>
        <v>0</v>
      </c>
      <c r="AX9" s="122" t="n">
        <v>0</v>
      </c>
      <c r="AY9" s="122" t="n">
        <v>0</v>
      </c>
      <c r="AZ9" s="122"/>
      <c r="BA9" s="122"/>
      <c r="BB9" s="122" t="n">
        <f aca="false">SUM(AY9:BA9)</f>
        <v>0</v>
      </c>
      <c r="BC9" s="125" t="n">
        <f aca="false">+BB9-AX9</f>
        <v>0</v>
      </c>
      <c r="BD9" s="126" t="n">
        <f aca="false">BD8+BC9</f>
        <v>2270</v>
      </c>
      <c r="BE9" s="122" t="n">
        <v>0</v>
      </c>
      <c r="BF9" s="122" t="n">
        <v>0</v>
      </c>
      <c r="BG9" s="122"/>
      <c r="BH9" s="122"/>
      <c r="BI9" s="122" t="n">
        <f aca="false">SUM(BF9:BH9)</f>
        <v>0</v>
      </c>
      <c r="BJ9" s="125" t="n">
        <f aca="false">+BI9-BE9</f>
        <v>0</v>
      </c>
      <c r="BK9" s="126" t="n">
        <f aca="false">BK8+BJ9</f>
        <v>2446</v>
      </c>
      <c r="BL9" s="127"/>
      <c r="BM9" s="127"/>
      <c r="BN9" s="127"/>
      <c r="BO9" s="127"/>
      <c r="BP9" s="127" t="n">
        <f aca="false">SUM(BM9:BO9)</f>
        <v>0</v>
      </c>
      <c r="BQ9" s="128" t="n">
        <f aca="false">+BP9-BL9</f>
        <v>0</v>
      </c>
      <c r="BR9" s="126" t="n">
        <f aca="false">BR8+BQ9</f>
        <v>0</v>
      </c>
      <c r="BS9" s="127"/>
      <c r="BT9" s="127"/>
      <c r="BU9" s="127"/>
      <c r="BV9" s="127"/>
      <c r="BW9" s="127" t="n">
        <f aca="false">SUM(BT9:BV9)</f>
        <v>0</v>
      </c>
      <c r="BX9" s="128" t="n">
        <f aca="false">+BW9-BS9</f>
        <v>0</v>
      </c>
      <c r="BY9" s="126" t="n">
        <f aca="false">BY8+BX9</f>
        <v>0</v>
      </c>
      <c r="BZ9" s="127"/>
      <c r="CA9" s="127"/>
      <c r="CB9" s="127"/>
      <c r="CC9" s="127"/>
      <c r="CD9" s="127" t="n">
        <f aca="false">SUM(CA9:CC9)</f>
        <v>0</v>
      </c>
      <c r="CE9" s="128" t="n">
        <f aca="false">+CD9-BZ9</f>
        <v>0</v>
      </c>
      <c r="CF9" s="126" t="n">
        <f aca="false">CF8+CE9</f>
        <v>0</v>
      </c>
      <c r="CG9" s="127"/>
      <c r="CH9" s="127"/>
      <c r="CI9" s="127"/>
      <c r="CJ9" s="127"/>
      <c r="CK9" s="127" t="n">
        <f aca="false">SUM(CH9:CJ9)</f>
        <v>0</v>
      </c>
      <c r="CL9" s="128" t="n">
        <f aca="false">+CK9-CG9</f>
        <v>0</v>
      </c>
      <c r="CM9" s="126" t="n">
        <f aca="false">CM8+CL9</f>
        <v>0</v>
      </c>
      <c r="CN9" s="70" t="n">
        <f aca="false">+C9+O9+V9+AC9+AJ9+AQ9+AX9+BE9+BL9+BS9+BZ9+CG9</f>
        <v>20814</v>
      </c>
      <c r="CO9" s="70" t="n">
        <f aca="false">+L9+S9+Z9+AG9+AN9+AU9+BB9+BI9+BP9+BW9+CD9+CK9</f>
        <v>13320</v>
      </c>
      <c r="CP9" s="70" t="n">
        <f aca="false">CO9-CN9</f>
        <v>-7494</v>
      </c>
      <c r="CQ9" s="126" t="n">
        <f aca="false">CQ8+CP9</f>
        <v>60740</v>
      </c>
      <c r="CR9" s="74"/>
      <c r="CS9" s="74"/>
      <c r="CT9" s="75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</row>
    <row r="10" customFormat="false" ht="12.75" hidden="false" customHeight="false" outlineLevel="0" collapsed="false">
      <c r="A10" s="69" t="n">
        <f aca="false">+BaseloadMarkets!A10</f>
        <v>36682</v>
      </c>
      <c r="B10" s="69" t="str">
        <f aca="false">+BaseloadMarkets!B10</f>
        <v>Mon</v>
      </c>
      <c r="C10" s="22" t="n">
        <v>10652</v>
      </c>
      <c r="D10" s="22" t="n">
        <v>2112</v>
      </c>
      <c r="E10" s="22" t="n">
        <v>2996</v>
      </c>
      <c r="F10" s="22" t="n">
        <v>1000</v>
      </c>
      <c r="G10" s="22"/>
      <c r="H10" s="122" t="n">
        <f aca="false">+Border!AD8</f>
        <v>0</v>
      </c>
      <c r="I10" s="22"/>
      <c r="J10" s="22"/>
      <c r="K10" s="22"/>
      <c r="L10" s="123" t="n">
        <f aca="false">SUM(D10:K10)</f>
        <v>6108</v>
      </c>
      <c r="M10" s="70" t="n">
        <f aca="false">+L10-C10</f>
        <v>-4544</v>
      </c>
      <c r="N10" s="70" t="n">
        <f aca="false">N9+M10</f>
        <v>15977</v>
      </c>
      <c r="O10" s="22" t="n">
        <v>1435</v>
      </c>
      <c r="P10" s="22" t="n">
        <v>124</v>
      </c>
      <c r="Q10" s="22"/>
      <c r="R10" s="22"/>
      <c r="S10" s="124" t="n">
        <f aca="false">SUM(P10:R10)</f>
        <v>124</v>
      </c>
      <c r="T10" s="70" t="n">
        <f aca="false">+S10-O10</f>
        <v>-1311</v>
      </c>
      <c r="U10" s="70" t="n">
        <f aca="false">U9+T10</f>
        <v>2208</v>
      </c>
      <c r="V10" s="22" t="n">
        <v>108</v>
      </c>
      <c r="W10" s="22" t="n">
        <v>603</v>
      </c>
      <c r="X10" s="22"/>
      <c r="Y10" s="22"/>
      <c r="Z10" s="123" t="n">
        <f aca="false">SUM(W10:Y10)</f>
        <v>603</v>
      </c>
      <c r="AA10" s="70" t="n">
        <f aca="false">+Z10-V10</f>
        <v>495</v>
      </c>
      <c r="AB10" s="74" t="n">
        <f aca="false">+AB9+AA10</f>
        <v>8280</v>
      </c>
      <c r="AC10" s="122" t="n">
        <v>99</v>
      </c>
      <c r="AD10" s="122" t="n">
        <v>0</v>
      </c>
      <c r="AE10" s="122"/>
      <c r="AF10" s="122"/>
      <c r="AG10" s="122" t="n">
        <f aca="false">SUM(AD10:AF10)</f>
        <v>0</v>
      </c>
      <c r="AH10" s="125" t="n">
        <f aca="false">+AG10-AC10</f>
        <v>-99</v>
      </c>
      <c r="AI10" s="126" t="n">
        <f aca="false">AI9+AH10</f>
        <v>2026</v>
      </c>
      <c r="AJ10" s="122" t="n">
        <v>9253</v>
      </c>
      <c r="AK10" s="122" t="n">
        <v>2351</v>
      </c>
      <c r="AL10" s="122" t="n">
        <v>987</v>
      </c>
      <c r="AM10" s="122" t="n">
        <v>2600</v>
      </c>
      <c r="AN10" s="122" t="n">
        <f aca="false">SUM(AK10:AM10)</f>
        <v>5938</v>
      </c>
      <c r="AO10" s="125" t="n">
        <f aca="false">+AN10-AJ10</f>
        <v>-3315</v>
      </c>
      <c r="AP10" s="126" t="n">
        <f aca="false">AP9+AO10</f>
        <v>18759</v>
      </c>
      <c r="AQ10" s="122" t="n">
        <v>0</v>
      </c>
      <c r="AR10" s="122" t="n">
        <v>0</v>
      </c>
      <c r="AS10" s="122"/>
      <c r="AT10" s="122"/>
      <c r="AU10" s="122" t="n">
        <f aca="false">SUM(AR10:AT10)</f>
        <v>0</v>
      </c>
      <c r="AV10" s="125" t="n">
        <f aca="false">+AU10-AQ10</f>
        <v>0</v>
      </c>
      <c r="AW10" s="126" t="n">
        <f aca="false">AW9+AV10</f>
        <v>0</v>
      </c>
      <c r="AX10" s="122" t="n">
        <v>172</v>
      </c>
      <c r="AY10" s="122" t="n">
        <v>0</v>
      </c>
      <c r="AZ10" s="122"/>
      <c r="BA10" s="122"/>
      <c r="BB10" s="122" t="n">
        <f aca="false">SUM(AY10:BA10)</f>
        <v>0</v>
      </c>
      <c r="BC10" s="125" t="n">
        <f aca="false">+BB10-AX10</f>
        <v>-172</v>
      </c>
      <c r="BD10" s="126" t="n">
        <f aca="false">BD9+BC10</f>
        <v>2098</v>
      </c>
      <c r="BE10" s="122" t="n">
        <v>271</v>
      </c>
      <c r="BF10" s="122" t="n">
        <v>0</v>
      </c>
      <c r="BG10" s="122"/>
      <c r="BH10" s="122"/>
      <c r="BI10" s="122" t="n">
        <f aca="false">SUM(BF10:BH10)</f>
        <v>0</v>
      </c>
      <c r="BJ10" s="125" t="n">
        <f aca="false">+BI10-BE10</f>
        <v>-271</v>
      </c>
      <c r="BK10" s="126" t="n">
        <f aca="false">BK9+BJ10</f>
        <v>2175</v>
      </c>
      <c r="BL10" s="127"/>
      <c r="BM10" s="127"/>
      <c r="BN10" s="127"/>
      <c r="BO10" s="127"/>
      <c r="BP10" s="127" t="n">
        <f aca="false">SUM(BM10:BO10)</f>
        <v>0</v>
      </c>
      <c r="BQ10" s="128" t="n">
        <f aca="false">+BP10-BL10</f>
        <v>0</v>
      </c>
      <c r="BR10" s="126" t="n">
        <f aca="false">BR9+BQ10</f>
        <v>0</v>
      </c>
      <c r="BS10" s="127"/>
      <c r="BT10" s="127"/>
      <c r="BU10" s="127"/>
      <c r="BV10" s="127"/>
      <c r="BW10" s="127" t="n">
        <f aca="false">SUM(BT10:BV10)</f>
        <v>0</v>
      </c>
      <c r="BX10" s="128" t="n">
        <f aca="false">+BW10-BS10</f>
        <v>0</v>
      </c>
      <c r="BY10" s="126" t="n">
        <f aca="false">BY9+BX10</f>
        <v>0</v>
      </c>
      <c r="BZ10" s="127"/>
      <c r="CA10" s="127"/>
      <c r="CB10" s="127"/>
      <c r="CC10" s="127"/>
      <c r="CD10" s="127" t="n">
        <f aca="false">SUM(CA10:CC10)</f>
        <v>0</v>
      </c>
      <c r="CE10" s="128" t="n">
        <f aca="false">+CD10-BZ10</f>
        <v>0</v>
      </c>
      <c r="CF10" s="126" t="n">
        <f aca="false">CF9+CE10</f>
        <v>0</v>
      </c>
      <c r="CG10" s="127"/>
      <c r="CH10" s="127"/>
      <c r="CI10" s="127"/>
      <c r="CJ10" s="127"/>
      <c r="CK10" s="127" t="n">
        <f aca="false">SUM(CH10:CJ10)</f>
        <v>0</v>
      </c>
      <c r="CL10" s="128" t="n">
        <f aca="false">+CK10-CG10</f>
        <v>0</v>
      </c>
      <c r="CM10" s="126" t="n">
        <f aca="false">CM9+CL10</f>
        <v>0</v>
      </c>
      <c r="CN10" s="70" t="n">
        <f aca="false">+C10+O10+V10+AC10+AJ10+AQ10+AX10+BE10+BL10+BS10+BZ10+CG10</f>
        <v>21990</v>
      </c>
      <c r="CO10" s="70" t="n">
        <f aca="false">+L10+S10+Z10+AG10+AN10+AU10+BB10+BI10+BP10+BW10+CD10+CK10</f>
        <v>12773</v>
      </c>
      <c r="CP10" s="70" t="n">
        <f aca="false">CO10-CN10</f>
        <v>-9217</v>
      </c>
      <c r="CQ10" s="126" t="n">
        <f aca="false">CQ9+CP10</f>
        <v>51523</v>
      </c>
      <c r="CR10" s="74"/>
      <c r="CS10" s="74"/>
      <c r="CT10" s="75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</row>
    <row r="11" customFormat="false" ht="12.75" hidden="false" customHeight="false" outlineLevel="0" collapsed="false">
      <c r="A11" s="69" t="n">
        <f aca="false">+BaseloadMarkets!A11</f>
        <v>36683</v>
      </c>
      <c r="B11" s="69" t="str">
        <f aca="false">+BaseloadMarkets!B11</f>
        <v>Tues</v>
      </c>
      <c r="C11" s="22" t="n">
        <v>10354</v>
      </c>
      <c r="D11" s="22" t="n">
        <v>2885</v>
      </c>
      <c r="E11" s="22" t="n">
        <v>2996</v>
      </c>
      <c r="F11" s="22" t="n">
        <v>1000</v>
      </c>
      <c r="G11" s="22" t="n">
        <v>10000</v>
      </c>
      <c r="H11" s="122" t="n">
        <f aca="false">+Border!AD9</f>
        <v>0</v>
      </c>
      <c r="I11" s="22"/>
      <c r="J11" s="22"/>
      <c r="K11" s="22"/>
      <c r="L11" s="123" t="n">
        <f aca="false">SUM(D11:K11)</f>
        <v>16881</v>
      </c>
      <c r="M11" s="70" t="n">
        <f aca="false">+L11-C11</f>
        <v>6527</v>
      </c>
      <c r="N11" s="70" t="n">
        <f aca="false">N10+M11</f>
        <v>22504</v>
      </c>
      <c r="O11" s="22" t="n">
        <v>1746</v>
      </c>
      <c r="P11" s="22" t="n">
        <v>0</v>
      </c>
      <c r="Q11" s="22"/>
      <c r="R11" s="22" t="n">
        <v>0</v>
      </c>
      <c r="S11" s="124" t="n">
        <f aca="false">SUM(P11:R11)</f>
        <v>0</v>
      </c>
      <c r="T11" s="70" t="n">
        <f aca="false">+S11-O11</f>
        <v>-1746</v>
      </c>
      <c r="U11" s="70" t="n">
        <f aca="false">U10+T11</f>
        <v>462</v>
      </c>
      <c r="V11" s="22" t="n">
        <v>1392</v>
      </c>
      <c r="W11" s="22" t="n">
        <v>218</v>
      </c>
      <c r="X11" s="22" t="n">
        <v>232</v>
      </c>
      <c r="Y11" s="22"/>
      <c r="Z11" s="123" t="n">
        <f aca="false">SUM(W11:Y11)</f>
        <v>450</v>
      </c>
      <c r="AA11" s="70" t="n">
        <f aca="false">+Z11-V11</f>
        <v>-942</v>
      </c>
      <c r="AB11" s="74" t="n">
        <f aca="false">+AB10+AA11</f>
        <v>7338</v>
      </c>
      <c r="AC11" s="122" t="n">
        <v>211</v>
      </c>
      <c r="AD11" s="122" t="n">
        <v>361</v>
      </c>
      <c r="AE11" s="122"/>
      <c r="AF11" s="122"/>
      <c r="AG11" s="122" t="n">
        <f aca="false">SUM(AD11:AF11)</f>
        <v>361</v>
      </c>
      <c r="AH11" s="125" t="n">
        <f aca="false">+AG11-AC11</f>
        <v>150</v>
      </c>
      <c r="AI11" s="126" t="n">
        <f aca="false">AI10+AH11</f>
        <v>2176</v>
      </c>
      <c r="AJ11" s="122" t="n">
        <v>9307</v>
      </c>
      <c r="AK11" s="122" t="n">
        <f aca="false">8656+3605</f>
        <v>12261</v>
      </c>
      <c r="AL11" s="122" t="n">
        <v>987</v>
      </c>
      <c r="AM11" s="122" t="n">
        <f aca="false">5000+2600+1400</f>
        <v>9000</v>
      </c>
      <c r="AN11" s="122" t="n">
        <f aca="false">SUM(AK11:AM11)</f>
        <v>22248</v>
      </c>
      <c r="AO11" s="125" t="n">
        <f aca="false">+AN11-AJ11</f>
        <v>12941</v>
      </c>
      <c r="AP11" s="126" t="n">
        <f aca="false">AP10+AO11</f>
        <v>31700</v>
      </c>
      <c r="AQ11" s="122" t="n">
        <v>0</v>
      </c>
      <c r="AR11" s="122" t="n">
        <v>0</v>
      </c>
      <c r="AS11" s="122"/>
      <c r="AT11" s="122"/>
      <c r="AU11" s="122" t="n">
        <f aca="false">SUM(AR11:AT11)</f>
        <v>0</v>
      </c>
      <c r="AV11" s="125" t="n">
        <f aca="false">+AU11-AQ11</f>
        <v>0</v>
      </c>
      <c r="AW11" s="126" t="n">
        <f aca="false">AW10+AV11</f>
        <v>0</v>
      </c>
      <c r="AX11" s="122" t="n">
        <v>199</v>
      </c>
      <c r="AY11" s="122" t="n">
        <v>361</v>
      </c>
      <c r="AZ11" s="122"/>
      <c r="BA11" s="122"/>
      <c r="BB11" s="122" t="n">
        <f aca="false">SUM(AY11:BA11)</f>
        <v>361</v>
      </c>
      <c r="BC11" s="125" t="n">
        <f aca="false">+BB11-AX11</f>
        <v>162</v>
      </c>
      <c r="BD11" s="126" t="n">
        <f aca="false">BD10+BC11</f>
        <v>2260</v>
      </c>
      <c r="BE11" s="122" t="n">
        <v>327</v>
      </c>
      <c r="BF11" s="122" t="n">
        <v>361</v>
      </c>
      <c r="BG11" s="122"/>
      <c r="BH11" s="122"/>
      <c r="BI11" s="122" t="n">
        <f aca="false">SUM(BF11:BH11)</f>
        <v>361</v>
      </c>
      <c r="BJ11" s="125" t="n">
        <f aca="false">+BI11-BE11</f>
        <v>34</v>
      </c>
      <c r="BK11" s="126" t="n">
        <f aca="false">BK10+BJ11</f>
        <v>2209</v>
      </c>
      <c r="BL11" s="127"/>
      <c r="BM11" s="127"/>
      <c r="BN11" s="127"/>
      <c r="BO11" s="127"/>
      <c r="BP11" s="127" t="n">
        <f aca="false">SUM(BM11:BO11)</f>
        <v>0</v>
      </c>
      <c r="BQ11" s="128" t="n">
        <f aca="false">+BP11-BL11</f>
        <v>0</v>
      </c>
      <c r="BR11" s="126" t="n">
        <f aca="false">BR10+BQ11</f>
        <v>0</v>
      </c>
      <c r="BS11" s="127"/>
      <c r="BT11" s="127"/>
      <c r="BU11" s="127"/>
      <c r="BV11" s="127"/>
      <c r="BW11" s="127" t="n">
        <f aca="false">SUM(BT11:BV11)</f>
        <v>0</v>
      </c>
      <c r="BX11" s="128" t="n">
        <f aca="false">+BW11-BS11</f>
        <v>0</v>
      </c>
      <c r="BY11" s="126" t="n">
        <f aca="false">BY10+BX11</f>
        <v>0</v>
      </c>
      <c r="BZ11" s="127"/>
      <c r="CA11" s="127"/>
      <c r="CB11" s="127"/>
      <c r="CC11" s="127"/>
      <c r="CD11" s="127" t="n">
        <f aca="false">SUM(CA11:CC11)</f>
        <v>0</v>
      </c>
      <c r="CE11" s="128" t="n">
        <f aca="false">+CD11-BZ11</f>
        <v>0</v>
      </c>
      <c r="CF11" s="126" t="n">
        <f aca="false">CF10+CE11</f>
        <v>0</v>
      </c>
      <c r="CG11" s="127"/>
      <c r="CH11" s="127"/>
      <c r="CI11" s="127"/>
      <c r="CJ11" s="127"/>
      <c r="CK11" s="127" t="n">
        <f aca="false">SUM(CH11:CJ11)</f>
        <v>0</v>
      </c>
      <c r="CL11" s="128" t="n">
        <f aca="false">+CK11-CG11</f>
        <v>0</v>
      </c>
      <c r="CM11" s="126" t="n">
        <f aca="false">CM10+CL11</f>
        <v>0</v>
      </c>
      <c r="CN11" s="70" t="n">
        <f aca="false">+C11+O11+V11+AC11+AJ11+AQ11+AX11+BE11+BL11+BS11+BZ11+CG11</f>
        <v>23536</v>
      </c>
      <c r="CO11" s="70" t="n">
        <f aca="false">+L11+S11+Z11+AG11+AN11+AU11+BB11+BI11+BP11+BW11+CD11+CK11</f>
        <v>40662</v>
      </c>
      <c r="CP11" s="70" t="n">
        <f aca="false">CO11-CN11</f>
        <v>17126</v>
      </c>
      <c r="CQ11" s="126" t="n">
        <f aca="false">CQ10+CP11</f>
        <v>68649</v>
      </c>
      <c r="CR11" s="74"/>
      <c r="CS11" s="74"/>
      <c r="CT11" s="75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</row>
    <row r="12" customFormat="false" ht="12.75" hidden="false" customHeight="false" outlineLevel="0" collapsed="false">
      <c r="A12" s="69" t="n">
        <f aca="false">+BaseloadMarkets!A12</f>
        <v>36684</v>
      </c>
      <c r="B12" s="69" t="str">
        <f aca="false">+BaseloadMarkets!B12</f>
        <v>Wed</v>
      </c>
      <c r="C12" s="22" t="n">
        <v>9906</v>
      </c>
      <c r="D12" s="22" t="n">
        <v>0</v>
      </c>
      <c r="E12" s="22" t="n">
        <v>2996</v>
      </c>
      <c r="F12" s="22" t="n">
        <v>1000</v>
      </c>
      <c r="G12" s="22" t="n">
        <f aca="false">23704+1398+10000+3500+969+5000+5000</f>
        <v>49571</v>
      </c>
      <c r="H12" s="122" t="n">
        <f aca="false">+Border!AD10</f>
        <v>0</v>
      </c>
      <c r="I12" s="22"/>
      <c r="J12" s="22"/>
      <c r="K12" s="22"/>
      <c r="L12" s="123" t="n">
        <f aca="false">SUM(D12:K12)</f>
        <v>53567</v>
      </c>
      <c r="M12" s="70" t="n">
        <f aca="false">+L12-C12</f>
        <v>43661</v>
      </c>
      <c r="N12" s="70" t="n">
        <f aca="false">N11+M12</f>
        <v>66165</v>
      </c>
      <c r="O12" s="22" t="n">
        <v>2177</v>
      </c>
      <c r="P12" s="22" t="n">
        <v>4086</v>
      </c>
      <c r="Q12" s="22"/>
      <c r="R12" s="22"/>
      <c r="S12" s="124" t="n">
        <f aca="false">SUM(P12:R12)</f>
        <v>4086</v>
      </c>
      <c r="T12" s="70" t="n">
        <f aca="false">+S12-O12</f>
        <v>1909</v>
      </c>
      <c r="U12" s="70" t="n">
        <f aca="false">U11+T12</f>
        <v>2371</v>
      </c>
      <c r="V12" s="22" t="n">
        <v>1446</v>
      </c>
      <c r="W12" s="22" t="n">
        <v>4087</v>
      </c>
      <c r="X12" s="22"/>
      <c r="Y12" s="22"/>
      <c r="Z12" s="123" t="n">
        <f aca="false">SUM(W12:Y12)</f>
        <v>4087</v>
      </c>
      <c r="AA12" s="70" t="n">
        <f aca="false">+Z12-V12</f>
        <v>2641</v>
      </c>
      <c r="AB12" s="74" t="n">
        <f aca="false">+AB11+AA12</f>
        <v>9979</v>
      </c>
      <c r="AC12" s="122" t="n">
        <v>190</v>
      </c>
      <c r="AD12" s="122" t="n">
        <v>204</v>
      </c>
      <c r="AE12" s="122"/>
      <c r="AF12" s="122"/>
      <c r="AG12" s="122" t="n">
        <f aca="false">SUM(AD12:AF12)</f>
        <v>204</v>
      </c>
      <c r="AH12" s="125" t="n">
        <f aca="false">+AG12-AC12</f>
        <v>14</v>
      </c>
      <c r="AI12" s="126" t="n">
        <f aca="false">AI11+AH12</f>
        <v>2190</v>
      </c>
      <c r="AJ12" s="122" t="n">
        <v>9274</v>
      </c>
      <c r="AK12" s="122" t="n">
        <f aca="false">10000+7254</f>
        <v>17254</v>
      </c>
      <c r="AL12" s="122" t="n">
        <v>988</v>
      </c>
      <c r="AM12" s="122" t="n">
        <f aca="false">15000+2600+1400+5400+96+898+2973+2945+5894+2945+6676+2669+2669</f>
        <v>52165</v>
      </c>
      <c r="AN12" s="122" t="n">
        <f aca="false">SUM(AK12:AM12)</f>
        <v>70407</v>
      </c>
      <c r="AO12" s="125" t="n">
        <f aca="false">+AN12-AJ12</f>
        <v>61133</v>
      </c>
      <c r="AP12" s="126" t="n">
        <f aca="false">AP11+AO12</f>
        <v>92833</v>
      </c>
      <c r="AQ12" s="122" t="n">
        <v>0</v>
      </c>
      <c r="AR12" s="122" t="n">
        <v>0</v>
      </c>
      <c r="AS12" s="122"/>
      <c r="AT12" s="122"/>
      <c r="AU12" s="122" t="n">
        <f aca="false">SUM(AR12:AT12)</f>
        <v>0</v>
      </c>
      <c r="AV12" s="125" t="n">
        <f aca="false">+AU12-AQ12</f>
        <v>0</v>
      </c>
      <c r="AW12" s="126" t="n">
        <f aca="false">AW11+AV12</f>
        <v>0</v>
      </c>
      <c r="AX12" s="122" t="n">
        <v>192</v>
      </c>
      <c r="AY12" s="122" t="n">
        <v>204</v>
      </c>
      <c r="AZ12" s="122"/>
      <c r="BA12" s="122"/>
      <c r="BB12" s="122" t="n">
        <f aca="false">SUM(AY12:BA12)</f>
        <v>204</v>
      </c>
      <c r="BC12" s="125" t="n">
        <f aca="false">+BB12-AX12</f>
        <v>12</v>
      </c>
      <c r="BD12" s="126" t="n">
        <f aca="false">BD11+BC12</f>
        <v>2272</v>
      </c>
      <c r="BE12" s="122" t="n">
        <v>323</v>
      </c>
      <c r="BF12" s="122" t="n">
        <v>656</v>
      </c>
      <c r="BG12" s="122"/>
      <c r="BH12" s="122"/>
      <c r="BI12" s="122" t="n">
        <f aca="false">SUM(BF12:BH12)</f>
        <v>656</v>
      </c>
      <c r="BJ12" s="125" t="n">
        <f aca="false">+BI12-BE12</f>
        <v>333</v>
      </c>
      <c r="BK12" s="126" t="n">
        <f aca="false">BK11+BJ12</f>
        <v>2542</v>
      </c>
      <c r="BL12" s="127"/>
      <c r="BM12" s="127"/>
      <c r="BN12" s="127"/>
      <c r="BO12" s="127"/>
      <c r="BP12" s="127" t="n">
        <f aca="false">SUM(BM12:BO12)</f>
        <v>0</v>
      </c>
      <c r="BQ12" s="128" t="n">
        <f aca="false">+BP12-BL12</f>
        <v>0</v>
      </c>
      <c r="BR12" s="126" t="n">
        <f aca="false">BR11+BQ12</f>
        <v>0</v>
      </c>
      <c r="BS12" s="127"/>
      <c r="BT12" s="127"/>
      <c r="BU12" s="127"/>
      <c r="BV12" s="127"/>
      <c r="BW12" s="127" t="n">
        <f aca="false">SUM(BT12:BV12)</f>
        <v>0</v>
      </c>
      <c r="BX12" s="128" t="n">
        <f aca="false">+BW12-BS12</f>
        <v>0</v>
      </c>
      <c r="BY12" s="126" t="n">
        <f aca="false">BY11+BX12</f>
        <v>0</v>
      </c>
      <c r="BZ12" s="127"/>
      <c r="CA12" s="127"/>
      <c r="CB12" s="127"/>
      <c r="CC12" s="127"/>
      <c r="CD12" s="127" t="n">
        <f aca="false">SUM(CA12:CC12)</f>
        <v>0</v>
      </c>
      <c r="CE12" s="128" t="n">
        <f aca="false">+CD12-BZ12</f>
        <v>0</v>
      </c>
      <c r="CF12" s="126" t="n">
        <f aca="false">CF11+CE12</f>
        <v>0</v>
      </c>
      <c r="CG12" s="127"/>
      <c r="CH12" s="127"/>
      <c r="CI12" s="127"/>
      <c r="CJ12" s="127"/>
      <c r="CK12" s="127" t="n">
        <f aca="false">SUM(CH12:CJ12)</f>
        <v>0</v>
      </c>
      <c r="CL12" s="128" t="n">
        <f aca="false">+CK12-CG12</f>
        <v>0</v>
      </c>
      <c r="CM12" s="126" t="n">
        <f aca="false">CM11+CL12</f>
        <v>0</v>
      </c>
      <c r="CN12" s="70" t="n">
        <f aca="false">+C12+O12+V12+AC12+AJ12+AQ12+AX12+BE12+BL12+BS12+BZ12+CG12</f>
        <v>23508</v>
      </c>
      <c r="CO12" s="70" t="n">
        <f aca="false">+L12+S12+Z12+AG12+AN12+AU12+BB12+BI12+BP12+BW12+CD12+CK12</f>
        <v>133211</v>
      </c>
      <c r="CP12" s="70" t="n">
        <f aca="false">CO12-CN12</f>
        <v>109703</v>
      </c>
      <c r="CQ12" s="126" t="n">
        <f aca="false">CQ11+CP12</f>
        <v>178352</v>
      </c>
      <c r="CR12" s="74"/>
      <c r="CS12" s="74"/>
      <c r="CT12" s="75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</row>
    <row r="13" customFormat="false" ht="12.75" hidden="false" customHeight="false" outlineLevel="0" collapsed="false">
      <c r="A13" s="69" t="n">
        <f aca="false">+BaseloadMarkets!A13</f>
        <v>36685</v>
      </c>
      <c r="B13" s="69" t="str">
        <f aca="false">+BaseloadMarkets!B13</f>
        <v>Thu</v>
      </c>
      <c r="C13" s="22" t="n">
        <v>6651</v>
      </c>
      <c r="D13" s="22" t="n">
        <v>3129</v>
      </c>
      <c r="E13" s="22" t="n">
        <f aca="false">9480+2000</f>
        <v>11480</v>
      </c>
      <c r="F13" s="22" t="n">
        <v>1000</v>
      </c>
      <c r="G13" s="22"/>
      <c r="H13" s="122" t="n">
        <f aca="false">+Border!AD11</f>
        <v>0</v>
      </c>
      <c r="I13" s="22"/>
      <c r="J13" s="22"/>
      <c r="K13" s="22"/>
      <c r="L13" s="123" t="n">
        <f aca="false">SUM(D13:K13)</f>
        <v>15609</v>
      </c>
      <c r="M13" s="70" t="n">
        <f aca="false">+L13-C13</f>
        <v>8958</v>
      </c>
      <c r="N13" s="70" t="n">
        <f aca="false">N12+M13</f>
        <v>75123</v>
      </c>
      <c r="O13" s="22" t="n">
        <v>1371</v>
      </c>
      <c r="P13" s="22" t="n">
        <v>2088</v>
      </c>
      <c r="Q13" s="22"/>
      <c r="R13" s="22"/>
      <c r="S13" s="124" t="n">
        <f aca="false">SUM(P13:R13)</f>
        <v>2088</v>
      </c>
      <c r="T13" s="70" t="n">
        <f aca="false">+S13-O13</f>
        <v>717</v>
      </c>
      <c r="U13" s="70" t="n">
        <f aca="false">U12+T13</f>
        <v>3088</v>
      </c>
      <c r="V13" s="22" t="n">
        <v>1365</v>
      </c>
      <c r="W13" s="22" t="n">
        <v>2088</v>
      </c>
      <c r="X13" s="22"/>
      <c r="Y13" s="22"/>
      <c r="Z13" s="123" t="n">
        <f aca="false">SUM(W13:Y13)</f>
        <v>2088</v>
      </c>
      <c r="AA13" s="70" t="n">
        <f aca="false">+Z13-V13</f>
        <v>723</v>
      </c>
      <c r="AB13" s="74" t="n">
        <f aca="false">+AB12+AA13</f>
        <v>10702</v>
      </c>
      <c r="AC13" s="122" t="n">
        <v>200</v>
      </c>
      <c r="AD13" s="122" t="n">
        <v>418</v>
      </c>
      <c r="AE13" s="122"/>
      <c r="AF13" s="122"/>
      <c r="AG13" s="122" t="n">
        <f aca="false">SUM(AD13:AF13)</f>
        <v>418</v>
      </c>
      <c r="AH13" s="125" t="n">
        <f aca="false">+AG13-AC13</f>
        <v>218</v>
      </c>
      <c r="AI13" s="126" t="n">
        <f aca="false">AI12+AH13</f>
        <v>2408</v>
      </c>
      <c r="AJ13" s="122" t="n">
        <v>9399</v>
      </c>
      <c r="AK13" s="122" t="n">
        <v>9468</v>
      </c>
      <c r="AL13" s="122" t="n">
        <v>988</v>
      </c>
      <c r="AM13" s="122" t="n">
        <f aca="false">14100+2600+1400</f>
        <v>18100</v>
      </c>
      <c r="AN13" s="122" t="n">
        <f aca="false">SUM(AK13:AM13)</f>
        <v>28556</v>
      </c>
      <c r="AO13" s="125" t="n">
        <f aca="false">+AN13-AJ13</f>
        <v>19157</v>
      </c>
      <c r="AP13" s="126" t="n">
        <f aca="false">AP12+AO13</f>
        <v>111990</v>
      </c>
      <c r="AQ13" s="122" t="n">
        <v>0</v>
      </c>
      <c r="AR13" s="122" t="n">
        <v>0</v>
      </c>
      <c r="AS13" s="122"/>
      <c r="AT13" s="122"/>
      <c r="AU13" s="122" t="n">
        <f aca="false">SUM(AR13:AT13)</f>
        <v>0</v>
      </c>
      <c r="AV13" s="125" t="n">
        <f aca="false">+AU13-AQ13</f>
        <v>0</v>
      </c>
      <c r="AW13" s="126" t="n">
        <f aca="false">AW12+AV13</f>
        <v>0</v>
      </c>
      <c r="AX13" s="122" t="n">
        <v>200</v>
      </c>
      <c r="AY13" s="122" t="n">
        <v>418</v>
      </c>
      <c r="AZ13" s="122"/>
      <c r="BA13" s="122"/>
      <c r="BB13" s="122" t="n">
        <f aca="false">SUM(AY13:BA13)</f>
        <v>418</v>
      </c>
      <c r="BC13" s="125" t="n">
        <f aca="false">+BB13-AX13</f>
        <v>218</v>
      </c>
      <c r="BD13" s="126" t="n">
        <f aca="false">BD12+BC13</f>
        <v>2490</v>
      </c>
      <c r="BE13" s="122" t="n">
        <v>307</v>
      </c>
      <c r="BF13" s="122" t="n">
        <v>878</v>
      </c>
      <c r="BG13" s="122"/>
      <c r="BH13" s="122"/>
      <c r="BI13" s="122" t="n">
        <f aca="false">SUM(BF13:BH13)</f>
        <v>878</v>
      </c>
      <c r="BJ13" s="125" t="n">
        <f aca="false">+BI13-BE13</f>
        <v>571</v>
      </c>
      <c r="BK13" s="126" t="n">
        <f aca="false">BK12+BJ13</f>
        <v>3113</v>
      </c>
      <c r="BL13" s="127"/>
      <c r="BM13" s="127"/>
      <c r="BN13" s="127"/>
      <c r="BO13" s="127"/>
      <c r="BP13" s="127" t="n">
        <f aca="false">SUM(BM13:BO13)</f>
        <v>0</v>
      </c>
      <c r="BQ13" s="128" t="n">
        <f aca="false">+BP13-BL13</f>
        <v>0</v>
      </c>
      <c r="BR13" s="126" t="n">
        <f aca="false">BR12+BQ13</f>
        <v>0</v>
      </c>
      <c r="BS13" s="127"/>
      <c r="BT13" s="127"/>
      <c r="BU13" s="127"/>
      <c r="BV13" s="127"/>
      <c r="BW13" s="127" t="n">
        <f aca="false">SUM(BT13:BV13)</f>
        <v>0</v>
      </c>
      <c r="BX13" s="128" t="n">
        <f aca="false">+BW13-BS13</f>
        <v>0</v>
      </c>
      <c r="BY13" s="126" t="n">
        <f aca="false">BY12+BX13</f>
        <v>0</v>
      </c>
      <c r="BZ13" s="127"/>
      <c r="CA13" s="127"/>
      <c r="CB13" s="127"/>
      <c r="CC13" s="127"/>
      <c r="CD13" s="127" t="n">
        <f aca="false">SUM(CA13:CC13)</f>
        <v>0</v>
      </c>
      <c r="CE13" s="128" t="n">
        <f aca="false">+CD13-BZ13</f>
        <v>0</v>
      </c>
      <c r="CF13" s="126" t="n">
        <f aca="false">CF12+CE13</f>
        <v>0</v>
      </c>
      <c r="CG13" s="127"/>
      <c r="CH13" s="127"/>
      <c r="CI13" s="127"/>
      <c r="CJ13" s="127"/>
      <c r="CK13" s="127" t="n">
        <f aca="false">SUM(CH13:CJ13)</f>
        <v>0</v>
      </c>
      <c r="CL13" s="128" t="n">
        <f aca="false">+CK13-CG13</f>
        <v>0</v>
      </c>
      <c r="CM13" s="126" t="n">
        <f aca="false">CM12+CL13</f>
        <v>0</v>
      </c>
      <c r="CN13" s="70" t="n">
        <f aca="false">+C13+O13+V13+AC13+AJ13+AQ13+AX13+BE13+BL13+BS13+BZ13+CG13</f>
        <v>19493</v>
      </c>
      <c r="CO13" s="70" t="n">
        <f aca="false">+L13+S13+Z13+AG13+AN13+AU13+BB13+BI13+BP13+BW13+CD13+CK13</f>
        <v>50055</v>
      </c>
      <c r="CP13" s="70" t="n">
        <f aca="false">CO13-CN13</f>
        <v>30562</v>
      </c>
      <c r="CQ13" s="126" t="n">
        <f aca="false">CQ12+CP13</f>
        <v>208914</v>
      </c>
      <c r="CR13" s="74"/>
      <c r="CS13" s="74"/>
      <c r="CT13" s="75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</row>
    <row r="14" customFormat="false" ht="12.75" hidden="false" customHeight="false" outlineLevel="0" collapsed="false">
      <c r="A14" s="69" t="n">
        <f aca="false">+BaseloadMarkets!A14</f>
        <v>36686</v>
      </c>
      <c r="B14" s="69" t="str">
        <f aca="false">+BaseloadMarkets!B14</f>
        <v>Fri</v>
      </c>
      <c r="C14" s="22" t="n">
        <v>9237</v>
      </c>
      <c r="D14" s="22" t="n">
        <v>1049</v>
      </c>
      <c r="E14" s="22" t="n">
        <v>2997</v>
      </c>
      <c r="F14" s="22" t="n">
        <v>1000</v>
      </c>
      <c r="G14" s="22"/>
      <c r="H14" s="122" t="n">
        <f aca="false">+Border!AD12</f>
        <v>0</v>
      </c>
      <c r="I14" s="22" t="n">
        <v>10000</v>
      </c>
      <c r="J14" s="22"/>
      <c r="K14" s="22"/>
      <c r="L14" s="123" t="n">
        <f aca="false">SUM(D14:K14)</f>
        <v>15046</v>
      </c>
      <c r="M14" s="70" t="n">
        <f aca="false">+L14-C14</f>
        <v>5809</v>
      </c>
      <c r="N14" s="70" t="n">
        <f aca="false">N13+M14</f>
        <v>80932</v>
      </c>
      <c r="O14" s="22" t="n">
        <v>1785</v>
      </c>
      <c r="P14" s="22" t="n">
        <v>1050</v>
      </c>
      <c r="Q14" s="22"/>
      <c r="R14" s="22"/>
      <c r="S14" s="124" t="n">
        <f aca="false">SUM(P14:R14)</f>
        <v>1050</v>
      </c>
      <c r="T14" s="70" t="n">
        <f aca="false">+S14-O14</f>
        <v>-735</v>
      </c>
      <c r="U14" s="70" t="n">
        <f aca="false">U13+T14</f>
        <v>2353</v>
      </c>
      <c r="V14" s="22" t="n">
        <v>1075</v>
      </c>
      <c r="W14" s="22" t="n">
        <v>1049</v>
      </c>
      <c r="X14" s="22"/>
      <c r="Y14" s="22"/>
      <c r="Z14" s="123" t="n">
        <f aca="false">SUM(W14:Y14)</f>
        <v>1049</v>
      </c>
      <c r="AA14" s="70" t="n">
        <f aca="false">+Z14-V14</f>
        <v>-26</v>
      </c>
      <c r="AB14" s="74" t="n">
        <f aca="false">+AB13+AA14</f>
        <v>10676</v>
      </c>
      <c r="AC14" s="122" t="n">
        <v>208</v>
      </c>
      <c r="AD14" s="122" t="n">
        <v>420</v>
      </c>
      <c r="AE14" s="122"/>
      <c r="AF14" s="122"/>
      <c r="AG14" s="122" t="n">
        <f aca="false">SUM(AD14:AF14)</f>
        <v>420</v>
      </c>
      <c r="AH14" s="125" t="n">
        <f aca="false">+AG14-AC14</f>
        <v>212</v>
      </c>
      <c r="AI14" s="126" t="n">
        <f aca="false">AI13+AH14</f>
        <v>2620</v>
      </c>
      <c r="AJ14" s="122" t="n">
        <v>9156</v>
      </c>
      <c r="AK14" s="122" t="n">
        <v>12702</v>
      </c>
      <c r="AL14" s="122" t="n">
        <v>987</v>
      </c>
      <c r="AM14" s="122" t="n">
        <f aca="false">5000+2600+1400</f>
        <v>9000</v>
      </c>
      <c r="AN14" s="122" t="n">
        <f aca="false">SUM(AK14:AM14)</f>
        <v>22689</v>
      </c>
      <c r="AO14" s="125" t="n">
        <f aca="false">+AN14-AJ14</f>
        <v>13533</v>
      </c>
      <c r="AP14" s="126" t="n">
        <f aca="false">AP13+AO14</f>
        <v>125523</v>
      </c>
      <c r="AQ14" s="122" t="n">
        <v>0</v>
      </c>
      <c r="AR14" s="122" t="n">
        <v>0</v>
      </c>
      <c r="AS14" s="122"/>
      <c r="AT14" s="122"/>
      <c r="AU14" s="122" t="n">
        <f aca="false">SUM(AR14:AT14)</f>
        <v>0</v>
      </c>
      <c r="AV14" s="125" t="n">
        <f aca="false">+AU14-AQ14</f>
        <v>0</v>
      </c>
      <c r="AW14" s="126" t="n">
        <f aca="false">AW13+AV14</f>
        <v>0</v>
      </c>
      <c r="AX14" s="122" t="n">
        <v>207</v>
      </c>
      <c r="AY14" s="122" t="n">
        <v>546</v>
      </c>
      <c r="AZ14" s="122"/>
      <c r="BA14" s="122"/>
      <c r="BB14" s="122" t="n">
        <f aca="false">SUM(AY14:BA14)</f>
        <v>546</v>
      </c>
      <c r="BC14" s="125" t="n">
        <f aca="false">+BB14-AX14</f>
        <v>339</v>
      </c>
      <c r="BD14" s="126" t="n">
        <f aca="false">BD13+BC14</f>
        <v>2829</v>
      </c>
      <c r="BE14" s="122" t="n">
        <v>312</v>
      </c>
      <c r="BF14" s="122" t="n">
        <v>884</v>
      </c>
      <c r="BG14" s="122"/>
      <c r="BH14" s="122"/>
      <c r="BI14" s="122" t="n">
        <f aca="false">SUM(BF14:BH14)</f>
        <v>884</v>
      </c>
      <c r="BJ14" s="125" t="n">
        <f aca="false">+BI14-BE14</f>
        <v>572</v>
      </c>
      <c r="BK14" s="126" t="n">
        <f aca="false">BK13+BJ14</f>
        <v>3685</v>
      </c>
      <c r="BL14" s="127"/>
      <c r="BM14" s="127"/>
      <c r="BN14" s="127"/>
      <c r="BO14" s="127"/>
      <c r="BP14" s="127" t="n">
        <f aca="false">SUM(BM14:BO14)</f>
        <v>0</v>
      </c>
      <c r="BQ14" s="128" t="n">
        <f aca="false">+BP14-BL14</f>
        <v>0</v>
      </c>
      <c r="BR14" s="126" t="n">
        <f aca="false">BR13+BQ14</f>
        <v>0</v>
      </c>
      <c r="BS14" s="127"/>
      <c r="BT14" s="127"/>
      <c r="BU14" s="127"/>
      <c r="BV14" s="127"/>
      <c r="BW14" s="127" t="n">
        <f aca="false">SUM(BT14:BV14)</f>
        <v>0</v>
      </c>
      <c r="BX14" s="128" t="n">
        <f aca="false">+BW14-BS14</f>
        <v>0</v>
      </c>
      <c r="BY14" s="126" t="n">
        <f aca="false">BY13+BX14</f>
        <v>0</v>
      </c>
      <c r="BZ14" s="127"/>
      <c r="CA14" s="127"/>
      <c r="CB14" s="127"/>
      <c r="CC14" s="127"/>
      <c r="CD14" s="127" t="n">
        <f aca="false">SUM(CA14:CC14)</f>
        <v>0</v>
      </c>
      <c r="CE14" s="128" t="n">
        <f aca="false">+CD14-BZ14</f>
        <v>0</v>
      </c>
      <c r="CF14" s="126" t="n">
        <f aca="false">CF13+CE14</f>
        <v>0</v>
      </c>
      <c r="CG14" s="127"/>
      <c r="CH14" s="127"/>
      <c r="CI14" s="127"/>
      <c r="CJ14" s="127"/>
      <c r="CK14" s="127" t="n">
        <f aca="false">SUM(CH14:CJ14)</f>
        <v>0</v>
      </c>
      <c r="CL14" s="128" t="n">
        <f aca="false">+CK14-CG14</f>
        <v>0</v>
      </c>
      <c r="CM14" s="126" t="n">
        <f aca="false">CM13+CL14</f>
        <v>0</v>
      </c>
      <c r="CN14" s="70" t="n">
        <f aca="false">+C14+O14+V14+AC14+AJ14+AQ14+AX14+BE14+BL14+BS14+BZ14+CG14</f>
        <v>21980</v>
      </c>
      <c r="CO14" s="70" t="n">
        <f aca="false">+L14+S14+Z14+AG14+AN14+AU14+BB14+BI14+BP14+BW14+CD14+CK14</f>
        <v>41684</v>
      </c>
      <c r="CP14" s="70" t="n">
        <f aca="false">CO14-CN14</f>
        <v>19704</v>
      </c>
      <c r="CQ14" s="126" t="n">
        <f aca="false">CQ13+CP14</f>
        <v>228618</v>
      </c>
      <c r="CR14" s="74"/>
      <c r="CS14" s="74"/>
      <c r="CT14" s="75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</row>
    <row r="15" customFormat="false" ht="13.5" hidden="false" customHeight="true" outlineLevel="0" collapsed="false">
      <c r="A15" s="69" t="n">
        <f aca="false">+BaseloadMarkets!A15</f>
        <v>36687</v>
      </c>
      <c r="B15" s="69" t="str">
        <f aca="false">+BaseloadMarkets!B15</f>
        <v>Sat</v>
      </c>
      <c r="C15" s="22" t="n">
        <v>7292</v>
      </c>
      <c r="D15" s="22" t="n">
        <v>3029</v>
      </c>
      <c r="E15" s="22" t="n">
        <v>2997</v>
      </c>
      <c r="F15" s="22" t="n">
        <v>1000</v>
      </c>
      <c r="G15" s="22"/>
      <c r="H15" s="122" t="n">
        <f aca="false">+Border!AD13</f>
        <v>0</v>
      </c>
      <c r="I15" s="22"/>
      <c r="J15" s="22"/>
      <c r="K15" s="22"/>
      <c r="L15" s="123" t="n">
        <f aca="false">SUM(D15:K15)</f>
        <v>7026</v>
      </c>
      <c r="M15" s="70" t="n">
        <f aca="false">+L15-C15</f>
        <v>-266</v>
      </c>
      <c r="N15" s="70" t="n">
        <f aca="false">N14+M15</f>
        <v>80666</v>
      </c>
      <c r="O15" s="22" t="n">
        <v>1705</v>
      </c>
      <c r="P15" s="22" t="n">
        <v>1136</v>
      </c>
      <c r="Q15" s="22"/>
      <c r="R15" s="22"/>
      <c r="S15" s="124" t="n">
        <f aca="false">SUM(P15:R15)</f>
        <v>1136</v>
      </c>
      <c r="T15" s="70" t="n">
        <f aca="false">+S15-O15</f>
        <v>-569</v>
      </c>
      <c r="U15" s="70" t="n">
        <f aca="false">U14+T15</f>
        <v>1784</v>
      </c>
      <c r="V15" s="22" t="n">
        <v>1405</v>
      </c>
      <c r="W15" s="22" t="n">
        <v>757</v>
      </c>
      <c r="X15" s="22"/>
      <c r="Y15" s="22"/>
      <c r="Z15" s="123" t="n">
        <f aca="false">SUM(W15:Y15)</f>
        <v>757</v>
      </c>
      <c r="AA15" s="70" t="n">
        <f aca="false">+Z15-V15</f>
        <v>-648</v>
      </c>
      <c r="AB15" s="74" t="n">
        <f aca="false">+AB14+AA15</f>
        <v>10028</v>
      </c>
      <c r="AC15" s="122" t="n">
        <v>202</v>
      </c>
      <c r="AD15" s="122" t="n">
        <v>0</v>
      </c>
      <c r="AE15" s="122"/>
      <c r="AF15" s="122"/>
      <c r="AG15" s="122" t="n">
        <f aca="false">SUM(AD15:AF15)</f>
        <v>0</v>
      </c>
      <c r="AH15" s="125" t="n">
        <f aca="false">+AG15-AC15</f>
        <v>-202</v>
      </c>
      <c r="AI15" s="129" t="n">
        <f aca="false">AI14+AH15</f>
        <v>2418</v>
      </c>
      <c r="AJ15" s="122" t="n">
        <v>9387</v>
      </c>
      <c r="AK15" s="122" t="n">
        <v>2651</v>
      </c>
      <c r="AL15" s="122" t="n">
        <v>987</v>
      </c>
      <c r="AM15" s="122" t="n">
        <f aca="false">5000+2600+1400</f>
        <v>9000</v>
      </c>
      <c r="AN15" s="122" t="n">
        <f aca="false">SUM(AK15:AM15)</f>
        <v>12638</v>
      </c>
      <c r="AO15" s="125" t="n">
        <f aca="false">+AN15-AJ15</f>
        <v>3251</v>
      </c>
      <c r="AP15" s="129" t="n">
        <f aca="false">AP14+AO15</f>
        <v>128774</v>
      </c>
      <c r="AQ15" s="122" t="n">
        <v>0</v>
      </c>
      <c r="AR15" s="122" t="n">
        <v>0</v>
      </c>
      <c r="AS15" s="122"/>
      <c r="AT15" s="122"/>
      <c r="AU15" s="122" t="n">
        <f aca="false">SUM(AR15:AT15)</f>
        <v>0</v>
      </c>
      <c r="AV15" s="125" t="n">
        <f aca="false">+AU15-AQ15</f>
        <v>0</v>
      </c>
      <c r="AW15" s="129" t="n">
        <f aca="false">AW14+AV15</f>
        <v>0</v>
      </c>
      <c r="AX15" s="122" t="n">
        <v>28</v>
      </c>
      <c r="AY15" s="122" t="n">
        <v>0</v>
      </c>
      <c r="AZ15" s="122"/>
      <c r="BA15" s="122"/>
      <c r="BB15" s="122" t="n">
        <f aca="false">SUM(AY15:BA15)</f>
        <v>0</v>
      </c>
      <c r="BC15" s="125" t="n">
        <f aca="false">+BB15-AX15</f>
        <v>-28</v>
      </c>
      <c r="BD15" s="129" t="n">
        <f aca="false">BD14+BC15</f>
        <v>2801</v>
      </c>
      <c r="BE15" s="122" t="n">
        <v>163</v>
      </c>
      <c r="BF15" s="122" t="n">
        <v>0</v>
      </c>
      <c r="BG15" s="122"/>
      <c r="BH15" s="122"/>
      <c r="BI15" s="122" t="n">
        <f aca="false">SUM(BF15:BH15)</f>
        <v>0</v>
      </c>
      <c r="BJ15" s="125" t="n">
        <f aca="false">+BI15-BE15</f>
        <v>-163</v>
      </c>
      <c r="BK15" s="129" t="n">
        <f aca="false">BK14+BJ15</f>
        <v>3522</v>
      </c>
      <c r="BL15" s="127"/>
      <c r="BM15" s="127"/>
      <c r="BN15" s="127"/>
      <c r="BO15" s="127"/>
      <c r="BP15" s="127" t="n">
        <f aca="false">SUM(BM15:BO15)</f>
        <v>0</v>
      </c>
      <c r="BQ15" s="128" t="n">
        <f aca="false">+BP15-BL15</f>
        <v>0</v>
      </c>
      <c r="BR15" s="129" t="n">
        <f aca="false">BR14+BQ15</f>
        <v>0</v>
      </c>
      <c r="BS15" s="127"/>
      <c r="BT15" s="127"/>
      <c r="BU15" s="127"/>
      <c r="BV15" s="127"/>
      <c r="BW15" s="127" t="n">
        <f aca="false">SUM(BT15:BV15)</f>
        <v>0</v>
      </c>
      <c r="BX15" s="128" t="n">
        <f aca="false">+BW15-BS15</f>
        <v>0</v>
      </c>
      <c r="BY15" s="129" t="n">
        <f aca="false">BY14+BX15</f>
        <v>0</v>
      </c>
      <c r="BZ15" s="127"/>
      <c r="CA15" s="127"/>
      <c r="CB15" s="127"/>
      <c r="CC15" s="127"/>
      <c r="CD15" s="127" t="n">
        <f aca="false">SUM(CA15:CC15)</f>
        <v>0</v>
      </c>
      <c r="CE15" s="128" t="n">
        <f aca="false">+CD15-BZ15</f>
        <v>0</v>
      </c>
      <c r="CF15" s="129" t="n">
        <f aca="false">CF14+CE15</f>
        <v>0</v>
      </c>
      <c r="CG15" s="127"/>
      <c r="CH15" s="127"/>
      <c r="CI15" s="127"/>
      <c r="CJ15" s="127"/>
      <c r="CK15" s="127" t="n">
        <f aca="false">SUM(CH15:CJ15)</f>
        <v>0</v>
      </c>
      <c r="CL15" s="128" t="n">
        <f aca="false">+CK15-CG15</f>
        <v>0</v>
      </c>
      <c r="CM15" s="129" t="n">
        <f aca="false">CM14+CL15</f>
        <v>0</v>
      </c>
      <c r="CN15" s="70" t="n">
        <f aca="false">+C15+O15+V15+AC15+AJ15+AQ15+AX15+BE15+BL15+BS15+BZ15+CG15</f>
        <v>20182</v>
      </c>
      <c r="CO15" s="70" t="n">
        <f aca="false">+L15+S15+Z15+AG15+AN15+AU15+BB15+BI15+BP15+BW15+CD15+CK15</f>
        <v>21557</v>
      </c>
      <c r="CP15" s="70" t="n">
        <f aca="false">CO15-CN15</f>
        <v>1375</v>
      </c>
      <c r="CQ15" s="126" t="n">
        <f aca="false">CQ14+CP15</f>
        <v>229993</v>
      </c>
      <c r="CR15" s="74"/>
      <c r="CS15" s="74"/>
      <c r="CT15" s="75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</row>
    <row r="16" customFormat="false" ht="12.75" hidden="false" customHeight="false" outlineLevel="0" collapsed="false">
      <c r="A16" s="69" t="n">
        <f aca="false">+BaseloadMarkets!A16</f>
        <v>36688</v>
      </c>
      <c r="B16" s="69" t="str">
        <f aca="false">+BaseloadMarkets!B16</f>
        <v>Sun</v>
      </c>
      <c r="C16" s="22" t="n">
        <v>9470</v>
      </c>
      <c r="D16" s="22" t="n">
        <v>2993</v>
      </c>
      <c r="E16" s="22" t="n">
        <v>2997</v>
      </c>
      <c r="F16" s="22" t="n">
        <v>1000</v>
      </c>
      <c r="G16" s="22"/>
      <c r="H16" s="122" t="n">
        <f aca="false">+Border!AD14</f>
        <v>0</v>
      </c>
      <c r="I16" s="22"/>
      <c r="J16" s="22"/>
      <c r="K16" s="22"/>
      <c r="L16" s="123" t="n">
        <f aca="false">SUM(D16:K16)</f>
        <v>6990</v>
      </c>
      <c r="M16" s="70" t="n">
        <f aca="false">+L16-C16</f>
        <v>-2480</v>
      </c>
      <c r="N16" s="70" t="n">
        <f aca="false">N15+M16</f>
        <v>78186</v>
      </c>
      <c r="O16" s="22" t="n">
        <v>1681</v>
      </c>
      <c r="P16" s="22" t="n">
        <v>1123</v>
      </c>
      <c r="Q16" s="22"/>
      <c r="R16" s="22"/>
      <c r="S16" s="124" t="n">
        <f aca="false">SUM(P16:R16)</f>
        <v>1123</v>
      </c>
      <c r="T16" s="70" t="n">
        <f aca="false">+S16-O16</f>
        <v>-558</v>
      </c>
      <c r="U16" s="70" t="n">
        <f aca="false">U15+T16</f>
        <v>1226</v>
      </c>
      <c r="V16" s="22" t="n">
        <v>1385</v>
      </c>
      <c r="W16" s="22" t="n">
        <v>749</v>
      </c>
      <c r="X16" s="22"/>
      <c r="Y16" s="22"/>
      <c r="Z16" s="123" t="n">
        <f aca="false">SUM(W16:Y16)</f>
        <v>749</v>
      </c>
      <c r="AA16" s="70" t="n">
        <f aca="false">+Z16-V16</f>
        <v>-636</v>
      </c>
      <c r="AB16" s="74" t="n">
        <f aca="false">+AB15+AA16</f>
        <v>9392</v>
      </c>
      <c r="AC16" s="122" t="n">
        <v>22</v>
      </c>
      <c r="AD16" s="122" t="n">
        <v>0</v>
      </c>
      <c r="AE16" s="122"/>
      <c r="AF16" s="122"/>
      <c r="AG16" s="122" t="n">
        <f aca="false">SUM(AD16:AF16)</f>
        <v>0</v>
      </c>
      <c r="AH16" s="125" t="n">
        <f aca="false">+AG16-AC16</f>
        <v>-22</v>
      </c>
      <c r="AI16" s="129" t="n">
        <f aca="false">AI15+AH16</f>
        <v>2396</v>
      </c>
      <c r="AJ16" s="122" t="n">
        <v>9165</v>
      </c>
      <c r="AK16" s="122" t="n">
        <v>2620</v>
      </c>
      <c r="AL16" s="122" t="n">
        <v>987</v>
      </c>
      <c r="AM16" s="122" t="n">
        <f aca="false">5000+2600+1400</f>
        <v>9000</v>
      </c>
      <c r="AN16" s="122" t="n">
        <f aca="false">SUM(AK16:AM16)</f>
        <v>12607</v>
      </c>
      <c r="AO16" s="125" t="n">
        <f aca="false">+AN16-AJ16</f>
        <v>3442</v>
      </c>
      <c r="AP16" s="129" t="n">
        <f aca="false">AP15+AO16</f>
        <v>132216</v>
      </c>
      <c r="AQ16" s="122" t="n">
        <v>0</v>
      </c>
      <c r="AR16" s="122" t="n">
        <v>0</v>
      </c>
      <c r="AS16" s="122"/>
      <c r="AT16" s="122"/>
      <c r="AU16" s="122" t="n">
        <f aca="false">SUM(AR16:AT16)</f>
        <v>0</v>
      </c>
      <c r="AV16" s="125" t="n">
        <f aca="false">+AU16-AQ16</f>
        <v>0</v>
      </c>
      <c r="AW16" s="129" t="n">
        <f aca="false">AW15+AV16</f>
        <v>0</v>
      </c>
      <c r="AX16" s="122" t="n">
        <v>0</v>
      </c>
      <c r="AY16" s="122" t="n">
        <v>0</v>
      </c>
      <c r="AZ16" s="122"/>
      <c r="BA16" s="122"/>
      <c r="BB16" s="122" t="n">
        <f aca="false">SUM(AY16:BA16)</f>
        <v>0</v>
      </c>
      <c r="BC16" s="125" t="n">
        <f aca="false">+BB16-AX16</f>
        <v>0</v>
      </c>
      <c r="BD16" s="129" t="n">
        <f aca="false">BD15+BC16</f>
        <v>2801</v>
      </c>
      <c r="BE16" s="122" t="n">
        <v>27</v>
      </c>
      <c r="BF16" s="122" t="n">
        <v>0</v>
      </c>
      <c r="BG16" s="122"/>
      <c r="BH16" s="122"/>
      <c r="BI16" s="122" t="n">
        <f aca="false">SUM(BF16:BH16)</f>
        <v>0</v>
      </c>
      <c r="BJ16" s="125" t="n">
        <f aca="false">+BI16-BE16</f>
        <v>-27</v>
      </c>
      <c r="BK16" s="129" t="n">
        <f aca="false">BK15+BJ16</f>
        <v>3495</v>
      </c>
      <c r="BL16" s="127"/>
      <c r="BM16" s="127"/>
      <c r="BN16" s="127"/>
      <c r="BO16" s="127"/>
      <c r="BP16" s="127" t="n">
        <f aca="false">SUM(BM16:BO16)</f>
        <v>0</v>
      </c>
      <c r="BQ16" s="128" t="n">
        <f aca="false">+BP16-BL16</f>
        <v>0</v>
      </c>
      <c r="BR16" s="129" t="n">
        <f aca="false">BR15+BQ16</f>
        <v>0</v>
      </c>
      <c r="BS16" s="127"/>
      <c r="BT16" s="127"/>
      <c r="BU16" s="127"/>
      <c r="BV16" s="127"/>
      <c r="BW16" s="127" t="n">
        <f aca="false">SUM(BT16:BV16)</f>
        <v>0</v>
      </c>
      <c r="BX16" s="128" t="n">
        <f aca="false">+BW16-BS16</f>
        <v>0</v>
      </c>
      <c r="BY16" s="129" t="n">
        <f aca="false">BY15+BX16</f>
        <v>0</v>
      </c>
      <c r="BZ16" s="127"/>
      <c r="CA16" s="127"/>
      <c r="CB16" s="127"/>
      <c r="CC16" s="127"/>
      <c r="CD16" s="127" t="n">
        <f aca="false">SUM(CA16:CC16)</f>
        <v>0</v>
      </c>
      <c r="CE16" s="128" t="n">
        <f aca="false">+CD16-BZ16</f>
        <v>0</v>
      </c>
      <c r="CF16" s="129" t="n">
        <f aca="false">CF15+CE16</f>
        <v>0</v>
      </c>
      <c r="CG16" s="127"/>
      <c r="CH16" s="127"/>
      <c r="CI16" s="127"/>
      <c r="CJ16" s="127"/>
      <c r="CK16" s="127" t="n">
        <f aca="false">SUM(CH16:CJ16)</f>
        <v>0</v>
      </c>
      <c r="CL16" s="128" t="n">
        <f aca="false">+CK16-CG16</f>
        <v>0</v>
      </c>
      <c r="CM16" s="129" t="n">
        <f aca="false">CM15+CL16</f>
        <v>0</v>
      </c>
      <c r="CN16" s="70" t="n">
        <f aca="false">+C16+O16+V16+AC16+AJ16+AQ16+AX16+BE16+BL16+BS16+BZ16+CG16</f>
        <v>21750</v>
      </c>
      <c r="CO16" s="70" t="n">
        <f aca="false">+L16+S16+Z16+AG16+AN16+AU16+BB16+BI16+BP16+BW16+CD16+CK16</f>
        <v>21469</v>
      </c>
      <c r="CP16" s="70" t="n">
        <f aca="false">CO16-CN16</f>
        <v>-281</v>
      </c>
      <c r="CQ16" s="126" t="n">
        <f aca="false">CQ15+CP16</f>
        <v>229712</v>
      </c>
      <c r="CR16" s="74"/>
      <c r="CS16" s="74"/>
      <c r="CT16" s="75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</row>
    <row r="17" customFormat="false" ht="12.75" hidden="false" customHeight="false" outlineLevel="0" collapsed="false">
      <c r="A17" s="69" t="n">
        <f aca="false">+BaseloadMarkets!A17</f>
        <v>36689</v>
      </c>
      <c r="B17" s="69" t="str">
        <f aca="false">+BaseloadMarkets!B17</f>
        <v>Mon</v>
      </c>
      <c r="C17" s="22" t="n">
        <v>12545</v>
      </c>
      <c r="D17" s="22" t="n">
        <v>2643</v>
      </c>
      <c r="E17" s="22" t="n">
        <v>2997</v>
      </c>
      <c r="F17" s="22" t="n">
        <v>1000</v>
      </c>
      <c r="G17" s="22"/>
      <c r="H17" s="122" t="n">
        <f aca="false">+Border!AD15</f>
        <v>0</v>
      </c>
      <c r="I17" s="22"/>
      <c r="J17" s="22"/>
      <c r="K17" s="22"/>
      <c r="L17" s="123" t="n">
        <f aca="false">SUM(D17:K17)</f>
        <v>6640</v>
      </c>
      <c r="M17" s="70" t="n">
        <f aca="false">+L17-C17</f>
        <v>-5905</v>
      </c>
      <c r="N17" s="70" t="n">
        <f aca="false">N16+M17</f>
        <v>72281</v>
      </c>
      <c r="O17" s="22" t="n">
        <v>1617</v>
      </c>
      <c r="P17" s="22" t="n">
        <v>992</v>
      </c>
      <c r="Q17" s="22"/>
      <c r="R17" s="22"/>
      <c r="S17" s="124" t="n">
        <f aca="false">SUM(P17:R17)</f>
        <v>992</v>
      </c>
      <c r="T17" s="70" t="n">
        <f aca="false">+S17-O17</f>
        <v>-625</v>
      </c>
      <c r="U17" s="70" t="n">
        <f aca="false">U16+T17</f>
        <v>601</v>
      </c>
      <c r="V17" s="22" t="n">
        <v>1316</v>
      </c>
      <c r="W17" s="22" t="n">
        <v>661</v>
      </c>
      <c r="X17" s="22"/>
      <c r="Y17" s="22"/>
      <c r="Z17" s="123" t="n">
        <f aca="false">SUM(W17:Y17)</f>
        <v>661</v>
      </c>
      <c r="AA17" s="70" t="n">
        <f aca="false">+Z17-V17</f>
        <v>-655</v>
      </c>
      <c r="AB17" s="74" t="n">
        <f aca="false">+AB16+AA17</f>
        <v>8737</v>
      </c>
      <c r="AC17" s="122" t="n">
        <v>173</v>
      </c>
      <c r="AD17" s="122" t="n">
        <v>0</v>
      </c>
      <c r="AE17" s="122"/>
      <c r="AF17" s="122"/>
      <c r="AG17" s="122" t="n">
        <f aca="false">SUM(AD17:AF17)</f>
        <v>0</v>
      </c>
      <c r="AH17" s="125" t="n">
        <f aca="false">+AG17-AC17</f>
        <v>-173</v>
      </c>
      <c r="AI17" s="126" t="n">
        <f aca="false">AI16+AH17</f>
        <v>2223</v>
      </c>
      <c r="AJ17" s="122" t="n">
        <v>9262</v>
      </c>
      <c r="AK17" s="122" t="n">
        <v>2314</v>
      </c>
      <c r="AL17" s="122" t="n">
        <v>987</v>
      </c>
      <c r="AM17" s="122" t="n">
        <f aca="false">2600+1400+5000</f>
        <v>9000</v>
      </c>
      <c r="AN17" s="122" t="n">
        <f aca="false">SUM(AK17:AM17)</f>
        <v>12301</v>
      </c>
      <c r="AO17" s="125" t="n">
        <f aca="false">+AN17-AJ17</f>
        <v>3039</v>
      </c>
      <c r="AP17" s="126" t="n">
        <f aca="false">AP16+AO17</f>
        <v>135255</v>
      </c>
      <c r="AQ17" s="122" t="n">
        <v>0</v>
      </c>
      <c r="AR17" s="122" t="n">
        <v>0</v>
      </c>
      <c r="AS17" s="122"/>
      <c r="AT17" s="122"/>
      <c r="AU17" s="122" t="n">
        <f aca="false">SUM(AR17:AT17)</f>
        <v>0</v>
      </c>
      <c r="AV17" s="125" t="n">
        <f aca="false">+AU17-AQ17</f>
        <v>0</v>
      </c>
      <c r="AW17" s="126" t="n">
        <f aca="false">AW16+AV17</f>
        <v>0</v>
      </c>
      <c r="AX17" s="122" t="n">
        <v>167</v>
      </c>
      <c r="AY17" s="122" t="n">
        <v>0</v>
      </c>
      <c r="AZ17" s="122"/>
      <c r="BA17" s="122"/>
      <c r="BB17" s="122" t="n">
        <f aca="false">SUM(AY17:BA17)</f>
        <v>0</v>
      </c>
      <c r="BC17" s="125" t="n">
        <f aca="false">+BB17-AX17</f>
        <v>-167</v>
      </c>
      <c r="BD17" s="126" t="n">
        <f aca="false">BD16+BC17</f>
        <v>2634</v>
      </c>
      <c r="BE17" s="122" t="n">
        <v>261</v>
      </c>
      <c r="BF17" s="122" t="n">
        <v>0</v>
      </c>
      <c r="BG17" s="122"/>
      <c r="BH17" s="122"/>
      <c r="BI17" s="122" t="n">
        <f aca="false">SUM(BF17:BH17)</f>
        <v>0</v>
      </c>
      <c r="BJ17" s="125" t="n">
        <f aca="false">+BI17-BE17</f>
        <v>-261</v>
      </c>
      <c r="BK17" s="126" t="n">
        <f aca="false">BK16+BJ17</f>
        <v>3234</v>
      </c>
      <c r="BL17" s="127"/>
      <c r="BM17" s="127"/>
      <c r="BN17" s="127"/>
      <c r="BO17" s="127"/>
      <c r="BP17" s="127" t="n">
        <f aca="false">SUM(BM17:BO17)</f>
        <v>0</v>
      </c>
      <c r="BQ17" s="128" t="n">
        <f aca="false">+BP17-BL17</f>
        <v>0</v>
      </c>
      <c r="BR17" s="126" t="n">
        <f aca="false">BR16+BQ17</f>
        <v>0</v>
      </c>
      <c r="BS17" s="127"/>
      <c r="BT17" s="127"/>
      <c r="BU17" s="127"/>
      <c r="BV17" s="127"/>
      <c r="BW17" s="127" t="n">
        <f aca="false">SUM(BT17:BV17)</f>
        <v>0</v>
      </c>
      <c r="BX17" s="128" t="n">
        <f aca="false">+BW17-BS17</f>
        <v>0</v>
      </c>
      <c r="BY17" s="126" t="n">
        <f aca="false">BY16+BX17</f>
        <v>0</v>
      </c>
      <c r="BZ17" s="127"/>
      <c r="CA17" s="127"/>
      <c r="CB17" s="127"/>
      <c r="CC17" s="127"/>
      <c r="CD17" s="127" t="n">
        <f aca="false">SUM(CA17:CC17)</f>
        <v>0</v>
      </c>
      <c r="CE17" s="128" t="n">
        <f aca="false">+CD17-BZ17</f>
        <v>0</v>
      </c>
      <c r="CF17" s="126" t="n">
        <f aca="false">CF16+CE17</f>
        <v>0</v>
      </c>
      <c r="CG17" s="127"/>
      <c r="CH17" s="127"/>
      <c r="CI17" s="127"/>
      <c r="CJ17" s="127"/>
      <c r="CK17" s="127" t="n">
        <f aca="false">SUM(CH17:CJ17)</f>
        <v>0</v>
      </c>
      <c r="CL17" s="128" t="n">
        <f aca="false">+CK17-CG17</f>
        <v>0</v>
      </c>
      <c r="CM17" s="126" t="n">
        <f aca="false">CM16+CL17</f>
        <v>0</v>
      </c>
      <c r="CN17" s="70" t="n">
        <f aca="false">+C17+O17+V17+AC17+AJ17+AQ17+AX17+BE17+BL17+BS17+BZ17+CG17</f>
        <v>25341</v>
      </c>
      <c r="CO17" s="70" t="n">
        <f aca="false">+L17+S17+Z17+AG17+AN17+AU17+BB17+BI17+BP17+BW17+CD17+CK17</f>
        <v>20594</v>
      </c>
      <c r="CP17" s="70" t="n">
        <f aca="false">CO17-CN17</f>
        <v>-4747</v>
      </c>
      <c r="CQ17" s="126" t="n">
        <f aca="false">CQ16+CP17</f>
        <v>224965</v>
      </c>
      <c r="CR17" s="74"/>
      <c r="CS17" s="74"/>
      <c r="CT17" s="75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</row>
    <row r="18" customFormat="false" ht="12.75" hidden="false" customHeight="false" outlineLevel="0" collapsed="false">
      <c r="A18" s="69" t="n">
        <f aca="false">+BaseloadMarkets!A18</f>
        <v>36690</v>
      </c>
      <c r="B18" s="69" t="str">
        <f aca="false">+BaseloadMarkets!B18</f>
        <v>Tues</v>
      </c>
      <c r="C18" s="22" t="n">
        <v>16268</v>
      </c>
      <c r="D18" s="22" t="n">
        <v>0</v>
      </c>
      <c r="E18" s="22" t="n">
        <v>2997</v>
      </c>
      <c r="F18" s="22" t="n">
        <v>1000</v>
      </c>
      <c r="G18" s="22" t="n">
        <f aca="false">2143+198</f>
        <v>2341</v>
      </c>
      <c r="H18" s="122" t="n">
        <f aca="false">+Border!AD16</f>
        <v>0</v>
      </c>
      <c r="I18" s="22"/>
      <c r="J18" s="22"/>
      <c r="K18" s="22"/>
      <c r="L18" s="123" t="n">
        <f aca="false">SUM(D18:K18)</f>
        <v>6338</v>
      </c>
      <c r="M18" s="70" t="n">
        <f aca="false">+L18-C18</f>
        <v>-9930</v>
      </c>
      <c r="N18" s="70" t="n">
        <f aca="false">N17+M18</f>
        <v>62351</v>
      </c>
      <c r="O18" s="22" t="n">
        <v>1569</v>
      </c>
      <c r="P18" s="22" t="n">
        <v>0</v>
      </c>
      <c r="Q18" s="22"/>
      <c r="R18" s="22"/>
      <c r="S18" s="124" t="n">
        <f aca="false">SUM(P18:R18)</f>
        <v>0</v>
      </c>
      <c r="T18" s="70" t="n">
        <f aca="false">+S18-O18</f>
        <v>-1569</v>
      </c>
      <c r="U18" s="70" t="n">
        <f aca="false">U17+T18</f>
        <v>-968</v>
      </c>
      <c r="V18" s="22" t="n">
        <v>1165</v>
      </c>
      <c r="W18" s="22" t="n">
        <v>0</v>
      </c>
      <c r="X18" s="22"/>
      <c r="Y18" s="22"/>
      <c r="Z18" s="123" t="n">
        <f aca="false">SUM(W18:Y18)</f>
        <v>0</v>
      </c>
      <c r="AA18" s="70" t="n">
        <f aca="false">+Z18-V18</f>
        <v>-1165</v>
      </c>
      <c r="AB18" s="74" t="n">
        <f aca="false">+AB17+AA18</f>
        <v>7572</v>
      </c>
      <c r="AC18" s="122" t="n">
        <v>155</v>
      </c>
      <c r="AD18" s="122" t="n">
        <v>0</v>
      </c>
      <c r="AE18" s="122"/>
      <c r="AF18" s="122"/>
      <c r="AG18" s="122" t="n">
        <f aca="false">SUM(AD18:AF18)</f>
        <v>0</v>
      </c>
      <c r="AH18" s="125" t="n">
        <f aca="false">+AG18-AC18</f>
        <v>-155</v>
      </c>
      <c r="AI18" s="126" t="n">
        <f aca="false">AI17+AH18</f>
        <v>2068</v>
      </c>
      <c r="AJ18" s="122" t="n">
        <v>9192</v>
      </c>
      <c r="AK18" s="122" t="n">
        <v>2693</v>
      </c>
      <c r="AL18" s="122" t="n">
        <v>987</v>
      </c>
      <c r="AM18" s="122" t="n">
        <f aca="false">2600+1400</f>
        <v>4000</v>
      </c>
      <c r="AN18" s="122" t="n">
        <f aca="false">SUM(AK18:AM18)</f>
        <v>7680</v>
      </c>
      <c r="AO18" s="125" t="n">
        <f aca="false">+AN18-AJ18</f>
        <v>-1512</v>
      </c>
      <c r="AP18" s="126" t="n">
        <f aca="false">AP17+AO18</f>
        <v>133743</v>
      </c>
      <c r="AQ18" s="122" t="n">
        <v>0</v>
      </c>
      <c r="AR18" s="122" t="n">
        <v>0</v>
      </c>
      <c r="AS18" s="122"/>
      <c r="AT18" s="122"/>
      <c r="AU18" s="122" t="n">
        <f aca="false">SUM(AR18:AT18)</f>
        <v>0</v>
      </c>
      <c r="AV18" s="125" t="n">
        <f aca="false">+AU18-AQ18</f>
        <v>0</v>
      </c>
      <c r="AW18" s="126" t="n">
        <f aca="false">AW17+AV18</f>
        <v>0</v>
      </c>
      <c r="AX18" s="122" t="n">
        <v>197</v>
      </c>
      <c r="AY18" s="122" t="n">
        <v>0</v>
      </c>
      <c r="AZ18" s="122"/>
      <c r="BA18" s="122"/>
      <c r="BB18" s="122" t="n">
        <f aca="false">SUM(AY18:BA18)</f>
        <v>0</v>
      </c>
      <c r="BC18" s="125" t="n">
        <f aca="false">+BB18-AX18</f>
        <v>-197</v>
      </c>
      <c r="BD18" s="126" t="n">
        <f aca="false">BD17+BC18</f>
        <v>2437</v>
      </c>
      <c r="BE18" s="122" t="n">
        <v>309</v>
      </c>
      <c r="BF18" s="122" t="n">
        <v>0</v>
      </c>
      <c r="BG18" s="122"/>
      <c r="BH18" s="122"/>
      <c r="BI18" s="122" t="n">
        <f aca="false">SUM(BF18:BH18)</f>
        <v>0</v>
      </c>
      <c r="BJ18" s="125" t="n">
        <f aca="false">+BI18-BE18</f>
        <v>-309</v>
      </c>
      <c r="BK18" s="126" t="n">
        <f aca="false">BK17+BJ18</f>
        <v>2925</v>
      </c>
      <c r="BL18" s="127"/>
      <c r="BM18" s="127"/>
      <c r="BN18" s="127"/>
      <c r="BO18" s="127"/>
      <c r="BP18" s="127" t="n">
        <f aca="false">SUM(BM18:BO18)</f>
        <v>0</v>
      </c>
      <c r="BQ18" s="128" t="n">
        <f aca="false">+BP18-BL18</f>
        <v>0</v>
      </c>
      <c r="BR18" s="126" t="n">
        <f aca="false">BR17+BQ18</f>
        <v>0</v>
      </c>
      <c r="BS18" s="127"/>
      <c r="BT18" s="127"/>
      <c r="BU18" s="127"/>
      <c r="BV18" s="127"/>
      <c r="BW18" s="127" t="n">
        <f aca="false">SUM(BT18:BV18)</f>
        <v>0</v>
      </c>
      <c r="BX18" s="128" t="n">
        <f aca="false">+BW18-BS18</f>
        <v>0</v>
      </c>
      <c r="BY18" s="126" t="n">
        <f aca="false">BY17+BX18</f>
        <v>0</v>
      </c>
      <c r="BZ18" s="127"/>
      <c r="CA18" s="127"/>
      <c r="CB18" s="127"/>
      <c r="CC18" s="127"/>
      <c r="CD18" s="127" t="n">
        <f aca="false">SUM(CA18:CC18)</f>
        <v>0</v>
      </c>
      <c r="CE18" s="128" t="n">
        <f aca="false">+CD18-BZ18</f>
        <v>0</v>
      </c>
      <c r="CF18" s="126" t="n">
        <f aca="false">CF17+CE18</f>
        <v>0</v>
      </c>
      <c r="CG18" s="127"/>
      <c r="CH18" s="127"/>
      <c r="CI18" s="127"/>
      <c r="CJ18" s="127"/>
      <c r="CK18" s="127" t="n">
        <f aca="false">SUM(CH18:CJ18)</f>
        <v>0</v>
      </c>
      <c r="CL18" s="128" t="n">
        <f aca="false">+CK18-CG18</f>
        <v>0</v>
      </c>
      <c r="CM18" s="126" t="n">
        <f aca="false">CM17+CL18</f>
        <v>0</v>
      </c>
      <c r="CN18" s="70" t="n">
        <f aca="false">+C18+O18+V18+AC18+AJ18+AQ18+AX18+BE18+BL18+BS18+BZ18+CG18</f>
        <v>28855</v>
      </c>
      <c r="CO18" s="70" t="n">
        <f aca="false">+L18+S18+Z18+AG18+AN18+AU18+BB18+BI18+BP18+BW18+CD18+CK18</f>
        <v>14018</v>
      </c>
      <c r="CP18" s="70" t="n">
        <f aca="false">CO18-CN18</f>
        <v>-14837</v>
      </c>
      <c r="CQ18" s="126" t="n">
        <f aca="false">CQ17+CP18</f>
        <v>210128</v>
      </c>
      <c r="CR18" s="74"/>
      <c r="CS18" s="74"/>
      <c r="CT18" s="75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</row>
    <row r="19" customFormat="false" ht="12.75" hidden="false" customHeight="false" outlineLevel="0" collapsed="false">
      <c r="A19" s="69" t="n">
        <f aca="false">+BaseloadMarkets!A19</f>
        <v>36691</v>
      </c>
      <c r="B19" s="69" t="str">
        <f aca="false">+BaseloadMarkets!B19</f>
        <v>Wed</v>
      </c>
      <c r="C19" s="22" t="n">
        <v>19529</v>
      </c>
      <c r="D19" s="22" t="n">
        <v>2953</v>
      </c>
      <c r="E19" s="22" t="n">
        <v>2997</v>
      </c>
      <c r="F19" s="22" t="n">
        <v>1000</v>
      </c>
      <c r="G19" s="22" t="n">
        <v>2341</v>
      </c>
      <c r="H19" s="122" t="n">
        <f aca="false">+Border!AD17</f>
        <v>0</v>
      </c>
      <c r="I19" s="22"/>
      <c r="J19" s="22"/>
      <c r="K19" s="22"/>
      <c r="L19" s="123" t="n">
        <f aca="false">SUM(D19:K19)</f>
        <v>9291</v>
      </c>
      <c r="M19" s="70" t="n">
        <f aca="false">+L19-C19</f>
        <v>-10238</v>
      </c>
      <c r="N19" s="70" t="n">
        <f aca="false">N18+M19</f>
        <v>52113</v>
      </c>
      <c r="O19" s="22" t="n">
        <v>1605</v>
      </c>
      <c r="P19" s="22" t="n">
        <v>1079</v>
      </c>
      <c r="Q19" s="22"/>
      <c r="R19" s="22"/>
      <c r="S19" s="124" t="n">
        <f aca="false">SUM(P19:R19)</f>
        <v>1079</v>
      </c>
      <c r="T19" s="70" t="n">
        <f aca="false">+S19-O19</f>
        <v>-526</v>
      </c>
      <c r="U19" s="70" t="n">
        <f aca="false">U18+T19</f>
        <v>-1494</v>
      </c>
      <c r="V19" s="22" t="n">
        <v>464</v>
      </c>
      <c r="W19" s="22" t="n">
        <v>1079</v>
      </c>
      <c r="X19" s="22"/>
      <c r="Y19" s="22"/>
      <c r="Z19" s="123" t="n">
        <f aca="false">SUM(W19:Y19)</f>
        <v>1079</v>
      </c>
      <c r="AA19" s="70" t="n">
        <f aca="false">+Z19-V19</f>
        <v>615</v>
      </c>
      <c r="AB19" s="74" t="n">
        <f aca="false">+AB18+AA19</f>
        <v>8187</v>
      </c>
      <c r="AC19" s="122" t="n">
        <v>176</v>
      </c>
      <c r="AD19" s="122" t="n">
        <v>0</v>
      </c>
      <c r="AE19" s="122"/>
      <c r="AF19" s="122"/>
      <c r="AG19" s="122" t="n">
        <f aca="false">SUM(AD19:AF19)</f>
        <v>0</v>
      </c>
      <c r="AH19" s="125" t="n">
        <f aca="false">+AG19-AC19</f>
        <v>-176</v>
      </c>
      <c r="AI19" s="126" t="n">
        <f aca="false">AI18+AH19</f>
        <v>1892</v>
      </c>
      <c r="AJ19" s="122" t="n">
        <v>9556</v>
      </c>
      <c r="AK19" s="122" t="n">
        <v>4316</v>
      </c>
      <c r="AL19" s="122" t="n">
        <v>987</v>
      </c>
      <c r="AM19" s="122" t="n">
        <f aca="false">2600+1400</f>
        <v>4000</v>
      </c>
      <c r="AN19" s="122" t="n">
        <f aca="false">SUM(AK19:AM19)</f>
        <v>9303</v>
      </c>
      <c r="AO19" s="125" t="n">
        <f aca="false">+AN19-AJ19</f>
        <v>-253</v>
      </c>
      <c r="AP19" s="126" t="n">
        <f aca="false">AP18+AO19</f>
        <v>133490</v>
      </c>
      <c r="AQ19" s="122" t="n">
        <v>0</v>
      </c>
      <c r="AR19" s="122" t="n">
        <v>0</v>
      </c>
      <c r="AS19" s="122"/>
      <c r="AT19" s="122"/>
      <c r="AU19" s="122" t="n">
        <f aca="false">SUM(AR19:AT19)</f>
        <v>0</v>
      </c>
      <c r="AV19" s="125" t="n">
        <f aca="false">+AU19-AQ19</f>
        <v>0</v>
      </c>
      <c r="AW19" s="126" t="n">
        <f aca="false">AW18+AV19</f>
        <v>0</v>
      </c>
      <c r="AX19" s="122" t="n">
        <v>200</v>
      </c>
      <c r="AY19" s="122" t="n">
        <v>0</v>
      </c>
      <c r="AZ19" s="122"/>
      <c r="BA19" s="122"/>
      <c r="BB19" s="122" t="n">
        <f aca="false">SUM(AY19:BA19)</f>
        <v>0</v>
      </c>
      <c r="BC19" s="125" t="n">
        <f aca="false">+BB19-AX19</f>
        <v>-200</v>
      </c>
      <c r="BD19" s="126" t="n">
        <f aca="false">BD18+BC19</f>
        <v>2237</v>
      </c>
      <c r="BE19" s="122" t="n">
        <v>277</v>
      </c>
      <c r="BF19" s="122" t="n">
        <v>0</v>
      </c>
      <c r="BG19" s="122"/>
      <c r="BH19" s="122"/>
      <c r="BI19" s="122" t="n">
        <f aca="false">SUM(BF19:BH19)</f>
        <v>0</v>
      </c>
      <c r="BJ19" s="125" t="n">
        <f aca="false">+BI19-BE19</f>
        <v>-277</v>
      </c>
      <c r="BK19" s="126" t="n">
        <f aca="false">BK18+BJ19</f>
        <v>2648</v>
      </c>
      <c r="BL19" s="127"/>
      <c r="BM19" s="127"/>
      <c r="BN19" s="127"/>
      <c r="BO19" s="127"/>
      <c r="BP19" s="127" t="n">
        <f aca="false">SUM(BM19:BO19)</f>
        <v>0</v>
      </c>
      <c r="BQ19" s="128" t="n">
        <f aca="false">+BP19-BL19</f>
        <v>0</v>
      </c>
      <c r="BR19" s="126" t="n">
        <f aca="false">BR18+BQ19</f>
        <v>0</v>
      </c>
      <c r="BS19" s="127"/>
      <c r="BT19" s="127"/>
      <c r="BU19" s="127"/>
      <c r="BV19" s="127"/>
      <c r="BW19" s="127" t="n">
        <f aca="false">SUM(BT19:BV19)</f>
        <v>0</v>
      </c>
      <c r="BX19" s="128" t="n">
        <f aca="false">+BW19-BS19</f>
        <v>0</v>
      </c>
      <c r="BY19" s="126" t="n">
        <f aca="false">BY18+BX19</f>
        <v>0</v>
      </c>
      <c r="BZ19" s="127"/>
      <c r="CA19" s="127"/>
      <c r="CB19" s="127"/>
      <c r="CC19" s="127"/>
      <c r="CD19" s="127" t="n">
        <f aca="false">SUM(CA19:CC19)</f>
        <v>0</v>
      </c>
      <c r="CE19" s="128" t="n">
        <f aca="false">+CD19-BZ19</f>
        <v>0</v>
      </c>
      <c r="CF19" s="126" t="n">
        <f aca="false">CF18+CE19</f>
        <v>0</v>
      </c>
      <c r="CG19" s="127"/>
      <c r="CH19" s="127"/>
      <c r="CI19" s="127"/>
      <c r="CJ19" s="127"/>
      <c r="CK19" s="127" t="n">
        <f aca="false">SUM(CH19:CJ19)</f>
        <v>0</v>
      </c>
      <c r="CL19" s="128" t="n">
        <f aca="false">+CK19-CG19</f>
        <v>0</v>
      </c>
      <c r="CM19" s="126" t="n">
        <f aca="false">CM18+CL19</f>
        <v>0</v>
      </c>
      <c r="CN19" s="70" t="n">
        <f aca="false">+C19+O19+V19+AC19+AJ19+AQ19+AX19+BE19+BL19+BS19+BZ19+CG19</f>
        <v>31807</v>
      </c>
      <c r="CO19" s="70" t="n">
        <f aca="false">+L19+S19+Z19+AG19+AN19+AU19+BB19+BI19+BP19+BW19+CD19+CK19</f>
        <v>20752</v>
      </c>
      <c r="CP19" s="70" t="n">
        <f aca="false">CO19-CN19</f>
        <v>-11055</v>
      </c>
      <c r="CQ19" s="126" t="n">
        <f aca="false">CQ18+CP19</f>
        <v>199073</v>
      </c>
      <c r="CR19" s="74"/>
      <c r="CS19" s="74"/>
      <c r="CT19" s="75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</row>
    <row r="20" customFormat="false" ht="12.75" hidden="false" customHeight="false" outlineLevel="0" collapsed="false">
      <c r="A20" s="69" t="n">
        <f aca="false">+BaseloadMarkets!A20</f>
        <v>36692</v>
      </c>
      <c r="B20" s="69" t="str">
        <f aca="false">+BaseloadMarkets!B20</f>
        <v>Thu</v>
      </c>
      <c r="C20" s="22" t="n">
        <v>12735</v>
      </c>
      <c r="D20" s="22" t="n">
        <v>0</v>
      </c>
      <c r="E20" s="22" t="n">
        <v>2997</v>
      </c>
      <c r="F20" s="22" t="n">
        <v>1000</v>
      </c>
      <c r="G20" s="22" t="n">
        <v>2341</v>
      </c>
      <c r="H20" s="122" t="n">
        <f aca="false">+Border!AD18</f>
        <v>0</v>
      </c>
      <c r="I20" s="22"/>
      <c r="J20" s="22"/>
      <c r="K20" s="22"/>
      <c r="L20" s="123" t="n">
        <f aca="false">SUM(D20:K20)</f>
        <v>6338</v>
      </c>
      <c r="M20" s="70" t="n">
        <f aca="false">+L20-C20</f>
        <v>-6397</v>
      </c>
      <c r="N20" s="70" t="n">
        <f aca="false">N19+M20</f>
        <v>45716</v>
      </c>
      <c r="O20" s="22" t="n">
        <v>529</v>
      </c>
      <c r="P20" s="22" t="n">
        <v>0</v>
      </c>
      <c r="Q20" s="22"/>
      <c r="R20" s="22"/>
      <c r="S20" s="124" t="n">
        <f aca="false">SUM(P20:R20)</f>
        <v>0</v>
      </c>
      <c r="T20" s="70" t="n">
        <f aca="false">+S20-O20</f>
        <v>-529</v>
      </c>
      <c r="U20" s="70" t="n">
        <f aca="false">U19+T20</f>
        <v>-2023</v>
      </c>
      <c r="V20" s="22" t="n">
        <v>1146</v>
      </c>
      <c r="W20" s="22" t="n">
        <v>0</v>
      </c>
      <c r="X20" s="22"/>
      <c r="Y20" s="22"/>
      <c r="Z20" s="123" t="n">
        <f aca="false">SUM(W20:Y20)</f>
        <v>0</v>
      </c>
      <c r="AA20" s="70" t="n">
        <f aca="false">+Z20-V20</f>
        <v>-1146</v>
      </c>
      <c r="AB20" s="74" t="n">
        <f aca="false">+AB19+AA20</f>
        <v>7041</v>
      </c>
      <c r="AC20" s="122" t="n">
        <v>167</v>
      </c>
      <c r="AD20" s="122" t="n">
        <v>0</v>
      </c>
      <c r="AE20" s="122"/>
      <c r="AF20" s="122"/>
      <c r="AG20" s="122" t="n">
        <f aca="false">SUM(AD20:AF20)</f>
        <v>0</v>
      </c>
      <c r="AH20" s="125" t="n">
        <f aca="false">+AG20-AC20</f>
        <v>-167</v>
      </c>
      <c r="AI20" s="126" t="n">
        <f aca="false">AI19+AH20</f>
        <v>1725</v>
      </c>
      <c r="AJ20" s="122" t="n">
        <v>9602</v>
      </c>
      <c r="AK20" s="122" t="n">
        <v>0</v>
      </c>
      <c r="AL20" s="122" t="n">
        <v>987</v>
      </c>
      <c r="AM20" s="122" t="n">
        <f aca="false">2600+1400</f>
        <v>4000</v>
      </c>
      <c r="AN20" s="122" t="n">
        <f aca="false">SUM(AK20:AM20)</f>
        <v>4987</v>
      </c>
      <c r="AO20" s="125" t="n">
        <f aca="false">+AN20-AJ20</f>
        <v>-4615</v>
      </c>
      <c r="AP20" s="126" t="n">
        <f aca="false">AP19+AO20</f>
        <v>128875</v>
      </c>
      <c r="AQ20" s="122" t="n">
        <v>0</v>
      </c>
      <c r="AR20" s="122" t="n">
        <v>0</v>
      </c>
      <c r="AS20" s="122"/>
      <c r="AT20" s="122"/>
      <c r="AU20" s="122" t="n">
        <f aca="false">SUM(AR20:AT20)</f>
        <v>0</v>
      </c>
      <c r="AV20" s="125" t="n">
        <f aca="false">+AU20-AQ20</f>
        <v>0</v>
      </c>
      <c r="AW20" s="126" t="n">
        <f aca="false">AW19+AV20</f>
        <v>0</v>
      </c>
      <c r="AX20" s="122" t="n">
        <v>202</v>
      </c>
      <c r="AY20" s="122" t="n">
        <v>0</v>
      </c>
      <c r="AZ20" s="122"/>
      <c r="BA20" s="122"/>
      <c r="BB20" s="122" t="n">
        <f aca="false">SUM(AY20:BA20)</f>
        <v>0</v>
      </c>
      <c r="BC20" s="125" t="n">
        <f aca="false">+BB20-AX20</f>
        <v>-202</v>
      </c>
      <c r="BD20" s="126" t="n">
        <f aca="false">BD19+BC20</f>
        <v>2035</v>
      </c>
      <c r="BE20" s="122" t="n">
        <v>293</v>
      </c>
      <c r="BF20" s="122" t="n">
        <v>0</v>
      </c>
      <c r="BG20" s="122"/>
      <c r="BH20" s="122"/>
      <c r="BI20" s="122" t="n">
        <f aca="false">SUM(BF20:BH20)</f>
        <v>0</v>
      </c>
      <c r="BJ20" s="125" t="n">
        <f aca="false">+BI20-BE20</f>
        <v>-293</v>
      </c>
      <c r="BK20" s="126" t="n">
        <f aca="false">BK19+BJ20</f>
        <v>2355</v>
      </c>
      <c r="BL20" s="127"/>
      <c r="BM20" s="127"/>
      <c r="BN20" s="127"/>
      <c r="BO20" s="127"/>
      <c r="BP20" s="127" t="n">
        <f aca="false">SUM(BM20:BO20)</f>
        <v>0</v>
      </c>
      <c r="BQ20" s="128" t="n">
        <f aca="false">+BP20-BL20</f>
        <v>0</v>
      </c>
      <c r="BR20" s="126" t="n">
        <f aca="false">BR19+BQ20</f>
        <v>0</v>
      </c>
      <c r="BS20" s="127"/>
      <c r="BT20" s="127"/>
      <c r="BU20" s="127"/>
      <c r="BV20" s="127"/>
      <c r="BW20" s="127" t="n">
        <f aca="false">SUM(BT20:BV20)</f>
        <v>0</v>
      </c>
      <c r="BX20" s="128" t="n">
        <f aca="false">+BW20-BS20</f>
        <v>0</v>
      </c>
      <c r="BY20" s="126" t="n">
        <f aca="false">BY19+BX20</f>
        <v>0</v>
      </c>
      <c r="BZ20" s="127"/>
      <c r="CA20" s="127"/>
      <c r="CB20" s="127"/>
      <c r="CC20" s="127"/>
      <c r="CD20" s="127" t="n">
        <f aca="false">SUM(CA20:CC20)</f>
        <v>0</v>
      </c>
      <c r="CE20" s="128" t="n">
        <f aca="false">+CD20-BZ20</f>
        <v>0</v>
      </c>
      <c r="CF20" s="126" t="n">
        <f aca="false">CF19+CE20</f>
        <v>0</v>
      </c>
      <c r="CG20" s="127"/>
      <c r="CH20" s="127"/>
      <c r="CI20" s="127"/>
      <c r="CJ20" s="127"/>
      <c r="CK20" s="127" t="n">
        <f aca="false">SUM(CH20:CJ20)</f>
        <v>0</v>
      </c>
      <c r="CL20" s="128" t="n">
        <f aca="false">+CK20-CG20</f>
        <v>0</v>
      </c>
      <c r="CM20" s="126" t="n">
        <f aca="false">CM19+CL20</f>
        <v>0</v>
      </c>
      <c r="CN20" s="70" t="n">
        <f aca="false">+C20+O20+V20+AC20+AJ20+AQ20+AX20+BE20+BL20+BS20+BZ20+CG20</f>
        <v>24674</v>
      </c>
      <c r="CO20" s="70" t="n">
        <f aca="false">+L20+S20+Z20+AG20+AN20+AU20+BB20+BI20+BP20+BW20+CD20+CK20</f>
        <v>11325</v>
      </c>
      <c r="CP20" s="70" t="n">
        <f aca="false">CO20-CN20</f>
        <v>-13349</v>
      </c>
      <c r="CQ20" s="126" t="n">
        <f aca="false">CQ19+CP20</f>
        <v>185724</v>
      </c>
      <c r="CR20" s="74"/>
      <c r="CS20" s="74"/>
      <c r="CT20" s="75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</row>
    <row r="21" customFormat="false" ht="12.75" hidden="false" customHeight="false" outlineLevel="0" collapsed="false">
      <c r="A21" s="69" t="n">
        <f aca="false">+BaseloadMarkets!A21</f>
        <v>36693</v>
      </c>
      <c r="B21" s="69" t="str">
        <f aca="false">+BaseloadMarkets!B21</f>
        <v>Fri</v>
      </c>
      <c r="C21" s="22" t="n">
        <v>11022</v>
      </c>
      <c r="D21" s="22" t="n">
        <v>0</v>
      </c>
      <c r="E21" s="22" t="n">
        <f aca="false">2000+997</f>
        <v>2997</v>
      </c>
      <c r="F21" s="22" t="n">
        <v>1000</v>
      </c>
      <c r="G21" s="22"/>
      <c r="H21" s="122" t="n">
        <f aca="false">+Border!AD19</f>
        <v>0</v>
      </c>
      <c r="I21" s="22"/>
      <c r="J21" s="22"/>
      <c r="K21" s="22"/>
      <c r="L21" s="123" t="n">
        <f aca="false">SUM(D21:K21)</f>
        <v>3997</v>
      </c>
      <c r="M21" s="70" t="n">
        <f aca="false">+L21-C21</f>
        <v>-7025</v>
      </c>
      <c r="N21" s="70" t="n">
        <f aca="false">N20+M21</f>
        <v>38691</v>
      </c>
      <c r="O21" s="22" t="n">
        <v>1137</v>
      </c>
      <c r="P21" s="22" t="n">
        <v>0</v>
      </c>
      <c r="Q21" s="22"/>
      <c r="R21" s="22"/>
      <c r="S21" s="124" t="n">
        <f aca="false">SUM(P21:R21)</f>
        <v>0</v>
      </c>
      <c r="T21" s="70" t="n">
        <f aca="false">+S21-O21</f>
        <v>-1137</v>
      </c>
      <c r="U21" s="70" t="n">
        <f aca="false">U20+T21</f>
        <v>-3160</v>
      </c>
      <c r="V21" s="22" t="n">
        <v>765</v>
      </c>
      <c r="W21" s="22" t="n">
        <v>0</v>
      </c>
      <c r="X21" s="22"/>
      <c r="Y21" s="22"/>
      <c r="Z21" s="123" t="n">
        <f aca="false">SUM(W21:Y21)</f>
        <v>0</v>
      </c>
      <c r="AA21" s="70" t="n">
        <f aca="false">+Z21-V21</f>
        <v>-765</v>
      </c>
      <c r="AB21" s="74" t="n">
        <f aca="false">+AB20+AA21</f>
        <v>6276</v>
      </c>
      <c r="AC21" s="122" t="n">
        <v>165</v>
      </c>
      <c r="AD21" s="122" t="n">
        <v>0</v>
      </c>
      <c r="AE21" s="122"/>
      <c r="AF21" s="122"/>
      <c r="AG21" s="122" t="n">
        <f aca="false">SUM(AD21:AF21)</f>
        <v>0</v>
      </c>
      <c r="AH21" s="125" t="n">
        <f aca="false">+AG21-AC21</f>
        <v>-165</v>
      </c>
      <c r="AI21" s="126" t="n">
        <f aca="false">AI20+AH21</f>
        <v>1560</v>
      </c>
      <c r="AJ21" s="122" t="n">
        <v>9309</v>
      </c>
      <c r="AK21" s="122" t="n">
        <v>0</v>
      </c>
      <c r="AL21" s="122" t="n">
        <v>987</v>
      </c>
      <c r="AM21" s="122" t="n">
        <v>0</v>
      </c>
      <c r="AN21" s="122" t="n">
        <v>987</v>
      </c>
      <c r="AO21" s="125" t="n">
        <f aca="false">+AN21-AJ21</f>
        <v>-8322</v>
      </c>
      <c r="AP21" s="126" t="n">
        <f aca="false">AP20+AO21</f>
        <v>120553</v>
      </c>
      <c r="AQ21" s="122" t="n">
        <v>0</v>
      </c>
      <c r="AR21" s="122" t="n">
        <v>0</v>
      </c>
      <c r="AS21" s="122"/>
      <c r="AT21" s="122"/>
      <c r="AU21" s="122" t="n">
        <f aca="false">SUM(AR21:AT21)</f>
        <v>0</v>
      </c>
      <c r="AV21" s="125" t="n">
        <f aca="false">+AU21-AQ21</f>
        <v>0</v>
      </c>
      <c r="AW21" s="126" t="n">
        <f aca="false">AW20+AV21</f>
        <v>0</v>
      </c>
      <c r="AX21" s="122" t="n">
        <v>205</v>
      </c>
      <c r="AY21" s="122" t="n">
        <v>0</v>
      </c>
      <c r="AZ21" s="122"/>
      <c r="BA21" s="122"/>
      <c r="BB21" s="122" t="n">
        <f aca="false">SUM(AY21:BA21)</f>
        <v>0</v>
      </c>
      <c r="BC21" s="125" t="n">
        <f aca="false">+BB21-AX21</f>
        <v>-205</v>
      </c>
      <c r="BD21" s="126" t="n">
        <f aca="false">BD20+BC21</f>
        <v>1830</v>
      </c>
      <c r="BE21" s="122" t="n">
        <v>301</v>
      </c>
      <c r="BF21" s="122" t="n">
        <v>0</v>
      </c>
      <c r="BG21" s="122"/>
      <c r="BH21" s="122"/>
      <c r="BI21" s="122" t="n">
        <f aca="false">SUM(BF21:BH21)</f>
        <v>0</v>
      </c>
      <c r="BJ21" s="125" t="n">
        <f aca="false">+BI21-BE21</f>
        <v>-301</v>
      </c>
      <c r="BK21" s="126" t="n">
        <f aca="false">BK20+BJ21</f>
        <v>2054</v>
      </c>
      <c r="BL21" s="127"/>
      <c r="BM21" s="127"/>
      <c r="BN21" s="127"/>
      <c r="BO21" s="127"/>
      <c r="BP21" s="127" t="n">
        <f aca="false">SUM(BM21:BO21)</f>
        <v>0</v>
      </c>
      <c r="BQ21" s="128" t="n">
        <f aca="false">+BP21-BL21</f>
        <v>0</v>
      </c>
      <c r="BR21" s="126" t="n">
        <f aca="false">BR20+BQ21</f>
        <v>0</v>
      </c>
      <c r="BS21" s="127"/>
      <c r="BT21" s="127"/>
      <c r="BU21" s="127"/>
      <c r="BV21" s="127"/>
      <c r="BW21" s="127" t="n">
        <f aca="false">SUM(BT21:BV21)</f>
        <v>0</v>
      </c>
      <c r="BX21" s="128" t="n">
        <f aca="false">+BW21-BS21</f>
        <v>0</v>
      </c>
      <c r="BY21" s="126" t="n">
        <f aca="false">BY20+BX21</f>
        <v>0</v>
      </c>
      <c r="BZ21" s="127"/>
      <c r="CA21" s="127"/>
      <c r="CB21" s="127"/>
      <c r="CC21" s="127"/>
      <c r="CD21" s="127" t="n">
        <f aca="false">SUM(CA21:CC21)</f>
        <v>0</v>
      </c>
      <c r="CE21" s="128" t="n">
        <f aca="false">+CD21-BZ21</f>
        <v>0</v>
      </c>
      <c r="CF21" s="126" t="n">
        <f aca="false">CF20+CE21</f>
        <v>0</v>
      </c>
      <c r="CG21" s="127"/>
      <c r="CH21" s="127"/>
      <c r="CI21" s="127"/>
      <c r="CJ21" s="127"/>
      <c r="CK21" s="127" t="n">
        <f aca="false">SUM(CH21:CJ21)</f>
        <v>0</v>
      </c>
      <c r="CL21" s="128" t="n">
        <f aca="false">+CK21-CG21</f>
        <v>0</v>
      </c>
      <c r="CM21" s="126" t="n">
        <f aca="false">CM20+CL21</f>
        <v>0</v>
      </c>
      <c r="CN21" s="70" t="n">
        <f aca="false">+C21+O21+V21+AC21+AJ21+AQ21+AX21+BE21+BL21+BS21+BZ21+CG21</f>
        <v>22904</v>
      </c>
      <c r="CO21" s="70" t="n">
        <f aca="false">+L21+S21+Z21+AG21+AN21+AU21+BB21+BI21+BP21+BW21+CD21+CK21</f>
        <v>4984</v>
      </c>
      <c r="CP21" s="70" t="n">
        <f aca="false">CO21-CN21</f>
        <v>-17920</v>
      </c>
      <c r="CQ21" s="126" t="n">
        <f aca="false">CQ20+CP21</f>
        <v>167804</v>
      </c>
      <c r="CR21" s="74"/>
      <c r="CS21" s="74"/>
      <c r="CT21" s="75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</row>
    <row r="22" customFormat="false" ht="12.75" hidden="false" customHeight="false" outlineLevel="0" collapsed="false">
      <c r="A22" s="69" t="n">
        <f aca="false">+BaseloadMarkets!A22</f>
        <v>36694</v>
      </c>
      <c r="B22" s="69" t="str">
        <f aca="false">+BaseloadMarkets!B22</f>
        <v>Sat</v>
      </c>
      <c r="C22" s="22" t="n">
        <v>7208</v>
      </c>
      <c r="D22" s="22" t="n">
        <v>408</v>
      </c>
      <c r="E22" s="22" t="n">
        <v>2997</v>
      </c>
      <c r="F22" s="22" t="n">
        <v>1000</v>
      </c>
      <c r="G22" s="22"/>
      <c r="H22" s="122" t="n">
        <f aca="false">+Border!AD20</f>
        <v>0</v>
      </c>
      <c r="I22" s="22"/>
      <c r="J22" s="22"/>
      <c r="K22" s="22"/>
      <c r="L22" s="123" t="n">
        <f aca="false">SUM(D22:K22)</f>
        <v>4405</v>
      </c>
      <c r="M22" s="70" t="n">
        <f aca="false">+L22-C22</f>
        <v>-2803</v>
      </c>
      <c r="N22" s="70" t="n">
        <f aca="false">N21+M22</f>
        <v>35888</v>
      </c>
      <c r="O22" s="22" t="n">
        <v>1715</v>
      </c>
      <c r="P22" s="22" t="n">
        <v>408</v>
      </c>
      <c r="Q22" s="22"/>
      <c r="R22" s="22"/>
      <c r="S22" s="124" t="n">
        <f aca="false">SUM(P22:R22)</f>
        <v>408</v>
      </c>
      <c r="T22" s="70" t="n">
        <f aca="false">+S22-O22</f>
        <v>-1307</v>
      </c>
      <c r="U22" s="70" t="n">
        <f aca="false">U21+T22</f>
        <v>-4467</v>
      </c>
      <c r="V22" s="22" t="n">
        <v>1554</v>
      </c>
      <c r="W22" s="22" t="n">
        <v>285</v>
      </c>
      <c r="X22" s="22"/>
      <c r="Y22" s="22"/>
      <c r="Z22" s="123" t="n">
        <f aca="false">SUM(W22:Y22)</f>
        <v>285</v>
      </c>
      <c r="AA22" s="70" t="n">
        <f aca="false">+Z22-V22</f>
        <v>-1269</v>
      </c>
      <c r="AB22" s="74" t="n">
        <f aca="false">+AB21+AA22</f>
        <v>5007</v>
      </c>
      <c r="AC22" s="122" t="n">
        <v>177</v>
      </c>
      <c r="AD22" s="122" t="n">
        <v>0</v>
      </c>
      <c r="AE22" s="122"/>
      <c r="AF22" s="122"/>
      <c r="AG22" s="122" t="n">
        <f aca="false">SUM(AD22:AF22)</f>
        <v>0</v>
      </c>
      <c r="AH22" s="125" t="n">
        <f aca="false">+AG22-AC22</f>
        <v>-177</v>
      </c>
      <c r="AI22" s="126" t="n">
        <f aca="false">AI21+AH22</f>
        <v>1383</v>
      </c>
      <c r="AJ22" s="122" t="n">
        <v>8922</v>
      </c>
      <c r="AK22" s="122" t="n">
        <v>2000</v>
      </c>
      <c r="AL22" s="122" t="n">
        <v>987</v>
      </c>
      <c r="AM22" s="122" t="n">
        <v>0</v>
      </c>
      <c r="AN22" s="122" t="n">
        <f aca="false">SUM(AK22:AM22)</f>
        <v>2987</v>
      </c>
      <c r="AO22" s="125" t="n">
        <f aca="false">+AN22-AJ22</f>
        <v>-5935</v>
      </c>
      <c r="AP22" s="126" t="n">
        <f aca="false">AP21+AO22</f>
        <v>114618</v>
      </c>
      <c r="AQ22" s="122" t="n">
        <v>0</v>
      </c>
      <c r="AR22" s="122" t="n">
        <v>0</v>
      </c>
      <c r="AS22" s="122"/>
      <c r="AT22" s="122"/>
      <c r="AU22" s="122" t="n">
        <f aca="false">SUM(AR22:AT22)</f>
        <v>0</v>
      </c>
      <c r="AV22" s="125" t="n">
        <f aca="false">+AU22-AQ22</f>
        <v>0</v>
      </c>
      <c r="AW22" s="126" t="n">
        <f aca="false">AW21+AV22</f>
        <v>0</v>
      </c>
      <c r="AX22" s="122" t="n">
        <v>26</v>
      </c>
      <c r="AY22" s="122" t="n">
        <v>0</v>
      </c>
      <c r="AZ22" s="122"/>
      <c r="BA22" s="122"/>
      <c r="BB22" s="122" t="n">
        <f aca="false">SUM(AY22:BA22)</f>
        <v>0</v>
      </c>
      <c r="BC22" s="125" t="n">
        <f aca="false">+BB22-AX22</f>
        <v>-26</v>
      </c>
      <c r="BD22" s="126" t="n">
        <f aca="false">BD21+BC22</f>
        <v>1804</v>
      </c>
      <c r="BE22" s="122" t="n">
        <v>145</v>
      </c>
      <c r="BF22" s="122" t="n">
        <v>0</v>
      </c>
      <c r="BG22" s="122"/>
      <c r="BH22" s="122"/>
      <c r="BI22" s="122" t="n">
        <f aca="false">SUM(BF22:BH22)</f>
        <v>0</v>
      </c>
      <c r="BJ22" s="125" t="n">
        <f aca="false">+BI22-BE22</f>
        <v>-145</v>
      </c>
      <c r="BK22" s="126" t="n">
        <f aca="false">BK21+BJ22</f>
        <v>1909</v>
      </c>
      <c r="BL22" s="127"/>
      <c r="BM22" s="127"/>
      <c r="BN22" s="127"/>
      <c r="BO22" s="127"/>
      <c r="BP22" s="127" t="n">
        <f aca="false">SUM(BM22:BO22)</f>
        <v>0</v>
      </c>
      <c r="BQ22" s="128" t="n">
        <f aca="false">+BP22-BL22</f>
        <v>0</v>
      </c>
      <c r="BR22" s="126" t="n">
        <f aca="false">BR21+BQ22</f>
        <v>0</v>
      </c>
      <c r="BS22" s="127"/>
      <c r="BT22" s="127"/>
      <c r="BU22" s="127"/>
      <c r="BV22" s="127"/>
      <c r="BW22" s="127" t="n">
        <f aca="false">SUM(BT22:BV22)</f>
        <v>0</v>
      </c>
      <c r="BX22" s="128" t="n">
        <f aca="false">+BW22-BS22</f>
        <v>0</v>
      </c>
      <c r="BY22" s="126" t="n">
        <f aca="false">BY21+BX22</f>
        <v>0</v>
      </c>
      <c r="BZ22" s="127"/>
      <c r="CA22" s="127"/>
      <c r="CB22" s="127"/>
      <c r="CC22" s="127"/>
      <c r="CD22" s="127" t="n">
        <f aca="false">SUM(CA22:CC22)</f>
        <v>0</v>
      </c>
      <c r="CE22" s="128" t="n">
        <f aca="false">+CD22-BZ22</f>
        <v>0</v>
      </c>
      <c r="CF22" s="126" t="n">
        <f aca="false">CF21+CE22</f>
        <v>0</v>
      </c>
      <c r="CG22" s="127"/>
      <c r="CH22" s="127"/>
      <c r="CI22" s="127"/>
      <c r="CJ22" s="127"/>
      <c r="CK22" s="127" t="n">
        <f aca="false">SUM(CH22:CJ22)</f>
        <v>0</v>
      </c>
      <c r="CL22" s="128" t="n">
        <f aca="false">+CK22-CG22</f>
        <v>0</v>
      </c>
      <c r="CM22" s="126" t="n">
        <f aca="false">CM21+CL22</f>
        <v>0</v>
      </c>
      <c r="CN22" s="70" t="n">
        <f aca="false">+C22+O22+V22+AC22+AJ22+AQ22+AX22+BE22+BL22+BS22+BZ22+CG22</f>
        <v>19747</v>
      </c>
      <c r="CO22" s="70" t="n">
        <f aca="false">+L22+S22+Z22+AG22+AN22+AU22+BB22+BI22+BP22+BW22+CD22+CK22</f>
        <v>8085</v>
      </c>
      <c r="CP22" s="70" t="n">
        <f aca="false">CO22-CN22</f>
        <v>-11662</v>
      </c>
      <c r="CQ22" s="126" t="n">
        <f aca="false">CQ21+CP22</f>
        <v>156142</v>
      </c>
      <c r="CR22" s="74"/>
      <c r="CS22" s="74"/>
      <c r="CT22" s="75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</row>
    <row r="23" customFormat="false" ht="12.75" hidden="false" customHeight="false" outlineLevel="0" collapsed="false">
      <c r="A23" s="69" t="n">
        <f aca="false">+BaseloadMarkets!A23</f>
        <v>36695</v>
      </c>
      <c r="B23" s="69" t="str">
        <f aca="false">+BaseloadMarkets!B23</f>
        <v>Sun</v>
      </c>
      <c r="C23" s="22" t="n">
        <v>7458</v>
      </c>
      <c r="D23" s="22" t="n">
        <v>524</v>
      </c>
      <c r="E23" s="22" t="n">
        <v>2997</v>
      </c>
      <c r="F23" s="22" t="n">
        <v>1000</v>
      </c>
      <c r="G23" s="22"/>
      <c r="H23" s="122" t="n">
        <f aca="false">+Border!AD21</f>
        <v>0</v>
      </c>
      <c r="I23" s="22"/>
      <c r="J23" s="22"/>
      <c r="K23" s="22"/>
      <c r="L23" s="123" t="n">
        <f aca="false">SUM(D23:K23)</f>
        <v>4521</v>
      </c>
      <c r="M23" s="70" t="n">
        <f aca="false">+L23-C23</f>
        <v>-2937</v>
      </c>
      <c r="N23" s="70" t="n">
        <f aca="false">N22+M23</f>
        <v>32951</v>
      </c>
      <c r="O23" s="22" t="n">
        <v>1776</v>
      </c>
      <c r="P23" s="22" t="n">
        <v>524</v>
      </c>
      <c r="Q23" s="22"/>
      <c r="R23" s="22"/>
      <c r="S23" s="124" t="n">
        <f aca="false">SUM(P23:R23)</f>
        <v>524</v>
      </c>
      <c r="T23" s="70" t="n">
        <f aca="false">+S23-O23</f>
        <v>-1252</v>
      </c>
      <c r="U23" s="70" t="n">
        <f aca="false">U22+T23</f>
        <v>-5719</v>
      </c>
      <c r="V23" s="22" t="n">
        <v>1217</v>
      </c>
      <c r="W23" s="22" t="n">
        <v>367</v>
      </c>
      <c r="X23" s="22"/>
      <c r="Y23" s="22"/>
      <c r="Z23" s="123" t="n">
        <f aca="false">SUM(W23:Y23)</f>
        <v>367</v>
      </c>
      <c r="AA23" s="70" t="n">
        <f aca="false">+Z23-V23</f>
        <v>-850</v>
      </c>
      <c r="AB23" s="74" t="n">
        <f aca="false">+AB22+AA23</f>
        <v>4157</v>
      </c>
      <c r="AC23" s="122" t="n">
        <v>36</v>
      </c>
      <c r="AD23" s="122" t="n">
        <v>0</v>
      </c>
      <c r="AE23" s="122"/>
      <c r="AF23" s="122"/>
      <c r="AG23" s="122" t="n">
        <f aca="false">SUM(AD23:AF23)</f>
        <v>0</v>
      </c>
      <c r="AH23" s="125" t="n">
        <f aca="false">+AG23-AC23</f>
        <v>-36</v>
      </c>
      <c r="AI23" s="126" t="n">
        <f aca="false">AI22+AH23</f>
        <v>1347</v>
      </c>
      <c r="AJ23" s="122" t="n">
        <v>8958</v>
      </c>
      <c r="AK23" s="122" t="n">
        <v>2567</v>
      </c>
      <c r="AL23" s="122" t="n">
        <v>987</v>
      </c>
      <c r="AM23" s="122" t="n">
        <v>0</v>
      </c>
      <c r="AN23" s="122" t="n">
        <f aca="false">SUM(AK23:AM23)</f>
        <v>3554</v>
      </c>
      <c r="AO23" s="125" t="n">
        <f aca="false">+AN23-AJ23</f>
        <v>-5404</v>
      </c>
      <c r="AP23" s="126" t="n">
        <f aca="false">AP22+AO23</f>
        <v>109214</v>
      </c>
      <c r="AQ23" s="122" t="n">
        <v>0</v>
      </c>
      <c r="AR23" s="122" t="n">
        <v>0</v>
      </c>
      <c r="AS23" s="122"/>
      <c r="AT23" s="122"/>
      <c r="AU23" s="122" t="n">
        <f aca="false">SUM(AR23:AT23)</f>
        <v>0</v>
      </c>
      <c r="AV23" s="125" t="n">
        <f aca="false">+AU23-AQ23</f>
        <v>0</v>
      </c>
      <c r="AW23" s="126" t="n">
        <f aca="false">AW22+AV23</f>
        <v>0</v>
      </c>
      <c r="AX23" s="122" t="n">
        <v>0</v>
      </c>
      <c r="AY23" s="122" t="n">
        <v>0</v>
      </c>
      <c r="AZ23" s="122"/>
      <c r="BA23" s="122"/>
      <c r="BB23" s="122" t="n">
        <f aca="false">SUM(AY23:BA23)</f>
        <v>0</v>
      </c>
      <c r="BC23" s="125" t="n">
        <f aca="false">+BB23-AX23</f>
        <v>0</v>
      </c>
      <c r="BD23" s="126" t="n">
        <f aca="false">BD22+BC23</f>
        <v>1804</v>
      </c>
      <c r="BE23" s="122" t="n">
        <v>24</v>
      </c>
      <c r="BF23" s="122" t="n">
        <v>0</v>
      </c>
      <c r="BG23" s="122"/>
      <c r="BH23" s="122"/>
      <c r="BI23" s="122" t="n">
        <f aca="false">SUM(BF23:BH23)</f>
        <v>0</v>
      </c>
      <c r="BJ23" s="125" t="n">
        <f aca="false">+BI23-BE23</f>
        <v>-24</v>
      </c>
      <c r="BK23" s="126" t="n">
        <f aca="false">BK22+BJ23</f>
        <v>1885</v>
      </c>
      <c r="BL23" s="127"/>
      <c r="BM23" s="127"/>
      <c r="BN23" s="127"/>
      <c r="BO23" s="127"/>
      <c r="BP23" s="127" t="n">
        <f aca="false">SUM(BM23:BO23)</f>
        <v>0</v>
      </c>
      <c r="BQ23" s="128" t="n">
        <f aca="false">+BP23-BL23</f>
        <v>0</v>
      </c>
      <c r="BR23" s="126" t="n">
        <f aca="false">BR22+BQ23</f>
        <v>0</v>
      </c>
      <c r="BS23" s="127"/>
      <c r="BT23" s="127"/>
      <c r="BU23" s="127"/>
      <c r="BV23" s="127"/>
      <c r="BW23" s="127" t="n">
        <f aca="false">SUM(BT23:BV23)</f>
        <v>0</v>
      </c>
      <c r="BX23" s="128" t="n">
        <f aca="false">+BW23-BS23</f>
        <v>0</v>
      </c>
      <c r="BY23" s="126" t="n">
        <f aca="false">BY22+BX23</f>
        <v>0</v>
      </c>
      <c r="BZ23" s="127"/>
      <c r="CA23" s="127"/>
      <c r="CB23" s="127"/>
      <c r="CC23" s="127"/>
      <c r="CD23" s="127" t="n">
        <f aca="false">SUM(CA23:CC23)</f>
        <v>0</v>
      </c>
      <c r="CE23" s="128" t="n">
        <f aca="false">+CD23-BZ23</f>
        <v>0</v>
      </c>
      <c r="CF23" s="126" t="n">
        <f aca="false">CF22+CE23</f>
        <v>0</v>
      </c>
      <c r="CG23" s="127"/>
      <c r="CH23" s="127"/>
      <c r="CI23" s="127"/>
      <c r="CJ23" s="127"/>
      <c r="CK23" s="127" t="n">
        <f aca="false">SUM(CH23:CJ23)</f>
        <v>0</v>
      </c>
      <c r="CL23" s="128" t="n">
        <f aca="false">+CK23-CG23</f>
        <v>0</v>
      </c>
      <c r="CM23" s="126" t="n">
        <f aca="false">CM22+CL23</f>
        <v>0</v>
      </c>
      <c r="CN23" s="70" t="n">
        <f aca="false">+C23+O23+V23+AC23+AJ23+AQ23+AX23+BE23+BL23+BS23+BZ23+CG23</f>
        <v>19469</v>
      </c>
      <c r="CO23" s="70" t="n">
        <f aca="false">+L23+S23+Z23+AG23+AN23+AU23+BB23+BI23+BP23+BW23+CD23+CK23</f>
        <v>8966</v>
      </c>
      <c r="CP23" s="70" t="n">
        <f aca="false">CO23-CN23</f>
        <v>-10503</v>
      </c>
      <c r="CQ23" s="126" t="n">
        <f aca="false">CQ22+CP23</f>
        <v>145639</v>
      </c>
      <c r="CR23" s="74"/>
      <c r="CS23" s="74"/>
      <c r="CT23" s="75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</row>
    <row r="24" customFormat="false" ht="12.75" hidden="false" customHeight="false" outlineLevel="0" collapsed="false">
      <c r="A24" s="69" t="n">
        <f aca="false">+BaseloadMarkets!A24</f>
        <v>36696</v>
      </c>
      <c r="B24" s="69" t="str">
        <f aca="false">+BaseloadMarkets!B24</f>
        <v>Mon</v>
      </c>
      <c r="C24" s="22" t="n">
        <v>7180</v>
      </c>
      <c r="D24" s="22" t="n">
        <v>530</v>
      </c>
      <c r="E24" s="22" t="n">
        <v>2997</v>
      </c>
      <c r="F24" s="22" t="n">
        <v>1000</v>
      </c>
      <c r="G24" s="22"/>
      <c r="H24" s="122" t="n">
        <f aca="false">+Border!AD22</f>
        <v>0</v>
      </c>
      <c r="I24" s="22"/>
      <c r="J24" s="22"/>
      <c r="K24" s="22"/>
      <c r="L24" s="123" t="n">
        <f aca="false">SUM(D24:K24)</f>
        <v>4527</v>
      </c>
      <c r="M24" s="70" t="n">
        <f aca="false">+L24-C24</f>
        <v>-2653</v>
      </c>
      <c r="N24" s="70" t="n">
        <f aca="false">N23+M24</f>
        <v>30298</v>
      </c>
      <c r="O24" s="22" t="n">
        <v>1848</v>
      </c>
      <c r="P24" s="22" t="n">
        <v>530</v>
      </c>
      <c r="Q24" s="22"/>
      <c r="R24" s="22"/>
      <c r="S24" s="124" t="n">
        <f aca="false">SUM(P24:R24)</f>
        <v>530</v>
      </c>
      <c r="T24" s="70" t="n">
        <f aca="false">+S24-O24</f>
        <v>-1318</v>
      </c>
      <c r="U24" s="70" t="n">
        <f aca="false">U23+T24</f>
        <v>-7037</v>
      </c>
      <c r="V24" s="22" t="n">
        <v>784</v>
      </c>
      <c r="W24" s="22" t="n">
        <v>371</v>
      </c>
      <c r="X24" s="22"/>
      <c r="Y24" s="22"/>
      <c r="Z24" s="123" t="n">
        <f aca="false">SUM(W24:Y24)</f>
        <v>371</v>
      </c>
      <c r="AA24" s="70" t="n">
        <f aca="false">+Z24-V24</f>
        <v>-413</v>
      </c>
      <c r="AB24" s="74" t="n">
        <f aca="false">+AB23+AA24</f>
        <v>3744</v>
      </c>
      <c r="AC24" s="122" t="n">
        <v>98</v>
      </c>
      <c r="AD24" s="122" t="n">
        <v>0</v>
      </c>
      <c r="AE24" s="122"/>
      <c r="AF24" s="122"/>
      <c r="AG24" s="122" t="n">
        <f aca="false">SUM(AD24:AF24)</f>
        <v>0</v>
      </c>
      <c r="AH24" s="125" t="n">
        <f aca="false">+AG24-AC24</f>
        <v>-98</v>
      </c>
      <c r="AI24" s="126" t="n">
        <f aca="false">AI23+AH24</f>
        <v>1249</v>
      </c>
      <c r="AJ24" s="122" t="n">
        <v>9034</v>
      </c>
      <c r="AK24" s="122" t="n">
        <v>2595</v>
      </c>
      <c r="AL24" s="122" t="n">
        <v>987</v>
      </c>
      <c r="AM24" s="122" t="n">
        <v>0</v>
      </c>
      <c r="AN24" s="122" t="n">
        <f aca="false">SUM(AK24:AM24)</f>
        <v>3582</v>
      </c>
      <c r="AO24" s="125" t="n">
        <f aca="false">+AN24-AJ24</f>
        <v>-5452</v>
      </c>
      <c r="AP24" s="126" t="n">
        <f aca="false">AP23+AO24</f>
        <v>103762</v>
      </c>
      <c r="AQ24" s="122" t="n">
        <v>0</v>
      </c>
      <c r="AR24" s="122" t="n">
        <v>0</v>
      </c>
      <c r="AS24" s="122"/>
      <c r="AT24" s="122"/>
      <c r="AU24" s="122" t="n">
        <f aca="false">SUM(AR24:AT24)</f>
        <v>0</v>
      </c>
      <c r="AV24" s="125" t="n">
        <f aca="false">+AU24-AQ24</f>
        <v>0</v>
      </c>
      <c r="AW24" s="126" t="n">
        <f aca="false">AW23+AV24</f>
        <v>0</v>
      </c>
      <c r="AX24" s="122" t="n">
        <v>116</v>
      </c>
      <c r="AY24" s="122" t="n">
        <v>0</v>
      </c>
      <c r="AZ24" s="122"/>
      <c r="BA24" s="122"/>
      <c r="BB24" s="122" t="n">
        <f aca="false">SUM(AY24:BA24)</f>
        <v>0</v>
      </c>
      <c r="BC24" s="125" t="n">
        <f aca="false">+BB24-AX24</f>
        <v>-116</v>
      </c>
      <c r="BD24" s="126" t="n">
        <f aca="false">BD23+BC24</f>
        <v>1688</v>
      </c>
      <c r="BE24" s="122" t="n">
        <v>269</v>
      </c>
      <c r="BF24" s="122" t="n">
        <v>0</v>
      </c>
      <c r="BG24" s="122"/>
      <c r="BH24" s="122"/>
      <c r="BI24" s="122" t="n">
        <f aca="false">SUM(BF24:BH24)</f>
        <v>0</v>
      </c>
      <c r="BJ24" s="125" t="n">
        <f aca="false">+BI24-BE24</f>
        <v>-269</v>
      </c>
      <c r="BK24" s="126" t="n">
        <f aca="false">BK23+BJ24</f>
        <v>1616</v>
      </c>
      <c r="BL24" s="127"/>
      <c r="BM24" s="127"/>
      <c r="BN24" s="127"/>
      <c r="BO24" s="127"/>
      <c r="BP24" s="127" t="n">
        <f aca="false">SUM(BM24:BO24)</f>
        <v>0</v>
      </c>
      <c r="BQ24" s="128" t="n">
        <f aca="false">+BP24-BL24</f>
        <v>0</v>
      </c>
      <c r="BR24" s="126" t="n">
        <f aca="false">BR23+BQ24</f>
        <v>0</v>
      </c>
      <c r="BS24" s="127"/>
      <c r="BT24" s="127"/>
      <c r="BU24" s="127"/>
      <c r="BV24" s="127"/>
      <c r="BW24" s="127" t="n">
        <f aca="false">SUM(BT24:BV24)</f>
        <v>0</v>
      </c>
      <c r="BX24" s="128" t="n">
        <f aca="false">+BW24-BS24</f>
        <v>0</v>
      </c>
      <c r="BY24" s="126" t="n">
        <f aca="false">BY23+BX24</f>
        <v>0</v>
      </c>
      <c r="BZ24" s="127"/>
      <c r="CA24" s="127"/>
      <c r="CB24" s="127"/>
      <c r="CC24" s="127"/>
      <c r="CD24" s="127" t="n">
        <f aca="false">SUM(CA24:CC24)</f>
        <v>0</v>
      </c>
      <c r="CE24" s="128" t="n">
        <f aca="false">+CD24-BZ24</f>
        <v>0</v>
      </c>
      <c r="CF24" s="126" t="n">
        <f aca="false">CF23+CE24</f>
        <v>0</v>
      </c>
      <c r="CG24" s="127"/>
      <c r="CH24" s="127"/>
      <c r="CI24" s="127"/>
      <c r="CJ24" s="127"/>
      <c r="CK24" s="127" t="n">
        <f aca="false">SUM(CH24:CJ24)</f>
        <v>0</v>
      </c>
      <c r="CL24" s="128" t="n">
        <f aca="false">+CK24-CG24</f>
        <v>0</v>
      </c>
      <c r="CM24" s="126" t="n">
        <f aca="false">CM23+CL24</f>
        <v>0</v>
      </c>
      <c r="CN24" s="70" t="n">
        <f aca="false">+C24+O24+V24+AC24+AJ24+AQ24+AX24+BE24+BL24+BS24+BZ24+CG24</f>
        <v>19329</v>
      </c>
      <c r="CO24" s="70" t="n">
        <f aca="false">+L24+S24+Z24+AG24+AN24+AU24+BB24+BI24+BP24+BW24+CD24+CK24</f>
        <v>9010</v>
      </c>
      <c r="CP24" s="70" t="n">
        <f aca="false">CO24-CN24</f>
        <v>-10319</v>
      </c>
      <c r="CQ24" s="126" t="n">
        <f aca="false">CQ23+CP24</f>
        <v>135320</v>
      </c>
      <c r="CR24" s="74"/>
      <c r="CS24" s="74"/>
      <c r="CT24" s="75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</row>
    <row r="25" customFormat="false" ht="12.75" hidden="false" customHeight="false" outlineLevel="0" collapsed="false">
      <c r="A25" s="69" t="n">
        <f aca="false">+BaseloadMarkets!A25</f>
        <v>36697</v>
      </c>
      <c r="B25" s="69" t="str">
        <f aca="false">+BaseloadMarkets!B25</f>
        <v>Tues</v>
      </c>
      <c r="C25" s="22" t="n">
        <v>10118</v>
      </c>
      <c r="D25" s="22" t="n">
        <v>1908</v>
      </c>
      <c r="E25" s="22" t="n">
        <v>2997</v>
      </c>
      <c r="F25" s="22" t="n">
        <v>1000</v>
      </c>
      <c r="G25" s="22"/>
      <c r="H25" s="122" t="n">
        <f aca="false">+Border!AD23</f>
        <v>0</v>
      </c>
      <c r="I25" s="22"/>
      <c r="J25" s="22"/>
      <c r="K25" s="22"/>
      <c r="L25" s="123" t="n">
        <f aca="false">SUM(D25:K25)</f>
        <v>5905</v>
      </c>
      <c r="M25" s="70" t="n">
        <f aca="false">+L25-C25</f>
        <v>-4213</v>
      </c>
      <c r="N25" s="70" t="n">
        <f aca="false">N24+M25</f>
        <v>26085</v>
      </c>
      <c r="O25" s="22" t="n">
        <v>1457</v>
      </c>
      <c r="P25" s="22" t="n">
        <v>981</v>
      </c>
      <c r="Q25" s="22"/>
      <c r="R25" s="22"/>
      <c r="S25" s="124" t="n">
        <f aca="false">SUM(P25:R25)</f>
        <v>981</v>
      </c>
      <c r="T25" s="70" t="n">
        <f aca="false">+S25-O25</f>
        <v>-476</v>
      </c>
      <c r="U25" s="70" t="n">
        <f aca="false">U24+T25</f>
        <v>-7513</v>
      </c>
      <c r="V25" s="22" t="n">
        <v>1307</v>
      </c>
      <c r="W25" s="22" t="n">
        <v>545</v>
      </c>
      <c r="X25" s="22"/>
      <c r="Y25" s="22"/>
      <c r="Z25" s="123" t="n">
        <f aca="false">SUM(W25:Y25)</f>
        <v>545</v>
      </c>
      <c r="AA25" s="70" t="n">
        <f aca="false">+Z25-V25</f>
        <v>-762</v>
      </c>
      <c r="AB25" s="74" t="n">
        <f aca="false">+AB24+AA25</f>
        <v>2982</v>
      </c>
      <c r="AC25" s="122" t="n">
        <v>179</v>
      </c>
      <c r="AD25" s="122" t="n">
        <v>545</v>
      </c>
      <c r="AE25" s="122"/>
      <c r="AF25" s="122"/>
      <c r="AG25" s="122" t="n">
        <f aca="false">SUM(AD25:AF25)</f>
        <v>545</v>
      </c>
      <c r="AH25" s="125" t="n">
        <f aca="false">+AG25-AC25</f>
        <v>366</v>
      </c>
      <c r="AI25" s="126" t="n">
        <f aca="false">AI24+AH25</f>
        <v>1615</v>
      </c>
      <c r="AJ25" s="122" t="n">
        <v>8953</v>
      </c>
      <c r="AK25" s="122" t="n">
        <v>3982</v>
      </c>
      <c r="AL25" s="122" t="n">
        <v>987</v>
      </c>
      <c r="AM25" s="122" t="n">
        <v>0</v>
      </c>
      <c r="AN25" s="122" t="n">
        <f aca="false">SUM(AK25:AM25)</f>
        <v>4969</v>
      </c>
      <c r="AO25" s="125" t="n">
        <f aca="false">+AN25-AJ25</f>
        <v>-3984</v>
      </c>
      <c r="AP25" s="126" t="n">
        <f aca="false">AP24+AO25</f>
        <v>99778</v>
      </c>
      <c r="AQ25" s="122" t="n">
        <v>0</v>
      </c>
      <c r="AR25" s="122" t="n">
        <v>0</v>
      </c>
      <c r="AS25" s="122"/>
      <c r="AT25" s="122"/>
      <c r="AU25" s="122" t="n">
        <f aca="false">SUM(AR25:AT25)</f>
        <v>0</v>
      </c>
      <c r="AV25" s="125" t="n">
        <f aca="false">+AU25-AQ25</f>
        <v>0</v>
      </c>
      <c r="AW25" s="126" t="n">
        <f aca="false">AW24+AV25</f>
        <v>0</v>
      </c>
      <c r="AX25" s="122" t="n">
        <v>202</v>
      </c>
      <c r="AY25" s="122" t="n">
        <v>545</v>
      </c>
      <c r="AZ25" s="122"/>
      <c r="BA25" s="122"/>
      <c r="BB25" s="122" t="n">
        <f aca="false">SUM(AY25:BA25)</f>
        <v>545</v>
      </c>
      <c r="BC25" s="125" t="n">
        <f aca="false">+BB25-AX25</f>
        <v>343</v>
      </c>
      <c r="BD25" s="126" t="n">
        <f aca="false">BD24+BC25</f>
        <v>2031</v>
      </c>
      <c r="BE25" s="122" t="n">
        <v>320</v>
      </c>
      <c r="BF25" s="122" t="n">
        <v>545</v>
      </c>
      <c r="BG25" s="122"/>
      <c r="BH25" s="122"/>
      <c r="BI25" s="122" t="n">
        <f aca="false">SUM(BF25:BH25)</f>
        <v>545</v>
      </c>
      <c r="BJ25" s="125" t="n">
        <f aca="false">+BI25-BE25</f>
        <v>225</v>
      </c>
      <c r="BK25" s="126" t="n">
        <f aca="false">BK24+BJ25</f>
        <v>1841</v>
      </c>
      <c r="BL25" s="127"/>
      <c r="BM25" s="127"/>
      <c r="BN25" s="127"/>
      <c r="BO25" s="127"/>
      <c r="BP25" s="127" t="n">
        <f aca="false">SUM(BM25:BO25)</f>
        <v>0</v>
      </c>
      <c r="BQ25" s="128" t="n">
        <f aca="false">+BP25-BL25</f>
        <v>0</v>
      </c>
      <c r="BR25" s="126" t="n">
        <f aca="false">BR24+BQ25</f>
        <v>0</v>
      </c>
      <c r="BS25" s="127"/>
      <c r="BT25" s="127"/>
      <c r="BU25" s="127"/>
      <c r="BV25" s="127"/>
      <c r="BW25" s="127" t="n">
        <f aca="false">SUM(BT25:BV25)</f>
        <v>0</v>
      </c>
      <c r="BX25" s="128" t="n">
        <f aca="false">+BW25-BS25</f>
        <v>0</v>
      </c>
      <c r="BY25" s="126" t="n">
        <f aca="false">BY24+BX25</f>
        <v>0</v>
      </c>
      <c r="BZ25" s="127"/>
      <c r="CA25" s="127"/>
      <c r="CB25" s="127"/>
      <c r="CC25" s="127"/>
      <c r="CD25" s="127" t="n">
        <f aca="false">SUM(CA25:CC25)</f>
        <v>0</v>
      </c>
      <c r="CE25" s="128" t="n">
        <f aca="false">+CD25-BZ25</f>
        <v>0</v>
      </c>
      <c r="CF25" s="126" t="n">
        <f aca="false">CF24+CE25</f>
        <v>0</v>
      </c>
      <c r="CG25" s="127"/>
      <c r="CH25" s="127"/>
      <c r="CI25" s="127"/>
      <c r="CJ25" s="127"/>
      <c r="CK25" s="127" t="n">
        <f aca="false">SUM(CH25:CJ25)</f>
        <v>0</v>
      </c>
      <c r="CL25" s="128" t="n">
        <f aca="false">+CK25-CG25</f>
        <v>0</v>
      </c>
      <c r="CM25" s="126" t="n">
        <f aca="false">CM24+CL25</f>
        <v>0</v>
      </c>
      <c r="CN25" s="70" t="n">
        <f aca="false">+C25+O25+V25+AC25+AJ25+AQ25+AX25+BE25+BL25+BS25+BZ25+CG25</f>
        <v>22536</v>
      </c>
      <c r="CO25" s="70" t="n">
        <f aca="false">+L25+S25+Z25+AG25+AN25+AU25+BB25+BI25+BP25+BW25+CD25+CK25</f>
        <v>14035</v>
      </c>
      <c r="CP25" s="70" t="n">
        <f aca="false">CO25-CN25</f>
        <v>-8501</v>
      </c>
      <c r="CQ25" s="126" t="n">
        <f aca="false">CQ24+CP25</f>
        <v>126819</v>
      </c>
      <c r="CR25" s="74"/>
      <c r="CS25" s="74"/>
      <c r="CT25" s="75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</row>
    <row r="26" customFormat="false" ht="12.75" hidden="false" customHeight="false" outlineLevel="0" collapsed="false">
      <c r="A26" s="69" t="n">
        <f aca="false">+BaseloadMarkets!A26</f>
        <v>36698</v>
      </c>
      <c r="B26" s="69" t="str">
        <f aca="false">+BaseloadMarkets!B26</f>
        <v>Wed</v>
      </c>
      <c r="C26" s="22" t="n">
        <v>9883</v>
      </c>
      <c r="D26" s="22" t="n">
        <v>0</v>
      </c>
      <c r="E26" s="22" t="n">
        <v>2997</v>
      </c>
      <c r="F26" s="22" t="n">
        <v>1000</v>
      </c>
      <c r="G26" s="22"/>
      <c r="H26" s="122" t="n">
        <f aca="false">+Border!AD24</f>
        <v>0</v>
      </c>
      <c r="I26" s="22"/>
      <c r="J26" s="22"/>
      <c r="K26" s="22"/>
      <c r="L26" s="123" t="n">
        <f aca="false">SUM(D26:K26)</f>
        <v>3997</v>
      </c>
      <c r="M26" s="70" t="n">
        <f aca="false">+L26-C26</f>
        <v>-5886</v>
      </c>
      <c r="N26" s="70" t="n">
        <f aca="false">N25+M26</f>
        <v>20199</v>
      </c>
      <c r="O26" s="22" t="n">
        <v>1882</v>
      </c>
      <c r="P26" s="22" t="n">
        <v>0</v>
      </c>
      <c r="Q26" s="22"/>
      <c r="R26" s="22"/>
      <c r="S26" s="124" t="n">
        <f aca="false">SUM(P26:R26)</f>
        <v>0</v>
      </c>
      <c r="T26" s="70" t="n">
        <f aca="false">+S26-O26</f>
        <v>-1882</v>
      </c>
      <c r="U26" s="70" t="n">
        <f aca="false">U25+T26</f>
        <v>-9395</v>
      </c>
      <c r="V26" s="22" t="n">
        <v>1249</v>
      </c>
      <c r="W26" s="22" t="n">
        <v>0</v>
      </c>
      <c r="X26" s="22"/>
      <c r="Y26" s="22"/>
      <c r="Z26" s="123" t="n">
        <f aca="false">SUM(W26:Y26)</f>
        <v>0</v>
      </c>
      <c r="AA26" s="70" t="n">
        <f aca="false">+Z26-V26</f>
        <v>-1249</v>
      </c>
      <c r="AB26" s="74" t="n">
        <f aca="false">+AB25+AA26</f>
        <v>1733</v>
      </c>
      <c r="AC26" s="122" t="n">
        <v>178</v>
      </c>
      <c r="AD26" s="122" t="n">
        <v>0</v>
      </c>
      <c r="AE26" s="122"/>
      <c r="AF26" s="122"/>
      <c r="AG26" s="122" t="n">
        <f aca="false">SUM(AD26:AF26)</f>
        <v>0</v>
      </c>
      <c r="AH26" s="125" t="n">
        <f aca="false">+AG26-AC26</f>
        <v>-178</v>
      </c>
      <c r="AI26" s="126" t="n">
        <f aca="false">AI25+AH26</f>
        <v>1437</v>
      </c>
      <c r="AJ26" s="122" t="n">
        <v>9037</v>
      </c>
      <c r="AK26" s="122" t="n">
        <v>479</v>
      </c>
      <c r="AL26" s="122" t="n">
        <v>987</v>
      </c>
      <c r="AM26" s="122" t="n">
        <v>0</v>
      </c>
      <c r="AN26" s="122" t="n">
        <f aca="false">SUM(AK26:AM26)</f>
        <v>1466</v>
      </c>
      <c r="AO26" s="125" t="n">
        <f aca="false">+AN26-AJ26</f>
        <v>-7571</v>
      </c>
      <c r="AP26" s="126" t="n">
        <f aca="false">AP25+AO26</f>
        <v>92207</v>
      </c>
      <c r="AQ26" s="122" t="n">
        <v>0</v>
      </c>
      <c r="AR26" s="122" t="n">
        <v>0</v>
      </c>
      <c r="AS26" s="122"/>
      <c r="AT26" s="122"/>
      <c r="AU26" s="122" t="n">
        <f aca="false">SUM(AR26:AT26)</f>
        <v>0</v>
      </c>
      <c r="AV26" s="125" t="n">
        <f aca="false">+AU26-AQ26</f>
        <v>0</v>
      </c>
      <c r="AW26" s="126" t="n">
        <f aca="false">AW25+AV26</f>
        <v>0</v>
      </c>
      <c r="AX26" s="122" t="n">
        <v>190</v>
      </c>
      <c r="AY26" s="122" t="n">
        <v>0</v>
      </c>
      <c r="AZ26" s="122"/>
      <c r="BA26" s="122"/>
      <c r="BB26" s="122" t="n">
        <f aca="false">SUM(AY26:BA26)</f>
        <v>0</v>
      </c>
      <c r="BC26" s="125" t="n">
        <f aca="false">+BB26-AX26</f>
        <v>-190</v>
      </c>
      <c r="BD26" s="126" t="n">
        <f aca="false">BD25+BC26</f>
        <v>1841</v>
      </c>
      <c r="BE26" s="122" t="n">
        <v>301</v>
      </c>
      <c r="BF26" s="122" t="n">
        <v>0</v>
      </c>
      <c r="BG26" s="122"/>
      <c r="BH26" s="122"/>
      <c r="BI26" s="122" t="n">
        <f aca="false">SUM(BF26:BH26)</f>
        <v>0</v>
      </c>
      <c r="BJ26" s="125" t="n">
        <f aca="false">+BI26-BE26</f>
        <v>-301</v>
      </c>
      <c r="BK26" s="126" t="n">
        <f aca="false">BK25+BJ26</f>
        <v>1540</v>
      </c>
      <c r="BL26" s="127"/>
      <c r="BM26" s="127"/>
      <c r="BN26" s="127"/>
      <c r="BO26" s="127"/>
      <c r="BP26" s="127" t="n">
        <f aca="false">SUM(BM26:BO26)</f>
        <v>0</v>
      </c>
      <c r="BQ26" s="128" t="n">
        <f aca="false">+BP26-BL26</f>
        <v>0</v>
      </c>
      <c r="BR26" s="126" t="n">
        <f aca="false">BR25+BQ26</f>
        <v>0</v>
      </c>
      <c r="BS26" s="127"/>
      <c r="BT26" s="127"/>
      <c r="BU26" s="127"/>
      <c r="BV26" s="127"/>
      <c r="BW26" s="127" t="n">
        <f aca="false">SUM(BT26:BV26)</f>
        <v>0</v>
      </c>
      <c r="BX26" s="128" t="n">
        <f aca="false">+BW26-BS26</f>
        <v>0</v>
      </c>
      <c r="BY26" s="126" t="n">
        <f aca="false">BY25+BX26</f>
        <v>0</v>
      </c>
      <c r="BZ26" s="127"/>
      <c r="CA26" s="127"/>
      <c r="CB26" s="127"/>
      <c r="CC26" s="127"/>
      <c r="CD26" s="127" t="n">
        <f aca="false">SUM(CA26:CC26)</f>
        <v>0</v>
      </c>
      <c r="CE26" s="128" t="n">
        <f aca="false">+CD26-BZ26</f>
        <v>0</v>
      </c>
      <c r="CF26" s="126" t="n">
        <f aca="false">CF25+CE26</f>
        <v>0</v>
      </c>
      <c r="CG26" s="127"/>
      <c r="CH26" s="127"/>
      <c r="CI26" s="127"/>
      <c r="CJ26" s="127"/>
      <c r="CK26" s="127" t="n">
        <f aca="false">SUM(CH26:CJ26)</f>
        <v>0</v>
      </c>
      <c r="CL26" s="128" t="n">
        <f aca="false">+CK26-CG26</f>
        <v>0</v>
      </c>
      <c r="CM26" s="126" t="n">
        <f aca="false">CM25+CL26</f>
        <v>0</v>
      </c>
      <c r="CN26" s="70" t="n">
        <f aca="false">+C26+O26+V26+AC26+AJ26+AQ26+AX26+BE26+BL26+BS26+BZ26+CG26</f>
        <v>22720</v>
      </c>
      <c r="CO26" s="70" t="n">
        <f aca="false">+L26+S26+Z26+AG26+AN26+AU26+BB26+BI26+BP26+BW26+CD26+CK26</f>
        <v>5463</v>
      </c>
      <c r="CP26" s="70" t="n">
        <f aca="false">CO26-CN26</f>
        <v>-17257</v>
      </c>
      <c r="CQ26" s="126" t="n">
        <f aca="false">CQ25+CP26</f>
        <v>109562</v>
      </c>
      <c r="CR26" s="74"/>
      <c r="CS26" s="74"/>
      <c r="CT26" s="75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</row>
    <row r="27" customFormat="false" ht="12.75" hidden="false" customHeight="false" outlineLevel="0" collapsed="false">
      <c r="A27" s="69" t="n">
        <f aca="false">+BaseloadMarkets!A27</f>
        <v>36699</v>
      </c>
      <c r="B27" s="69" t="str">
        <f aca="false">+BaseloadMarkets!B27</f>
        <v>Thu</v>
      </c>
      <c r="C27" s="22" t="n">
        <v>10297</v>
      </c>
      <c r="D27" s="22" t="n">
        <v>1593</v>
      </c>
      <c r="E27" s="22" t="n">
        <v>2997</v>
      </c>
      <c r="F27" s="22" t="n">
        <v>1000</v>
      </c>
      <c r="G27" s="22"/>
      <c r="H27" s="122" t="n">
        <f aca="false">+Border!AD25</f>
        <v>0</v>
      </c>
      <c r="I27" s="22"/>
      <c r="J27" s="22"/>
      <c r="K27" s="22"/>
      <c r="L27" s="123" t="n">
        <f aca="false">SUM(D27:K27)</f>
        <v>5590</v>
      </c>
      <c r="M27" s="70" t="n">
        <f aca="false">+L27-C27</f>
        <v>-4707</v>
      </c>
      <c r="N27" s="70" t="n">
        <f aca="false">N26+M27</f>
        <v>15492</v>
      </c>
      <c r="O27" s="22" t="n">
        <v>1689</v>
      </c>
      <c r="P27" s="22" t="n">
        <v>819</v>
      </c>
      <c r="Q27" s="22"/>
      <c r="R27" s="22"/>
      <c r="S27" s="124" t="n">
        <f aca="false">SUM(P27:R27)</f>
        <v>819</v>
      </c>
      <c r="T27" s="70" t="n">
        <f aca="false">+S27-O27</f>
        <v>-870</v>
      </c>
      <c r="U27" s="70" t="n">
        <f aca="false">U26+T27</f>
        <v>-10265</v>
      </c>
      <c r="V27" s="22" t="n">
        <v>1200</v>
      </c>
      <c r="W27" s="22" t="n">
        <v>455</v>
      </c>
      <c r="X27" s="22"/>
      <c r="Y27" s="22"/>
      <c r="Z27" s="123" t="n">
        <f aca="false">SUM(W27:Y27)</f>
        <v>455</v>
      </c>
      <c r="AA27" s="70" t="n">
        <f aca="false">+Z27-V27</f>
        <v>-745</v>
      </c>
      <c r="AB27" s="74" t="n">
        <f aca="false">+AB26+AA27</f>
        <v>988</v>
      </c>
      <c r="AC27" s="122" t="n">
        <v>177</v>
      </c>
      <c r="AD27" s="122" t="n">
        <v>0</v>
      </c>
      <c r="AE27" s="122"/>
      <c r="AF27" s="122"/>
      <c r="AG27" s="122" t="n">
        <f aca="false">SUM(AD27:AF27)</f>
        <v>0</v>
      </c>
      <c r="AH27" s="125" t="n">
        <f aca="false">+AG27-AC27</f>
        <v>-177</v>
      </c>
      <c r="AI27" s="126" t="n">
        <f aca="false">AI26+AH27</f>
        <v>1260</v>
      </c>
      <c r="AJ27" s="122" t="n">
        <v>9084</v>
      </c>
      <c r="AK27" s="122" t="n">
        <f aca="false">2870+137</f>
        <v>3007</v>
      </c>
      <c r="AL27" s="122" t="n">
        <v>987</v>
      </c>
      <c r="AM27" s="122" t="n">
        <v>0</v>
      </c>
      <c r="AN27" s="122" t="n">
        <f aca="false">SUM(AK27:AM27)</f>
        <v>3994</v>
      </c>
      <c r="AO27" s="125" t="n">
        <f aca="false">+AN27-AJ27</f>
        <v>-5090</v>
      </c>
      <c r="AP27" s="126" t="n">
        <f aca="false">AP26+AO27</f>
        <v>87117</v>
      </c>
      <c r="AQ27" s="122" t="n">
        <v>0</v>
      </c>
      <c r="AR27" s="122" t="n">
        <v>0</v>
      </c>
      <c r="AS27" s="122"/>
      <c r="AT27" s="122"/>
      <c r="AU27" s="122" t="n">
        <f aca="false">SUM(AR27:AT27)</f>
        <v>0</v>
      </c>
      <c r="AV27" s="125" t="n">
        <f aca="false">+AU27-AQ27</f>
        <v>0</v>
      </c>
      <c r="AW27" s="126" t="n">
        <f aca="false">AW26+AV27</f>
        <v>0</v>
      </c>
      <c r="AX27" s="122" t="n">
        <v>206</v>
      </c>
      <c r="AY27" s="122" t="n">
        <v>0</v>
      </c>
      <c r="AZ27" s="122"/>
      <c r="BA27" s="122"/>
      <c r="BB27" s="122" t="n">
        <f aca="false">SUM(AY27:BA27)</f>
        <v>0</v>
      </c>
      <c r="BC27" s="125" t="n">
        <f aca="false">+BB27-AX27</f>
        <v>-206</v>
      </c>
      <c r="BD27" s="126" t="n">
        <f aca="false">BD26+BC27</f>
        <v>1635</v>
      </c>
      <c r="BE27" s="122" t="n">
        <v>308</v>
      </c>
      <c r="BF27" s="122" t="n">
        <v>0</v>
      </c>
      <c r="BG27" s="122"/>
      <c r="BH27" s="122"/>
      <c r="BI27" s="122" t="n">
        <f aca="false">SUM(BF27:BH27)</f>
        <v>0</v>
      </c>
      <c r="BJ27" s="125" t="n">
        <f aca="false">+BI27-BE27</f>
        <v>-308</v>
      </c>
      <c r="BK27" s="126" t="n">
        <f aca="false">BK26+BJ27</f>
        <v>1232</v>
      </c>
      <c r="BL27" s="127"/>
      <c r="BM27" s="127"/>
      <c r="BN27" s="127"/>
      <c r="BO27" s="127"/>
      <c r="BP27" s="127" t="n">
        <f aca="false">SUM(BM27:BO27)</f>
        <v>0</v>
      </c>
      <c r="BQ27" s="128" t="n">
        <f aca="false">+BP27-BL27</f>
        <v>0</v>
      </c>
      <c r="BR27" s="126" t="n">
        <f aca="false">BR26+BQ27</f>
        <v>0</v>
      </c>
      <c r="BS27" s="127"/>
      <c r="BT27" s="127"/>
      <c r="BU27" s="127"/>
      <c r="BV27" s="127"/>
      <c r="BW27" s="127" t="n">
        <f aca="false">SUM(BT27:BV27)</f>
        <v>0</v>
      </c>
      <c r="BX27" s="128" t="n">
        <f aca="false">+BW27-BS27</f>
        <v>0</v>
      </c>
      <c r="BY27" s="126" t="n">
        <f aca="false">BY26+BX27</f>
        <v>0</v>
      </c>
      <c r="BZ27" s="127"/>
      <c r="CA27" s="127"/>
      <c r="CB27" s="127"/>
      <c r="CC27" s="127"/>
      <c r="CD27" s="127" t="n">
        <f aca="false">SUM(CA27:CC27)</f>
        <v>0</v>
      </c>
      <c r="CE27" s="128" t="n">
        <f aca="false">+CD27-BZ27</f>
        <v>0</v>
      </c>
      <c r="CF27" s="126" t="n">
        <f aca="false">CF26+CE27</f>
        <v>0</v>
      </c>
      <c r="CG27" s="127"/>
      <c r="CH27" s="127"/>
      <c r="CI27" s="127"/>
      <c r="CJ27" s="127"/>
      <c r="CK27" s="127" t="n">
        <f aca="false">SUM(CH27:CJ27)</f>
        <v>0</v>
      </c>
      <c r="CL27" s="128" t="n">
        <f aca="false">+CK27-CG27</f>
        <v>0</v>
      </c>
      <c r="CM27" s="126" t="n">
        <f aca="false">CM26+CL27</f>
        <v>0</v>
      </c>
      <c r="CN27" s="70" t="n">
        <f aca="false">+C27+O27+V27+AC27+AJ27+AQ27+AX27+BE27+BL27+BS27+BZ27+CG27</f>
        <v>22961</v>
      </c>
      <c r="CO27" s="70" t="n">
        <f aca="false">+L27+S27+Z27+AG27+AN27+AU27+BB27+BI27+BP27+BW27+CD27+CK27</f>
        <v>10858</v>
      </c>
      <c r="CP27" s="70" t="n">
        <f aca="false">CO27-CN27</f>
        <v>-12103</v>
      </c>
      <c r="CQ27" s="126" t="n">
        <f aca="false">CQ26+CP27</f>
        <v>97459</v>
      </c>
      <c r="CR27" s="74"/>
      <c r="CS27" s="74"/>
      <c r="CT27" s="75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</row>
    <row r="28" customFormat="false" ht="12.75" hidden="false" customHeight="false" outlineLevel="0" collapsed="false">
      <c r="A28" s="69" t="n">
        <f aca="false">+BaseloadMarkets!A28</f>
        <v>36700</v>
      </c>
      <c r="B28" s="69" t="str">
        <f aca="false">+BaseloadMarkets!B28</f>
        <v>Fri</v>
      </c>
      <c r="C28" s="22" t="n">
        <v>10806</v>
      </c>
      <c r="D28" s="22" t="n">
        <v>66</v>
      </c>
      <c r="E28" s="22" t="n">
        <v>2997</v>
      </c>
      <c r="F28" s="22" t="n">
        <v>1000</v>
      </c>
      <c r="G28" s="22"/>
      <c r="H28" s="122" t="n">
        <v>0</v>
      </c>
      <c r="I28" s="22"/>
      <c r="J28" s="22"/>
      <c r="K28" s="22"/>
      <c r="L28" s="123" t="n">
        <f aca="false">SUM(D28:K28)</f>
        <v>4063</v>
      </c>
      <c r="M28" s="70" t="n">
        <f aca="false">+L28-C28</f>
        <v>-6743</v>
      </c>
      <c r="N28" s="70" t="n">
        <f aca="false">N27+M28</f>
        <v>8749</v>
      </c>
      <c r="O28" s="22" t="n">
        <v>1498</v>
      </c>
      <c r="P28" s="22" t="n">
        <v>52</v>
      </c>
      <c r="Q28" s="22"/>
      <c r="R28" s="22"/>
      <c r="S28" s="124" t="n">
        <f aca="false">SUM(P28:R28)</f>
        <v>52</v>
      </c>
      <c r="T28" s="70" t="n">
        <f aca="false">+S28-O28</f>
        <v>-1446</v>
      </c>
      <c r="U28" s="70" t="n">
        <f aca="false">U27+T28</f>
        <v>-11711</v>
      </c>
      <c r="V28" s="22" t="n">
        <v>1288</v>
      </c>
      <c r="W28" s="22" t="n">
        <v>52</v>
      </c>
      <c r="X28" s="22"/>
      <c r="Y28" s="22"/>
      <c r="Z28" s="123" t="n">
        <f aca="false">SUM(W28:Y28)</f>
        <v>52</v>
      </c>
      <c r="AA28" s="70" t="n">
        <f aca="false">+Z28-V28</f>
        <v>-1236</v>
      </c>
      <c r="AB28" s="74" t="n">
        <f aca="false">+AB27+AA28</f>
        <v>-248</v>
      </c>
      <c r="AC28" s="122" t="n">
        <v>182</v>
      </c>
      <c r="AD28" s="122" t="n">
        <v>0</v>
      </c>
      <c r="AE28" s="122"/>
      <c r="AF28" s="122"/>
      <c r="AG28" s="122" t="n">
        <f aca="false">SUM(AD28:AF28)</f>
        <v>0</v>
      </c>
      <c r="AH28" s="125" t="n">
        <f aca="false">+AG28-AC28</f>
        <v>-182</v>
      </c>
      <c r="AI28" s="126" t="n">
        <f aca="false">AI27+AH28</f>
        <v>1078</v>
      </c>
      <c r="AJ28" s="122" t="n">
        <v>9505</v>
      </c>
      <c r="AK28" s="122" t="n">
        <f aca="false">67+1410</f>
        <v>1477</v>
      </c>
      <c r="AL28" s="122" t="n">
        <v>987</v>
      </c>
      <c r="AM28" s="122" t="n">
        <v>0</v>
      </c>
      <c r="AN28" s="122" t="n">
        <f aca="false">SUM(AK28:AM28)</f>
        <v>2464</v>
      </c>
      <c r="AO28" s="125" t="n">
        <f aca="false">+AN28-AJ28</f>
        <v>-7041</v>
      </c>
      <c r="AP28" s="126" t="n">
        <f aca="false">AP27+AO28</f>
        <v>80076</v>
      </c>
      <c r="AQ28" s="122" t="n">
        <v>0</v>
      </c>
      <c r="AR28" s="122" t="n">
        <v>0</v>
      </c>
      <c r="AS28" s="122"/>
      <c r="AT28" s="122"/>
      <c r="AU28" s="122" t="n">
        <f aca="false">SUM(AR28:AT28)</f>
        <v>0</v>
      </c>
      <c r="AV28" s="125" t="n">
        <f aca="false">+AU28-AQ28</f>
        <v>0</v>
      </c>
      <c r="AW28" s="126" t="n">
        <f aca="false">AW27+AV28</f>
        <v>0</v>
      </c>
      <c r="AX28" s="122" t="n">
        <v>210</v>
      </c>
      <c r="AY28" s="122" t="n">
        <v>0</v>
      </c>
      <c r="AZ28" s="122"/>
      <c r="BA28" s="122"/>
      <c r="BB28" s="122" t="n">
        <f aca="false">SUM(AY28:BA28)</f>
        <v>0</v>
      </c>
      <c r="BC28" s="125" t="n">
        <f aca="false">+BB28-AX28</f>
        <v>-210</v>
      </c>
      <c r="BD28" s="126" t="n">
        <f aca="false">BD27+BC28</f>
        <v>1425</v>
      </c>
      <c r="BE28" s="122" t="n">
        <v>317</v>
      </c>
      <c r="BF28" s="122" t="n">
        <v>0</v>
      </c>
      <c r="BG28" s="122"/>
      <c r="BH28" s="122"/>
      <c r="BI28" s="122" t="n">
        <f aca="false">SUM(BF28:BH28)</f>
        <v>0</v>
      </c>
      <c r="BJ28" s="125" t="n">
        <f aca="false">+BI28-BE28</f>
        <v>-317</v>
      </c>
      <c r="BK28" s="126" t="n">
        <f aca="false">BK27+BJ28</f>
        <v>915</v>
      </c>
      <c r="BL28" s="127"/>
      <c r="BM28" s="127"/>
      <c r="BN28" s="127"/>
      <c r="BO28" s="127"/>
      <c r="BP28" s="127" t="n">
        <f aca="false">SUM(BM28:BO28)</f>
        <v>0</v>
      </c>
      <c r="BQ28" s="128" t="n">
        <f aca="false">+BP28-BL28</f>
        <v>0</v>
      </c>
      <c r="BR28" s="126" t="n">
        <f aca="false">BR27+BQ28</f>
        <v>0</v>
      </c>
      <c r="BS28" s="127"/>
      <c r="BT28" s="127"/>
      <c r="BU28" s="127"/>
      <c r="BV28" s="127"/>
      <c r="BW28" s="127" t="n">
        <f aca="false">SUM(BT28:BV28)</f>
        <v>0</v>
      </c>
      <c r="BX28" s="128" t="n">
        <f aca="false">+BW28-BS28</f>
        <v>0</v>
      </c>
      <c r="BY28" s="126" t="n">
        <f aca="false">BY27+BX28</f>
        <v>0</v>
      </c>
      <c r="BZ28" s="127"/>
      <c r="CA28" s="127"/>
      <c r="CB28" s="127"/>
      <c r="CC28" s="127"/>
      <c r="CD28" s="127" t="n">
        <f aca="false">SUM(CA28:CC28)</f>
        <v>0</v>
      </c>
      <c r="CE28" s="128" t="n">
        <f aca="false">+CD28-BZ28</f>
        <v>0</v>
      </c>
      <c r="CF28" s="126" t="n">
        <f aca="false">CF27+CE28</f>
        <v>0</v>
      </c>
      <c r="CG28" s="127"/>
      <c r="CH28" s="127"/>
      <c r="CI28" s="127"/>
      <c r="CJ28" s="127"/>
      <c r="CK28" s="127" t="n">
        <f aca="false">SUM(CH28:CJ28)</f>
        <v>0</v>
      </c>
      <c r="CL28" s="128" t="n">
        <f aca="false">+CK28-CG28</f>
        <v>0</v>
      </c>
      <c r="CM28" s="126" t="n">
        <f aca="false">CM27+CL28</f>
        <v>0</v>
      </c>
      <c r="CN28" s="70" t="n">
        <f aca="false">+C28+O28+V28+AC28+AJ28+AQ28+AX28+BE28+BL28+BS28+BZ28+CG28</f>
        <v>23806</v>
      </c>
      <c r="CO28" s="70" t="n">
        <f aca="false">+L28+S28+Z28+AG28+AN28+AU28+BB28+BI28+BP28+BW28+CD28+CK28</f>
        <v>6631</v>
      </c>
      <c r="CP28" s="70" t="n">
        <f aca="false">CO28-CN28</f>
        <v>-17175</v>
      </c>
      <c r="CQ28" s="126" t="n">
        <f aca="false">CQ27+CP28</f>
        <v>80284</v>
      </c>
      <c r="CR28" s="74"/>
      <c r="CS28" s="74"/>
      <c r="CT28" s="75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</row>
    <row r="29" customFormat="false" ht="12.75" hidden="false" customHeight="false" outlineLevel="0" collapsed="false">
      <c r="A29" s="69" t="n">
        <f aca="false">+BaseloadMarkets!A29</f>
        <v>36701</v>
      </c>
      <c r="B29" s="69" t="str">
        <f aca="false">+BaseloadMarkets!B29</f>
        <v>Sat</v>
      </c>
      <c r="C29" s="22" t="n">
        <v>11323</v>
      </c>
      <c r="D29" s="22" t="n">
        <v>248</v>
      </c>
      <c r="E29" s="22" t="n">
        <v>2997</v>
      </c>
      <c r="F29" s="22" t="n">
        <v>1000</v>
      </c>
      <c r="G29" s="22"/>
      <c r="H29" s="122" t="n">
        <v>0</v>
      </c>
      <c r="I29" s="22"/>
      <c r="J29" s="22"/>
      <c r="K29" s="22"/>
      <c r="L29" s="123" t="n">
        <f aca="false">SUM(D29:K29)</f>
        <v>4245</v>
      </c>
      <c r="M29" s="70" t="n">
        <f aca="false">+L29-C29</f>
        <v>-7078</v>
      </c>
      <c r="N29" s="70" t="n">
        <f aca="false">N28+M29</f>
        <v>1671</v>
      </c>
      <c r="O29" s="22" t="n">
        <v>1717</v>
      </c>
      <c r="P29" s="22" t="n">
        <v>93</v>
      </c>
      <c r="Q29" s="22"/>
      <c r="R29" s="22"/>
      <c r="S29" s="124" t="n">
        <f aca="false">SUM(P29:R29)</f>
        <v>93</v>
      </c>
      <c r="T29" s="70" t="n">
        <f aca="false">+S29-O29</f>
        <v>-1624</v>
      </c>
      <c r="U29" s="70" t="n">
        <f aca="false">U28+T29</f>
        <v>-13335</v>
      </c>
      <c r="V29" s="22" t="n">
        <v>2</v>
      </c>
      <c r="W29" s="22" t="n">
        <v>62</v>
      </c>
      <c r="X29" s="22"/>
      <c r="Y29" s="22"/>
      <c r="Z29" s="123" t="n">
        <f aca="false">SUM(W29:Y29)</f>
        <v>62</v>
      </c>
      <c r="AA29" s="70" t="n">
        <f aca="false">+Z29-V29</f>
        <v>60</v>
      </c>
      <c r="AB29" s="74" t="n">
        <f aca="false">+AB28+AA29</f>
        <v>-188</v>
      </c>
      <c r="AC29" s="122" t="n">
        <v>177</v>
      </c>
      <c r="AD29" s="122" t="n">
        <v>0</v>
      </c>
      <c r="AE29" s="122"/>
      <c r="AF29" s="122"/>
      <c r="AG29" s="122" t="n">
        <f aca="false">SUM(AD29:AF29)</f>
        <v>0</v>
      </c>
      <c r="AH29" s="125" t="n">
        <f aca="false">+AG29-AC29</f>
        <v>-177</v>
      </c>
      <c r="AI29" s="126" t="n">
        <f aca="false">AI28+AH29</f>
        <v>901</v>
      </c>
      <c r="AJ29" s="122" t="n">
        <v>9333</v>
      </c>
      <c r="AK29" s="122" t="n">
        <v>0</v>
      </c>
      <c r="AL29" s="122" t="n">
        <v>987</v>
      </c>
      <c r="AM29" s="122" t="n">
        <v>0</v>
      </c>
      <c r="AN29" s="122" t="n">
        <f aca="false">SUM(AK29:AM29)</f>
        <v>987</v>
      </c>
      <c r="AO29" s="125" t="n">
        <f aca="false">+AN29-AJ29</f>
        <v>-8346</v>
      </c>
      <c r="AP29" s="126" t="n">
        <f aca="false">AP28+AO29</f>
        <v>71730</v>
      </c>
      <c r="AQ29" s="122" t="n">
        <v>0</v>
      </c>
      <c r="AR29" s="122" t="n">
        <v>0</v>
      </c>
      <c r="AS29" s="122"/>
      <c r="AT29" s="122"/>
      <c r="AU29" s="122" t="n">
        <f aca="false">SUM(AR29:AT29)</f>
        <v>0</v>
      </c>
      <c r="AV29" s="125" t="n">
        <f aca="false">+AU29-AQ29</f>
        <v>0</v>
      </c>
      <c r="AW29" s="126" t="n">
        <f aca="false">AW28+AV29</f>
        <v>0</v>
      </c>
      <c r="AX29" s="122" t="n">
        <v>27</v>
      </c>
      <c r="AY29" s="122" t="n">
        <v>0</v>
      </c>
      <c r="AZ29" s="122"/>
      <c r="BA29" s="122"/>
      <c r="BB29" s="122" t="n">
        <f aca="false">SUM(AY29:BA29)</f>
        <v>0</v>
      </c>
      <c r="BC29" s="125" t="n">
        <f aca="false">+BB29-AX29</f>
        <v>-27</v>
      </c>
      <c r="BD29" s="126" t="n">
        <f aca="false">BD28+BC29</f>
        <v>1398</v>
      </c>
      <c r="BE29" s="122" t="n">
        <v>28</v>
      </c>
      <c r="BF29" s="122" t="n">
        <v>0</v>
      </c>
      <c r="BG29" s="122"/>
      <c r="BH29" s="122"/>
      <c r="BI29" s="122" t="n">
        <f aca="false">SUM(BF29:BH29)</f>
        <v>0</v>
      </c>
      <c r="BJ29" s="125" t="n">
        <f aca="false">+BI29-BE29</f>
        <v>-28</v>
      </c>
      <c r="BK29" s="126" t="n">
        <f aca="false">BK28+BJ29</f>
        <v>887</v>
      </c>
      <c r="BL29" s="127"/>
      <c r="BM29" s="127"/>
      <c r="BN29" s="127"/>
      <c r="BO29" s="127"/>
      <c r="BP29" s="127" t="n">
        <f aca="false">SUM(BM29:BO29)</f>
        <v>0</v>
      </c>
      <c r="BQ29" s="128" t="n">
        <f aca="false">+BP29-BL29</f>
        <v>0</v>
      </c>
      <c r="BR29" s="126" t="n">
        <f aca="false">BR28+BQ29</f>
        <v>0</v>
      </c>
      <c r="BS29" s="127"/>
      <c r="BT29" s="127"/>
      <c r="BU29" s="127"/>
      <c r="BV29" s="127"/>
      <c r="BW29" s="127" t="n">
        <f aca="false">SUM(BT29:BV29)</f>
        <v>0</v>
      </c>
      <c r="BX29" s="128" t="n">
        <f aca="false">+BW29-BS29</f>
        <v>0</v>
      </c>
      <c r="BY29" s="126" t="n">
        <f aca="false">BY28+BX29</f>
        <v>0</v>
      </c>
      <c r="BZ29" s="127"/>
      <c r="CA29" s="127"/>
      <c r="CB29" s="127"/>
      <c r="CC29" s="127"/>
      <c r="CD29" s="127" t="n">
        <f aca="false">SUM(CA29:CC29)</f>
        <v>0</v>
      </c>
      <c r="CE29" s="128" t="n">
        <f aca="false">+CD29-BZ29</f>
        <v>0</v>
      </c>
      <c r="CF29" s="126" t="n">
        <f aca="false">CF28+CE29</f>
        <v>0</v>
      </c>
      <c r="CG29" s="127"/>
      <c r="CH29" s="127"/>
      <c r="CI29" s="127"/>
      <c r="CJ29" s="127"/>
      <c r="CK29" s="127" t="n">
        <f aca="false">SUM(CH29:CJ29)</f>
        <v>0</v>
      </c>
      <c r="CL29" s="128" t="n">
        <f aca="false">+CK29-CG29</f>
        <v>0</v>
      </c>
      <c r="CM29" s="126" t="n">
        <f aca="false">CM28+CL29</f>
        <v>0</v>
      </c>
      <c r="CN29" s="70" t="n">
        <f aca="false">+C29+O29+V29+AC29+AJ29+AQ29+AX29+BE29+BL29+BS29+BZ29+CG29</f>
        <v>22607</v>
      </c>
      <c r="CO29" s="70" t="n">
        <f aca="false">+L29+S29+Z29+AG29+AN29+AU29+BB29+BI29+BP29+BW29+CD29+CK29</f>
        <v>5387</v>
      </c>
      <c r="CP29" s="70" t="n">
        <f aca="false">CO29-CN29</f>
        <v>-17220</v>
      </c>
      <c r="CQ29" s="126" t="n">
        <f aca="false">CQ28+CP29</f>
        <v>63064</v>
      </c>
      <c r="CR29" s="74"/>
      <c r="CS29" s="74"/>
      <c r="CT29" s="75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</row>
    <row r="30" customFormat="false" ht="12.75" hidden="false" customHeight="false" outlineLevel="0" collapsed="false">
      <c r="A30" s="69" t="n">
        <f aca="false">+BaseloadMarkets!A30</f>
        <v>36702</v>
      </c>
      <c r="B30" s="69" t="str">
        <f aca="false">+BaseloadMarkets!B30</f>
        <v>Sun</v>
      </c>
      <c r="C30" s="22" t="n">
        <v>13533</v>
      </c>
      <c r="D30" s="22" t="n">
        <v>0</v>
      </c>
      <c r="E30" s="22" t="n">
        <v>2997</v>
      </c>
      <c r="F30" s="22" t="n">
        <v>1000</v>
      </c>
      <c r="G30" s="22"/>
      <c r="H30" s="122" t="n">
        <v>0</v>
      </c>
      <c r="I30" s="22"/>
      <c r="J30" s="22"/>
      <c r="K30" s="22"/>
      <c r="L30" s="123" t="n">
        <f aca="false">SUM(D30:K30)</f>
        <v>3997</v>
      </c>
      <c r="M30" s="70" t="n">
        <f aca="false">+L30-C30</f>
        <v>-9536</v>
      </c>
      <c r="N30" s="70" t="n">
        <f aca="false">N29+M30</f>
        <v>-7865</v>
      </c>
      <c r="O30" s="22" t="n">
        <v>1789</v>
      </c>
      <c r="P30" s="22" t="n">
        <v>0</v>
      </c>
      <c r="Q30" s="22"/>
      <c r="R30" s="22"/>
      <c r="S30" s="124" t="n">
        <f aca="false">SUM(P30:R30)</f>
        <v>0</v>
      </c>
      <c r="T30" s="70" t="n">
        <f aca="false">+S30-O30</f>
        <v>-1789</v>
      </c>
      <c r="U30" s="70" t="n">
        <f aca="false">U29+T30</f>
        <v>-15124</v>
      </c>
      <c r="V30" s="22" t="n">
        <v>0</v>
      </c>
      <c r="W30" s="22" t="n">
        <v>0</v>
      </c>
      <c r="X30" s="22"/>
      <c r="Y30" s="22"/>
      <c r="Z30" s="123" t="n">
        <f aca="false">SUM(W30:Y30)</f>
        <v>0</v>
      </c>
      <c r="AA30" s="70" t="n">
        <f aca="false">+Z30-V30</f>
        <v>0</v>
      </c>
      <c r="AB30" s="74" t="n">
        <f aca="false">+AB29+AA30</f>
        <v>-188</v>
      </c>
      <c r="AC30" s="122" t="n">
        <v>59</v>
      </c>
      <c r="AD30" s="122" t="n">
        <v>0</v>
      </c>
      <c r="AE30" s="122"/>
      <c r="AF30" s="122"/>
      <c r="AG30" s="122" t="n">
        <f aca="false">SUM(AD30:AF30)</f>
        <v>0</v>
      </c>
      <c r="AH30" s="125" t="n">
        <f aca="false">+AG30-AC30</f>
        <v>-59</v>
      </c>
      <c r="AI30" s="126" t="n">
        <f aca="false">AI29+AH30</f>
        <v>842</v>
      </c>
      <c r="AJ30" s="122" t="n">
        <v>7147</v>
      </c>
      <c r="AK30" s="122" t="n">
        <v>0</v>
      </c>
      <c r="AL30" s="122" t="n">
        <v>987</v>
      </c>
      <c r="AM30" s="122" t="n">
        <v>0</v>
      </c>
      <c r="AN30" s="122" t="n">
        <f aca="false">SUM(AK30:AM30)</f>
        <v>987</v>
      </c>
      <c r="AO30" s="125" t="n">
        <f aca="false">+AN30-AJ30</f>
        <v>-6160</v>
      </c>
      <c r="AP30" s="126" t="n">
        <f aca="false">AP29+AO30</f>
        <v>65570</v>
      </c>
      <c r="AQ30" s="122" t="n">
        <v>0</v>
      </c>
      <c r="AR30" s="122" t="n">
        <v>0</v>
      </c>
      <c r="AS30" s="122"/>
      <c r="AT30" s="122"/>
      <c r="AU30" s="122" t="n">
        <f aca="false">SUM(AR30:AT30)</f>
        <v>0</v>
      </c>
      <c r="AV30" s="125" t="n">
        <f aca="false">+AU30-AQ30</f>
        <v>0</v>
      </c>
      <c r="AW30" s="126" t="n">
        <f aca="false">AW29+AV30</f>
        <v>0</v>
      </c>
      <c r="AX30" s="122" t="n">
        <v>35</v>
      </c>
      <c r="AY30" s="122" t="n">
        <v>0</v>
      </c>
      <c r="AZ30" s="122"/>
      <c r="BA30" s="122"/>
      <c r="BB30" s="122" t="n">
        <f aca="false">SUM(AY30:BA30)</f>
        <v>0</v>
      </c>
      <c r="BC30" s="125" t="n">
        <f aca="false">+BB30-AX30</f>
        <v>-35</v>
      </c>
      <c r="BD30" s="126" t="n">
        <f aca="false">BD29+BC30</f>
        <v>1363</v>
      </c>
      <c r="BE30" s="122" t="n">
        <v>6</v>
      </c>
      <c r="BF30" s="122" t="n">
        <v>0</v>
      </c>
      <c r="BG30" s="122"/>
      <c r="BH30" s="122"/>
      <c r="BI30" s="122" t="n">
        <f aca="false">SUM(BF30:BH30)</f>
        <v>0</v>
      </c>
      <c r="BJ30" s="125" t="n">
        <f aca="false">+BI30-BE30</f>
        <v>-6</v>
      </c>
      <c r="BK30" s="126" t="n">
        <f aca="false">BK29+BJ30</f>
        <v>881</v>
      </c>
      <c r="BL30" s="127"/>
      <c r="BM30" s="127"/>
      <c r="BN30" s="127"/>
      <c r="BO30" s="127"/>
      <c r="BP30" s="127" t="n">
        <f aca="false">SUM(BM30:BO30)</f>
        <v>0</v>
      </c>
      <c r="BQ30" s="128" t="n">
        <f aca="false">+BP30-BL30</f>
        <v>0</v>
      </c>
      <c r="BR30" s="126" t="n">
        <f aca="false">BR29+BQ30</f>
        <v>0</v>
      </c>
      <c r="BS30" s="127"/>
      <c r="BT30" s="127"/>
      <c r="BU30" s="127"/>
      <c r="BV30" s="127"/>
      <c r="BW30" s="127" t="n">
        <f aca="false">SUM(BT30:BV30)</f>
        <v>0</v>
      </c>
      <c r="BX30" s="128" t="n">
        <f aca="false">+BW30-BS30</f>
        <v>0</v>
      </c>
      <c r="BY30" s="126" t="n">
        <f aca="false">BY29+BX30</f>
        <v>0</v>
      </c>
      <c r="BZ30" s="127"/>
      <c r="CA30" s="127"/>
      <c r="CB30" s="127"/>
      <c r="CC30" s="127"/>
      <c r="CD30" s="127" t="n">
        <f aca="false">SUM(CA30:CC30)</f>
        <v>0</v>
      </c>
      <c r="CE30" s="128" t="n">
        <f aca="false">+CD30-BZ30</f>
        <v>0</v>
      </c>
      <c r="CF30" s="126" t="n">
        <f aca="false">CF29+CE30</f>
        <v>0</v>
      </c>
      <c r="CG30" s="127"/>
      <c r="CH30" s="127"/>
      <c r="CI30" s="127"/>
      <c r="CJ30" s="127"/>
      <c r="CK30" s="127" t="n">
        <f aca="false">SUM(CH30:CJ30)</f>
        <v>0</v>
      </c>
      <c r="CL30" s="128" t="n">
        <f aca="false">+CK30-CG30</f>
        <v>0</v>
      </c>
      <c r="CM30" s="126" t="n">
        <f aca="false">CM29+CL30</f>
        <v>0</v>
      </c>
      <c r="CN30" s="70" t="n">
        <f aca="false">+C30+O30+V30+AC30+AJ30+AQ30+AX30+BE30+BL30+BS30+BZ30+CG30</f>
        <v>22569</v>
      </c>
      <c r="CO30" s="70" t="n">
        <f aca="false">+L30+S30+Z30+AG30+AN30+AU30+BB30+BI30+BP30+BW30+CD30+CK30</f>
        <v>4984</v>
      </c>
      <c r="CP30" s="70" t="n">
        <f aca="false">CO30-CN30</f>
        <v>-17585</v>
      </c>
      <c r="CQ30" s="126" t="n">
        <f aca="false">CQ29+CP30</f>
        <v>45479</v>
      </c>
      <c r="CR30" s="74"/>
      <c r="CS30" s="74"/>
      <c r="CT30" s="75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</row>
    <row r="31" customFormat="false" ht="12.75" hidden="false" customHeight="false" outlineLevel="0" collapsed="false">
      <c r="A31" s="69" t="n">
        <f aca="false">+BaseloadMarkets!A31</f>
        <v>36703</v>
      </c>
      <c r="B31" s="69" t="str">
        <f aca="false">+BaseloadMarkets!B31</f>
        <v>Mon</v>
      </c>
      <c r="C31" s="22" t="n">
        <v>18622</v>
      </c>
      <c r="D31" s="22" t="n">
        <v>0</v>
      </c>
      <c r="E31" s="22" t="n">
        <v>2997</v>
      </c>
      <c r="F31" s="22" t="n">
        <v>1000</v>
      </c>
      <c r="G31" s="22"/>
      <c r="H31" s="122" t="n">
        <v>0</v>
      </c>
      <c r="I31" s="22"/>
      <c r="J31" s="22"/>
      <c r="K31" s="22"/>
      <c r="L31" s="123" t="n">
        <f aca="false">SUM(D31:K31)</f>
        <v>3997</v>
      </c>
      <c r="M31" s="70" t="n">
        <f aca="false">+L31-C31</f>
        <v>-14625</v>
      </c>
      <c r="N31" s="70" t="n">
        <f aca="false">N30+M31</f>
        <v>-22490</v>
      </c>
      <c r="O31" s="22" t="n">
        <v>1749</v>
      </c>
      <c r="P31" s="22" t="n">
        <v>0</v>
      </c>
      <c r="Q31" s="22"/>
      <c r="R31" s="22"/>
      <c r="S31" s="124" t="n">
        <f aca="false">SUM(P31:R31)</f>
        <v>0</v>
      </c>
      <c r="T31" s="70" t="n">
        <f aca="false">+S31-O31</f>
        <v>-1749</v>
      </c>
      <c r="U31" s="70" t="n">
        <f aca="false">U30+T31</f>
        <v>-16873</v>
      </c>
      <c r="V31" s="22" t="n">
        <v>0</v>
      </c>
      <c r="W31" s="22" t="n">
        <v>0</v>
      </c>
      <c r="X31" s="22"/>
      <c r="Y31" s="22"/>
      <c r="Z31" s="123" t="n">
        <f aca="false">SUM(W31:Y31)</f>
        <v>0</v>
      </c>
      <c r="AA31" s="70" t="n">
        <f aca="false">+Z31-V31</f>
        <v>0</v>
      </c>
      <c r="AB31" s="74" t="n">
        <f aca="false">+AB30+AA31</f>
        <v>-188</v>
      </c>
      <c r="AC31" s="122" t="n">
        <v>155</v>
      </c>
      <c r="AD31" s="122" t="n">
        <v>0</v>
      </c>
      <c r="AE31" s="122"/>
      <c r="AF31" s="122"/>
      <c r="AG31" s="122" t="n">
        <f aca="false">SUM(AD31:AF31)</f>
        <v>0</v>
      </c>
      <c r="AH31" s="125" t="n">
        <f aca="false">+AG31-AC31</f>
        <v>-155</v>
      </c>
      <c r="AI31" s="126" t="n">
        <f aca="false">AI30+AH31</f>
        <v>687</v>
      </c>
      <c r="AJ31" s="122" t="n">
        <v>9489</v>
      </c>
      <c r="AK31" s="122" t="n">
        <v>0</v>
      </c>
      <c r="AL31" s="122" t="n">
        <v>987</v>
      </c>
      <c r="AM31" s="122" t="n">
        <v>0</v>
      </c>
      <c r="AN31" s="122" t="n">
        <f aca="false">SUM(AK31:AM31)</f>
        <v>987</v>
      </c>
      <c r="AO31" s="125" t="n">
        <f aca="false">+AN31-AJ31</f>
        <v>-8502</v>
      </c>
      <c r="AP31" s="126" t="n">
        <f aca="false">AP30+AO31</f>
        <v>57068</v>
      </c>
      <c r="AQ31" s="122" t="n">
        <v>0</v>
      </c>
      <c r="AR31" s="122" t="n">
        <v>0</v>
      </c>
      <c r="AS31" s="122"/>
      <c r="AT31" s="122"/>
      <c r="AU31" s="122" t="n">
        <f aca="false">SUM(AR31:AT31)</f>
        <v>0</v>
      </c>
      <c r="AV31" s="125" t="n">
        <f aca="false">+AU31-AQ31</f>
        <v>0</v>
      </c>
      <c r="AW31" s="126" t="n">
        <f aca="false">AW30+AV31</f>
        <v>0</v>
      </c>
      <c r="AX31" s="122" t="n">
        <v>200</v>
      </c>
      <c r="AY31" s="122" t="n">
        <v>0</v>
      </c>
      <c r="AZ31" s="122"/>
      <c r="BA31" s="122"/>
      <c r="BB31" s="122" t="n">
        <f aca="false">SUM(AY31:BA31)</f>
        <v>0</v>
      </c>
      <c r="BC31" s="125" t="n">
        <f aca="false">+BB31-AX31</f>
        <v>-200</v>
      </c>
      <c r="BD31" s="126" t="n">
        <f aca="false">BD30+BC31</f>
        <v>1163</v>
      </c>
      <c r="BE31" s="122" t="n">
        <v>241</v>
      </c>
      <c r="BF31" s="122" t="n">
        <v>0</v>
      </c>
      <c r="BG31" s="122"/>
      <c r="BH31" s="122"/>
      <c r="BI31" s="122" t="n">
        <f aca="false">SUM(BF31:BH31)</f>
        <v>0</v>
      </c>
      <c r="BJ31" s="125" t="n">
        <f aca="false">+BI31-BE31</f>
        <v>-241</v>
      </c>
      <c r="BK31" s="126" t="n">
        <f aca="false">BK30+BJ31</f>
        <v>640</v>
      </c>
      <c r="BL31" s="127"/>
      <c r="BM31" s="127"/>
      <c r="BN31" s="127"/>
      <c r="BO31" s="127"/>
      <c r="BP31" s="127" t="n">
        <f aca="false">SUM(BM31:BO31)</f>
        <v>0</v>
      </c>
      <c r="BQ31" s="128" t="n">
        <f aca="false">+BP31-BL31</f>
        <v>0</v>
      </c>
      <c r="BR31" s="126" t="n">
        <f aca="false">BR30+BQ31</f>
        <v>0</v>
      </c>
      <c r="BS31" s="127"/>
      <c r="BT31" s="127"/>
      <c r="BU31" s="127"/>
      <c r="BV31" s="127"/>
      <c r="BW31" s="127" t="n">
        <f aca="false">SUM(BT31:BV31)</f>
        <v>0</v>
      </c>
      <c r="BX31" s="128" t="n">
        <f aca="false">+BW31-BS31</f>
        <v>0</v>
      </c>
      <c r="BY31" s="126" t="n">
        <f aca="false">BY30+BX31</f>
        <v>0</v>
      </c>
      <c r="BZ31" s="127"/>
      <c r="CA31" s="127"/>
      <c r="CB31" s="127"/>
      <c r="CC31" s="127"/>
      <c r="CD31" s="127" t="n">
        <f aca="false">SUM(CA31:CC31)</f>
        <v>0</v>
      </c>
      <c r="CE31" s="128" t="n">
        <f aca="false">+CD31-BZ31</f>
        <v>0</v>
      </c>
      <c r="CF31" s="126" t="n">
        <f aca="false">CF30+CE31</f>
        <v>0</v>
      </c>
      <c r="CG31" s="127"/>
      <c r="CH31" s="127"/>
      <c r="CI31" s="127"/>
      <c r="CJ31" s="127"/>
      <c r="CK31" s="127" t="n">
        <f aca="false">SUM(CH31:CJ31)</f>
        <v>0</v>
      </c>
      <c r="CL31" s="128" t="n">
        <f aca="false">+CK31-CG31</f>
        <v>0</v>
      </c>
      <c r="CM31" s="126" t="n">
        <f aca="false">CM30+CL31</f>
        <v>0</v>
      </c>
      <c r="CN31" s="70" t="n">
        <f aca="false">+C31+O31+V31+AC31+AJ31+AQ31+AX31+BE31+BL31+BS31+BZ31+CG31</f>
        <v>30456</v>
      </c>
      <c r="CO31" s="70" t="n">
        <f aca="false">+L31+S31+Z31+AG31+AN31+AU31+BB31+BI31+BP31+BW31+CD31+CK31</f>
        <v>4984</v>
      </c>
      <c r="CP31" s="70" t="n">
        <f aca="false">CO31-CN31</f>
        <v>-25472</v>
      </c>
      <c r="CQ31" s="126" t="n">
        <f aca="false">CQ30+CP31</f>
        <v>20007</v>
      </c>
      <c r="CR31" s="74"/>
      <c r="CS31" s="74"/>
      <c r="CT31" s="75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</row>
    <row r="32" customFormat="false" ht="12.75" hidden="false" customHeight="false" outlineLevel="0" collapsed="false">
      <c r="A32" s="69" t="n">
        <f aca="false">+BaseloadMarkets!A32</f>
        <v>36704</v>
      </c>
      <c r="B32" s="69" t="str">
        <f aca="false">+BaseloadMarkets!B32</f>
        <v>Tues</v>
      </c>
      <c r="C32" s="22" t="n">
        <v>16339</v>
      </c>
      <c r="D32" s="22" t="n">
        <f aca="false">4550+1590</f>
        <v>6140</v>
      </c>
      <c r="E32" s="22" t="n">
        <v>2997</v>
      </c>
      <c r="F32" s="22" t="n">
        <v>1000</v>
      </c>
      <c r="G32" s="22"/>
      <c r="H32" s="122" t="n">
        <v>0</v>
      </c>
      <c r="I32" s="22"/>
      <c r="J32" s="22"/>
      <c r="K32" s="22"/>
      <c r="L32" s="123" t="n">
        <f aca="false">SUM(D32:K32)</f>
        <v>10137</v>
      </c>
      <c r="M32" s="70" t="n">
        <f aca="false">+L32-C32</f>
        <v>-6202</v>
      </c>
      <c r="N32" s="70" t="n">
        <f aca="false">N31+M32</f>
        <v>-28692</v>
      </c>
      <c r="O32" s="22" t="n">
        <v>1343</v>
      </c>
      <c r="P32" s="22" t="n">
        <v>557</v>
      </c>
      <c r="Q32" s="22"/>
      <c r="R32" s="22"/>
      <c r="S32" s="124" t="n">
        <f aca="false">SUM(P32:R32)</f>
        <v>557</v>
      </c>
      <c r="T32" s="70" t="n">
        <f aca="false">+S32-O32</f>
        <v>-786</v>
      </c>
      <c r="U32" s="70" t="n">
        <f aca="false">U31+T32</f>
        <v>-17659</v>
      </c>
      <c r="V32" s="22" t="n">
        <v>0</v>
      </c>
      <c r="W32" s="22" t="n">
        <v>318</v>
      </c>
      <c r="X32" s="22"/>
      <c r="Y32" s="22"/>
      <c r="Z32" s="123" t="n">
        <f aca="false">SUM(W32:Y32)</f>
        <v>318</v>
      </c>
      <c r="AA32" s="70" t="n">
        <f aca="false">+Z32-V32</f>
        <v>318</v>
      </c>
      <c r="AB32" s="74" t="n">
        <f aca="false">+AB31+AA32</f>
        <v>130</v>
      </c>
      <c r="AC32" s="122" t="n">
        <v>149</v>
      </c>
      <c r="AD32" s="122" t="n">
        <v>0</v>
      </c>
      <c r="AE32" s="122"/>
      <c r="AF32" s="122"/>
      <c r="AG32" s="122" t="n">
        <f aca="false">SUM(AD32:AF32)</f>
        <v>0</v>
      </c>
      <c r="AH32" s="125" t="n">
        <f aca="false">+AG32-AC32</f>
        <v>-149</v>
      </c>
      <c r="AI32" s="126" t="n">
        <f aca="false">AI31+AH32</f>
        <v>538</v>
      </c>
      <c r="AJ32" s="122" t="n">
        <v>9954</v>
      </c>
      <c r="AK32" s="122" t="n">
        <v>2389</v>
      </c>
      <c r="AL32" s="122" t="n">
        <v>987</v>
      </c>
      <c r="AM32" s="122" t="n">
        <v>0</v>
      </c>
      <c r="AN32" s="122" t="n">
        <f aca="false">SUM(AK32:AM32)</f>
        <v>3376</v>
      </c>
      <c r="AO32" s="125" t="n">
        <f aca="false">+AN32-AJ32</f>
        <v>-6578</v>
      </c>
      <c r="AP32" s="126" t="n">
        <f aca="false">AP31+AO32</f>
        <v>50490</v>
      </c>
      <c r="AQ32" s="122" t="n">
        <v>0</v>
      </c>
      <c r="AR32" s="122" t="n">
        <v>0</v>
      </c>
      <c r="AS32" s="122"/>
      <c r="AT32" s="122"/>
      <c r="AU32" s="122" t="n">
        <f aca="false">SUM(AR32:AT32)</f>
        <v>0</v>
      </c>
      <c r="AV32" s="125" t="n">
        <f aca="false">+AU32-AQ32</f>
        <v>0</v>
      </c>
      <c r="AW32" s="126" t="n">
        <f aca="false">AW31+AV32</f>
        <v>0</v>
      </c>
      <c r="AX32" s="122" t="n">
        <v>198</v>
      </c>
      <c r="AY32" s="122" t="n">
        <v>0</v>
      </c>
      <c r="AZ32" s="122"/>
      <c r="BA32" s="122"/>
      <c r="BB32" s="122" t="n">
        <f aca="false">SUM(AY32:BA32)</f>
        <v>0</v>
      </c>
      <c r="BC32" s="125" t="n">
        <f aca="false">+BB32-AX32</f>
        <v>-198</v>
      </c>
      <c r="BD32" s="126" t="n">
        <f aca="false">BD31+BC32</f>
        <v>965</v>
      </c>
      <c r="BE32" s="122" t="n">
        <v>307</v>
      </c>
      <c r="BF32" s="122" t="n">
        <v>0</v>
      </c>
      <c r="BG32" s="122"/>
      <c r="BH32" s="122"/>
      <c r="BI32" s="122" t="n">
        <f aca="false">SUM(BF32:BH32)</f>
        <v>0</v>
      </c>
      <c r="BJ32" s="125" t="n">
        <f aca="false">+BI32-BE32</f>
        <v>-307</v>
      </c>
      <c r="BK32" s="126" t="n">
        <f aca="false">BK31+BJ32</f>
        <v>333</v>
      </c>
      <c r="BL32" s="127"/>
      <c r="BM32" s="127"/>
      <c r="BN32" s="127"/>
      <c r="BO32" s="127"/>
      <c r="BP32" s="127" t="n">
        <f aca="false">SUM(BM32:BO32)</f>
        <v>0</v>
      </c>
      <c r="BQ32" s="128" t="n">
        <f aca="false">+BP32-BL32</f>
        <v>0</v>
      </c>
      <c r="BR32" s="126" t="n">
        <f aca="false">BR31+BQ32</f>
        <v>0</v>
      </c>
      <c r="BS32" s="127"/>
      <c r="BT32" s="127"/>
      <c r="BU32" s="127"/>
      <c r="BV32" s="127"/>
      <c r="BW32" s="127" t="n">
        <f aca="false">SUM(BT32:BV32)</f>
        <v>0</v>
      </c>
      <c r="BX32" s="128" t="n">
        <f aca="false">+BW32-BS32</f>
        <v>0</v>
      </c>
      <c r="BY32" s="126" t="n">
        <f aca="false">BY31+BX32</f>
        <v>0</v>
      </c>
      <c r="BZ32" s="127"/>
      <c r="CA32" s="127"/>
      <c r="CB32" s="127"/>
      <c r="CC32" s="127"/>
      <c r="CD32" s="127" t="n">
        <f aca="false">SUM(CA32:CC32)</f>
        <v>0</v>
      </c>
      <c r="CE32" s="128" t="n">
        <f aca="false">+CD32-BZ32</f>
        <v>0</v>
      </c>
      <c r="CF32" s="126" t="n">
        <f aca="false">CF31+CE32</f>
        <v>0</v>
      </c>
      <c r="CG32" s="127"/>
      <c r="CH32" s="127"/>
      <c r="CI32" s="127"/>
      <c r="CJ32" s="127"/>
      <c r="CK32" s="127" t="n">
        <f aca="false">SUM(CH32:CJ32)</f>
        <v>0</v>
      </c>
      <c r="CL32" s="128" t="n">
        <f aca="false">+CK32-CG32</f>
        <v>0</v>
      </c>
      <c r="CM32" s="126" t="n">
        <f aca="false">CM31+CL32</f>
        <v>0</v>
      </c>
      <c r="CN32" s="70" t="n">
        <f aca="false">+C32+O32+V32+AC32+AJ32+AQ32+AX32+BE32+BL32+BS32+BZ32+CG32</f>
        <v>28290</v>
      </c>
      <c r="CO32" s="70" t="n">
        <f aca="false">+L32+S32+Z32+AG32+AN32+AU32+BB32+BI32+BP32+BW32+CD32+CK32</f>
        <v>14388</v>
      </c>
      <c r="CP32" s="70" t="n">
        <f aca="false">CO32-CN32</f>
        <v>-13902</v>
      </c>
      <c r="CQ32" s="126" t="n">
        <f aca="false">CQ31+CP32</f>
        <v>6105</v>
      </c>
      <c r="CR32" s="74"/>
      <c r="CS32" s="74"/>
      <c r="CT32" s="75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</row>
    <row r="33" customFormat="false" ht="12.75" hidden="false" customHeight="false" outlineLevel="0" collapsed="false">
      <c r="A33" s="69" t="n">
        <f aca="false">+BaseloadMarkets!A33</f>
        <v>36705</v>
      </c>
      <c r="B33" s="69" t="str">
        <f aca="false">+BaseloadMarkets!B33</f>
        <v>Wed</v>
      </c>
      <c r="C33" s="22" t="n">
        <v>14563</v>
      </c>
      <c r="D33" s="22" t="n">
        <v>0</v>
      </c>
      <c r="E33" s="22" t="n">
        <v>2896</v>
      </c>
      <c r="F33" s="22" t="n">
        <v>1000</v>
      </c>
      <c r="G33" s="22" t="n">
        <f aca="false">9898+9897+20000+17030+10000</f>
        <v>66825</v>
      </c>
      <c r="H33" s="122" t="n">
        <f aca="false">+Border!AD31</f>
        <v>0</v>
      </c>
      <c r="I33" s="22"/>
      <c r="J33" s="22"/>
      <c r="K33" s="22"/>
      <c r="L33" s="123" t="n">
        <f aca="false">SUM(D33:K33)</f>
        <v>70721</v>
      </c>
      <c r="M33" s="70" t="n">
        <f aca="false">+L33-C33</f>
        <v>56158</v>
      </c>
      <c r="N33" s="70" t="n">
        <f aca="false">N32+M33</f>
        <v>27466</v>
      </c>
      <c r="O33" s="22" t="n">
        <v>1633</v>
      </c>
      <c r="P33" s="22"/>
      <c r="Q33" s="22"/>
      <c r="R33" s="22" t="n">
        <f aca="false">6696+5409</f>
        <v>12105</v>
      </c>
      <c r="S33" s="124" t="n">
        <f aca="false">SUM(P33:R33)</f>
        <v>12105</v>
      </c>
      <c r="T33" s="70" t="n">
        <f aca="false">+S33-O33</f>
        <v>10472</v>
      </c>
      <c r="U33" s="70" t="n">
        <f aca="false">U32+T33</f>
        <v>-7187</v>
      </c>
      <c r="V33" s="22" t="n">
        <v>83</v>
      </c>
      <c r="W33" s="22"/>
      <c r="X33" s="22" t="n">
        <v>2708</v>
      </c>
      <c r="Y33" s="22"/>
      <c r="Z33" s="123" t="n">
        <f aca="false">SUM(W33:Y33)</f>
        <v>2708</v>
      </c>
      <c r="AA33" s="70" t="n">
        <f aca="false">+Z33-V33</f>
        <v>2625</v>
      </c>
      <c r="AB33" s="74" t="n">
        <f aca="false">+AB32+AA33</f>
        <v>2755</v>
      </c>
      <c r="AC33" s="122" t="n">
        <v>173</v>
      </c>
      <c r="AD33" s="122" t="n">
        <v>0</v>
      </c>
      <c r="AE33" s="122"/>
      <c r="AF33" s="122"/>
      <c r="AG33" s="122" t="n">
        <f aca="false">SUM(AD33:AF33)</f>
        <v>0</v>
      </c>
      <c r="AH33" s="125" t="n">
        <f aca="false">+AG33-AC33</f>
        <v>-173</v>
      </c>
      <c r="AI33" s="126" t="n">
        <f aca="false">AI32+AH33</f>
        <v>365</v>
      </c>
      <c r="AJ33" s="122" t="n">
        <v>9576</v>
      </c>
      <c r="AK33" s="122" t="n">
        <v>8319</v>
      </c>
      <c r="AL33" s="122" t="n">
        <v>954</v>
      </c>
      <c r="AM33" s="122" t="n">
        <f aca="false">2465+2163+2036+2522+5049+2708</f>
        <v>16943</v>
      </c>
      <c r="AN33" s="122" t="n">
        <f aca="false">SUM(AK33:AM33)</f>
        <v>26216</v>
      </c>
      <c r="AO33" s="125" t="n">
        <f aca="false">+AN33-AJ33</f>
        <v>16640</v>
      </c>
      <c r="AP33" s="126" t="n">
        <f aca="false">AP32+AO33</f>
        <v>67130</v>
      </c>
      <c r="AQ33" s="122" t="n">
        <v>0</v>
      </c>
      <c r="AR33" s="122" t="n">
        <v>0</v>
      </c>
      <c r="AS33" s="122"/>
      <c r="AT33" s="122"/>
      <c r="AU33" s="122" t="n">
        <f aca="false">SUM(AR33:AT33)</f>
        <v>0</v>
      </c>
      <c r="AV33" s="125" t="n">
        <f aca="false">+AU33-AQ33</f>
        <v>0</v>
      </c>
      <c r="AW33" s="126" t="n">
        <f aca="false">AW32+AV33</f>
        <v>0</v>
      </c>
      <c r="AX33" s="122" t="n">
        <v>206</v>
      </c>
      <c r="AY33" s="122" t="n">
        <v>0</v>
      </c>
      <c r="AZ33" s="122"/>
      <c r="BA33" s="122"/>
      <c r="BB33" s="122" t="n">
        <f aca="false">SUM(AY33:BA33)</f>
        <v>0</v>
      </c>
      <c r="BC33" s="125" t="n">
        <f aca="false">+BB33-AX33</f>
        <v>-206</v>
      </c>
      <c r="BD33" s="126" t="n">
        <f aca="false">BD32+BC33</f>
        <v>759</v>
      </c>
      <c r="BE33" s="122" t="n">
        <v>277</v>
      </c>
      <c r="BF33" s="122" t="n">
        <v>0</v>
      </c>
      <c r="BG33" s="122"/>
      <c r="BH33" s="122"/>
      <c r="BI33" s="122" t="n">
        <f aca="false">SUM(BF33:BH33)</f>
        <v>0</v>
      </c>
      <c r="BJ33" s="125" t="n">
        <f aca="false">+BI33-BE33</f>
        <v>-277</v>
      </c>
      <c r="BK33" s="126" t="n">
        <f aca="false">BK32+BJ33</f>
        <v>56</v>
      </c>
      <c r="BL33" s="127"/>
      <c r="BM33" s="127"/>
      <c r="BN33" s="127"/>
      <c r="BO33" s="127"/>
      <c r="BP33" s="127" t="n">
        <f aca="false">SUM(BM33:BO33)</f>
        <v>0</v>
      </c>
      <c r="BQ33" s="128" t="n">
        <f aca="false">+BP33-BL33</f>
        <v>0</v>
      </c>
      <c r="BR33" s="126" t="n">
        <f aca="false">BR32+BQ33</f>
        <v>0</v>
      </c>
      <c r="BS33" s="127"/>
      <c r="BT33" s="127"/>
      <c r="BU33" s="127"/>
      <c r="BV33" s="127"/>
      <c r="BW33" s="127" t="n">
        <f aca="false">SUM(BT33:BV33)</f>
        <v>0</v>
      </c>
      <c r="BX33" s="128" t="n">
        <f aca="false">+BW33-BS33</f>
        <v>0</v>
      </c>
      <c r="BY33" s="126" t="n">
        <f aca="false">BY32+BX33</f>
        <v>0</v>
      </c>
      <c r="BZ33" s="127"/>
      <c r="CA33" s="127"/>
      <c r="CB33" s="127"/>
      <c r="CC33" s="127"/>
      <c r="CD33" s="127" t="n">
        <f aca="false">SUM(CA33:CC33)</f>
        <v>0</v>
      </c>
      <c r="CE33" s="128" t="n">
        <f aca="false">+CD33-BZ33</f>
        <v>0</v>
      </c>
      <c r="CF33" s="126" t="n">
        <f aca="false">CF32+CE33</f>
        <v>0</v>
      </c>
      <c r="CG33" s="127"/>
      <c r="CH33" s="127"/>
      <c r="CI33" s="127"/>
      <c r="CJ33" s="127"/>
      <c r="CK33" s="127" t="n">
        <f aca="false">SUM(CH33:CJ33)</f>
        <v>0</v>
      </c>
      <c r="CL33" s="128" t="n">
        <f aca="false">+CK33-CG33</f>
        <v>0</v>
      </c>
      <c r="CM33" s="126" t="n">
        <f aca="false">CM32+CL33</f>
        <v>0</v>
      </c>
      <c r="CN33" s="70" t="n">
        <f aca="false">+C33+O33+V33+AC33+AJ33+AQ33+AX33+BE33+BL33+BS33+BZ33+CG33</f>
        <v>26511</v>
      </c>
      <c r="CO33" s="70" t="n">
        <f aca="false">+L33+S33+Z33+AG33+AN33+AU33+BB33+BI33+BP33+BW33+CD33+CK33</f>
        <v>111750</v>
      </c>
      <c r="CP33" s="70" t="n">
        <f aca="false">CO33-CN33</f>
        <v>85239</v>
      </c>
      <c r="CQ33" s="126" t="n">
        <f aca="false">CQ32+CP33</f>
        <v>91344</v>
      </c>
      <c r="CR33" s="74"/>
      <c r="CS33" s="74"/>
      <c r="CT33" s="75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</row>
    <row r="34" customFormat="false" ht="12.75" hidden="false" customHeight="false" outlineLevel="0" collapsed="false">
      <c r="A34" s="69" t="n">
        <f aca="false">+BaseloadMarkets!A34</f>
        <v>36706</v>
      </c>
      <c r="B34" s="69" t="str">
        <f aca="false">+BaseloadMarkets!B34</f>
        <v>Thu</v>
      </c>
      <c r="C34" s="22" t="n">
        <v>14394</v>
      </c>
      <c r="D34" s="22" t="n">
        <v>4295</v>
      </c>
      <c r="E34" s="22" t="n">
        <v>2997</v>
      </c>
      <c r="F34" s="22" t="n">
        <v>1000</v>
      </c>
      <c r="G34" s="22"/>
      <c r="H34" s="122" t="n">
        <f aca="false">+Border!AD32</f>
        <v>0</v>
      </c>
      <c r="I34" s="22"/>
      <c r="J34" s="22"/>
      <c r="K34" s="22"/>
      <c r="L34" s="123" t="n">
        <f aca="false">SUM(D34:K34)</f>
        <v>8292</v>
      </c>
      <c r="M34" s="70" t="n">
        <f aca="false">+L34-C34</f>
        <v>-6102</v>
      </c>
      <c r="N34" s="70" t="n">
        <f aca="false">N33+M34</f>
        <v>21364</v>
      </c>
      <c r="O34" s="22" t="n">
        <v>1657</v>
      </c>
      <c r="P34" s="22" t="n">
        <v>0</v>
      </c>
      <c r="Q34" s="22"/>
      <c r="R34" s="22"/>
      <c r="S34" s="124" t="n">
        <f aca="false">SUM(P34:R34)</f>
        <v>0</v>
      </c>
      <c r="T34" s="70" t="n">
        <f aca="false">+S34-O34</f>
        <v>-1657</v>
      </c>
      <c r="U34" s="70" t="n">
        <f aca="false">U33+T34</f>
        <v>-8844</v>
      </c>
      <c r="V34" s="22" t="n">
        <v>1101</v>
      </c>
      <c r="W34" s="22" t="n">
        <v>0</v>
      </c>
      <c r="X34" s="22"/>
      <c r="Y34" s="22"/>
      <c r="Z34" s="123" t="n">
        <f aca="false">SUM(W34:Y34)</f>
        <v>0</v>
      </c>
      <c r="AA34" s="70" t="n">
        <f aca="false">+Z34-V34</f>
        <v>-1101</v>
      </c>
      <c r="AB34" s="74" t="n">
        <f aca="false">+AB33+AA34</f>
        <v>1654</v>
      </c>
      <c r="AC34" s="122" t="n">
        <v>147</v>
      </c>
      <c r="AD34" s="122" t="n">
        <v>0</v>
      </c>
      <c r="AE34" s="122"/>
      <c r="AF34" s="122"/>
      <c r="AG34" s="122" t="n">
        <f aca="false">SUM(AD34:AF34)</f>
        <v>0</v>
      </c>
      <c r="AH34" s="125" t="n">
        <f aca="false">+AG34-AC34</f>
        <v>-147</v>
      </c>
      <c r="AI34" s="126" t="n">
        <f aca="false">AI33+AH34</f>
        <v>218</v>
      </c>
      <c r="AJ34" s="122" t="n">
        <v>9468</v>
      </c>
      <c r="AK34" s="122" t="n">
        <v>4294</v>
      </c>
      <c r="AL34" s="122" t="n">
        <v>987</v>
      </c>
      <c r="AM34" s="122" t="n">
        <v>0</v>
      </c>
      <c r="AN34" s="122" t="n">
        <f aca="false">SUM(AK34:AM34)</f>
        <v>5281</v>
      </c>
      <c r="AO34" s="125" t="n">
        <f aca="false">+AN34-AJ34</f>
        <v>-4187</v>
      </c>
      <c r="AP34" s="126" t="n">
        <f aca="false">AP33+AO34</f>
        <v>62943</v>
      </c>
      <c r="AQ34" s="122" t="n">
        <v>0</v>
      </c>
      <c r="AR34" s="122" t="n">
        <v>0</v>
      </c>
      <c r="AS34" s="122"/>
      <c r="AT34" s="122"/>
      <c r="AU34" s="122" t="n">
        <f aca="false">SUM(AR34:AT34)</f>
        <v>0</v>
      </c>
      <c r="AV34" s="125" t="n">
        <f aca="false">+AU34-AQ34</f>
        <v>0</v>
      </c>
      <c r="AW34" s="126" t="n">
        <f aca="false">AW33+AV34</f>
        <v>0</v>
      </c>
      <c r="AX34" s="122" t="n">
        <v>197</v>
      </c>
      <c r="AY34" s="122" t="n">
        <v>0</v>
      </c>
      <c r="AZ34" s="122"/>
      <c r="BA34" s="122"/>
      <c r="BB34" s="122" t="n">
        <f aca="false">SUM(AY34:BA34)</f>
        <v>0</v>
      </c>
      <c r="BC34" s="125" t="n">
        <f aca="false">+BB34-AX34</f>
        <v>-197</v>
      </c>
      <c r="BD34" s="126" t="n">
        <f aca="false">BD33+BC34</f>
        <v>562</v>
      </c>
      <c r="BE34" s="122" t="n">
        <v>305</v>
      </c>
      <c r="BF34" s="122" t="n">
        <v>0</v>
      </c>
      <c r="BG34" s="122"/>
      <c r="BH34" s="122"/>
      <c r="BI34" s="122" t="n">
        <f aca="false">SUM(BF34:BH34)</f>
        <v>0</v>
      </c>
      <c r="BJ34" s="125" t="n">
        <f aca="false">+BI34-BE34</f>
        <v>-305</v>
      </c>
      <c r="BK34" s="126" t="n">
        <f aca="false">BK33+BJ34</f>
        <v>-249</v>
      </c>
      <c r="BL34" s="127"/>
      <c r="BM34" s="127"/>
      <c r="BN34" s="127"/>
      <c r="BO34" s="127"/>
      <c r="BP34" s="127" t="n">
        <f aca="false">SUM(BM34:BO34)</f>
        <v>0</v>
      </c>
      <c r="BQ34" s="128" t="n">
        <f aca="false">+BP34-BL34</f>
        <v>0</v>
      </c>
      <c r="BR34" s="126" t="n">
        <f aca="false">BR33+BQ34</f>
        <v>0</v>
      </c>
      <c r="BS34" s="127"/>
      <c r="BT34" s="127"/>
      <c r="BU34" s="127"/>
      <c r="BV34" s="127"/>
      <c r="BW34" s="127" t="n">
        <f aca="false">SUM(BT34:BV34)</f>
        <v>0</v>
      </c>
      <c r="BX34" s="128" t="n">
        <f aca="false">+BW34-BS34</f>
        <v>0</v>
      </c>
      <c r="BY34" s="126" t="n">
        <f aca="false">BY33+BX34</f>
        <v>0</v>
      </c>
      <c r="BZ34" s="127"/>
      <c r="CA34" s="127"/>
      <c r="CB34" s="127"/>
      <c r="CC34" s="127"/>
      <c r="CD34" s="127" t="n">
        <f aca="false">SUM(CA34:CC34)</f>
        <v>0</v>
      </c>
      <c r="CE34" s="128" t="n">
        <f aca="false">+CD34-BZ34</f>
        <v>0</v>
      </c>
      <c r="CF34" s="126" t="n">
        <f aca="false">CF33+CE34</f>
        <v>0</v>
      </c>
      <c r="CG34" s="127"/>
      <c r="CH34" s="127"/>
      <c r="CI34" s="127"/>
      <c r="CJ34" s="127"/>
      <c r="CK34" s="127" t="n">
        <f aca="false">SUM(CH34:CJ34)</f>
        <v>0</v>
      </c>
      <c r="CL34" s="128" t="n">
        <f aca="false">+CK34-CG34</f>
        <v>0</v>
      </c>
      <c r="CM34" s="126" t="n">
        <f aca="false">CM33+CL34</f>
        <v>0</v>
      </c>
      <c r="CN34" s="70" t="n">
        <f aca="false">+C34+O34+V34+AC34+AJ34+AQ34+AX34+BE34+BL34+BS34+BZ34+CG34</f>
        <v>27269</v>
      </c>
      <c r="CO34" s="70" t="n">
        <f aca="false">+L34+S34+Z34+AG34+AN34+AU34+BB34+BI34+BP34+BW34+CD34+CK34</f>
        <v>13573</v>
      </c>
      <c r="CP34" s="70" t="n">
        <f aca="false">CO34-CN34</f>
        <v>-13696</v>
      </c>
      <c r="CQ34" s="126" t="n">
        <f aca="false">CQ33+CP34</f>
        <v>77648</v>
      </c>
      <c r="CR34" s="74"/>
      <c r="CS34" s="74"/>
      <c r="CT34" s="75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</row>
    <row r="35" customFormat="false" ht="12.75" hidden="false" customHeight="false" outlineLevel="0" collapsed="false">
      <c r="A35" s="69" t="n">
        <f aca="false">+BaseloadMarkets!A35</f>
        <v>36707</v>
      </c>
      <c r="B35" s="69" t="str">
        <f aca="false">+BaseloadMarkets!B35</f>
        <v>Fri</v>
      </c>
      <c r="C35" s="22" t="n">
        <v>10517</v>
      </c>
      <c r="D35" s="22" t="n">
        <v>0</v>
      </c>
      <c r="E35" s="22" t="n">
        <f aca="false">14999+2000+996</f>
        <v>17995</v>
      </c>
      <c r="F35" s="22" t="n">
        <v>1000</v>
      </c>
      <c r="G35" s="22" t="n">
        <v>10806</v>
      </c>
      <c r="H35" s="122" t="n">
        <f aca="false">+Border!AD33</f>
        <v>0</v>
      </c>
      <c r="I35" s="22"/>
      <c r="J35" s="22"/>
      <c r="K35" s="22"/>
      <c r="L35" s="123" t="n">
        <f aca="false">SUM(D35:K35)</f>
        <v>29801</v>
      </c>
      <c r="M35" s="70" t="n">
        <f aca="false">+L35-C35</f>
        <v>19284</v>
      </c>
      <c r="N35" s="70" t="n">
        <f aca="false">N34+M35</f>
        <v>40648</v>
      </c>
      <c r="O35" s="22" t="n">
        <v>1729</v>
      </c>
      <c r="P35" s="22" t="n">
        <v>0</v>
      </c>
      <c r="Q35" s="22"/>
      <c r="R35" s="22" t="n">
        <f aca="false">3485+3486+3486+3486</f>
        <v>13943</v>
      </c>
      <c r="S35" s="124" t="n">
        <f aca="false">SUM(P35:R35)</f>
        <v>13943</v>
      </c>
      <c r="T35" s="70" t="n">
        <f aca="false">+S35-O35</f>
        <v>12214</v>
      </c>
      <c r="U35" s="70" t="n">
        <f aca="false">U34+T35</f>
        <v>3370</v>
      </c>
      <c r="V35" s="22" t="n">
        <v>1465</v>
      </c>
      <c r="W35" s="22" t="n">
        <v>0</v>
      </c>
      <c r="X35" s="22" t="n">
        <v>3485</v>
      </c>
      <c r="Y35" s="22"/>
      <c r="Z35" s="123" t="n">
        <f aca="false">SUM(W35:Y35)</f>
        <v>3485</v>
      </c>
      <c r="AA35" s="70" t="n">
        <f aca="false">+Z35-V35</f>
        <v>2020</v>
      </c>
      <c r="AB35" s="74" t="n">
        <f aca="false">+AB34+AA35</f>
        <v>3674</v>
      </c>
      <c r="AC35" s="122" t="n">
        <v>186</v>
      </c>
      <c r="AD35" s="122" t="n">
        <v>0</v>
      </c>
      <c r="AE35" s="122"/>
      <c r="AF35" s="122"/>
      <c r="AG35" s="122" t="n">
        <f aca="false">SUM(AD35:AF35)</f>
        <v>0</v>
      </c>
      <c r="AH35" s="125" t="n">
        <f aca="false">+AG35-AC35</f>
        <v>-186</v>
      </c>
      <c r="AI35" s="126" t="n">
        <f aca="false">AI34+AH35</f>
        <v>32</v>
      </c>
      <c r="AJ35" s="122" t="n">
        <v>9915</v>
      </c>
      <c r="AK35" s="122" t="n">
        <v>17427</v>
      </c>
      <c r="AL35" s="122" t="n">
        <v>988</v>
      </c>
      <c r="AM35" s="122" t="n">
        <v>7024</v>
      </c>
      <c r="AN35" s="122" t="n">
        <f aca="false">SUM(AK35:AM35)</f>
        <v>25439</v>
      </c>
      <c r="AO35" s="125" t="n">
        <f aca="false">+AN35-AJ35</f>
        <v>15524</v>
      </c>
      <c r="AP35" s="126" t="n">
        <f aca="false">AP34+AO35</f>
        <v>78467</v>
      </c>
      <c r="AQ35" s="122" t="n">
        <v>0</v>
      </c>
      <c r="AR35" s="122" t="n">
        <v>0</v>
      </c>
      <c r="AS35" s="122"/>
      <c r="AT35" s="122"/>
      <c r="AU35" s="122" t="n">
        <f aca="false">SUM(AR35:AT35)</f>
        <v>0</v>
      </c>
      <c r="AV35" s="125" t="n">
        <f aca="false">+AU35-AQ35</f>
        <v>0</v>
      </c>
      <c r="AW35" s="126" t="n">
        <f aca="false">AW34+AV35</f>
        <v>0</v>
      </c>
      <c r="AX35" s="122" t="n">
        <v>195</v>
      </c>
      <c r="AY35" s="122" t="n">
        <v>551</v>
      </c>
      <c r="AZ35" s="122"/>
      <c r="BA35" s="122"/>
      <c r="BB35" s="122" t="n">
        <f aca="false">SUM(AY35:BA35)</f>
        <v>551</v>
      </c>
      <c r="BC35" s="125" t="n">
        <f aca="false">+BB35-AX35</f>
        <v>356</v>
      </c>
      <c r="BD35" s="126" t="n">
        <f aca="false">BD34+BC35</f>
        <v>918</v>
      </c>
      <c r="BE35" s="122" t="n">
        <v>286</v>
      </c>
      <c r="BF35" s="122" t="n">
        <v>551</v>
      </c>
      <c r="BG35" s="122"/>
      <c r="BH35" s="122"/>
      <c r="BI35" s="122" t="n">
        <f aca="false">SUM(BF35:BH35)</f>
        <v>551</v>
      </c>
      <c r="BJ35" s="125" t="n">
        <f aca="false">+BI35-BE35</f>
        <v>265</v>
      </c>
      <c r="BK35" s="126" t="n">
        <f aca="false">BK34+BJ35</f>
        <v>16</v>
      </c>
      <c r="BL35" s="127"/>
      <c r="BM35" s="127"/>
      <c r="BN35" s="127"/>
      <c r="BO35" s="127"/>
      <c r="BP35" s="127" t="n">
        <f aca="false">SUM(BM35:BO35)</f>
        <v>0</v>
      </c>
      <c r="BQ35" s="128" t="n">
        <f aca="false">+BP35-BL35</f>
        <v>0</v>
      </c>
      <c r="BR35" s="126" t="n">
        <f aca="false">BR34+BQ35</f>
        <v>0</v>
      </c>
      <c r="BS35" s="127"/>
      <c r="BT35" s="127"/>
      <c r="BU35" s="127"/>
      <c r="BV35" s="127"/>
      <c r="BW35" s="127" t="n">
        <f aca="false">SUM(BT35:BV35)</f>
        <v>0</v>
      </c>
      <c r="BX35" s="128" t="n">
        <f aca="false">+BW35-BS35</f>
        <v>0</v>
      </c>
      <c r="BY35" s="126" t="n">
        <f aca="false">BY34+BX35</f>
        <v>0</v>
      </c>
      <c r="BZ35" s="127"/>
      <c r="CA35" s="127"/>
      <c r="CB35" s="127"/>
      <c r="CC35" s="127"/>
      <c r="CD35" s="127" t="n">
        <f aca="false">SUM(CA35:CC35)</f>
        <v>0</v>
      </c>
      <c r="CE35" s="128" t="n">
        <f aca="false">+CD35-BZ35</f>
        <v>0</v>
      </c>
      <c r="CF35" s="126" t="n">
        <f aca="false">CF34+CE35</f>
        <v>0</v>
      </c>
      <c r="CG35" s="127"/>
      <c r="CH35" s="127"/>
      <c r="CI35" s="127"/>
      <c r="CJ35" s="127"/>
      <c r="CK35" s="127" t="n">
        <f aca="false">SUM(CH35:CJ35)</f>
        <v>0</v>
      </c>
      <c r="CL35" s="128" t="n">
        <f aca="false">+CK35-CG35</f>
        <v>0</v>
      </c>
      <c r="CM35" s="126" t="n">
        <f aca="false">CM34+CL35</f>
        <v>0</v>
      </c>
      <c r="CN35" s="70" t="n">
        <f aca="false">+C35+O35+V35+AC35+AJ35+AQ35+AX35+BE35+BL35+BS35+BZ35+CG35</f>
        <v>24293</v>
      </c>
      <c r="CO35" s="70" t="n">
        <f aca="false">+L35+S35+Z35+AG35+AN35+AU35+BB35+BI35+BP35+BW35+CD35+CK35</f>
        <v>73770</v>
      </c>
      <c r="CP35" s="70" t="n">
        <f aca="false">CO35-CN35</f>
        <v>49477</v>
      </c>
      <c r="CQ35" s="126" t="n">
        <f aca="false">CQ34+CP35</f>
        <v>127125</v>
      </c>
      <c r="CR35" s="74"/>
      <c r="CS35" s="74"/>
      <c r="CT35" s="75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</row>
    <row r="36" customFormat="false" ht="12.75" hidden="false" customHeight="false" outlineLevel="0" collapsed="false">
      <c r="A36" s="69"/>
      <c r="B36" s="69"/>
      <c r="C36" s="22"/>
      <c r="D36" s="22"/>
      <c r="E36" s="22"/>
      <c r="F36" s="22"/>
      <c r="G36" s="22"/>
      <c r="H36" s="122"/>
      <c r="I36" s="22"/>
      <c r="J36" s="22"/>
      <c r="K36" s="22"/>
      <c r="L36" s="123"/>
      <c r="M36" s="70"/>
      <c r="N36" s="70"/>
      <c r="O36" s="22"/>
      <c r="P36" s="22"/>
      <c r="Q36" s="22"/>
      <c r="R36" s="22"/>
      <c r="S36" s="124"/>
      <c r="T36" s="70"/>
      <c r="U36" s="70"/>
      <c r="V36" s="22"/>
      <c r="W36" s="22"/>
      <c r="X36" s="22"/>
      <c r="Y36" s="22"/>
      <c r="Z36" s="123"/>
      <c r="AA36" s="70"/>
      <c r="AB36" s="74"/>
      <c r="AC36" s="122"/>
      <c r="AD36" s="122"/>
      <c r="AE36" s="122"/>
      <c r="AF36" s="122"/>
      <c r="AG36" s="122"/>
      <c r="AH36" s="125"/>
      <c r="AI36" s="126"/>
      <c r="AJ36" s="122"/>
      <c r="AK36" s="122"/>
      <c r="AL36" s="122"/>
      <c r="AM36" s="122"/>
      <c r="AN36" s="122"/>
      <c r="AO36" s="125"/>
      <c r="AP36" s="126"/>
      <c r="AQ36" s="122"/>
      <c r="AR36" s="122"/>
      <c r="AS36" s="122"/>
      <c r="AT36" s="122"/>
      <c r="AU36" s="122"/>
      <c r="AV36" s="125"/>
      <c r="AW36" s="126"/>
      <c r="AX36" s="122"/>
      <c r="AY36" s="122"/>
      <c r="AZ36" s="122"/>
      <c r="BA36" s="122"/>
      <c r="BB36" s="122"/>
      <c r="BC36" s="125"/>
      <c r="BD36" s="126"/>
      <c r="BE36" s="122"/>
      <c r="BF36" s="122"/>
      <c r="BG36" s="122"/>
      <c r="BH36" s="122"/>
      <c r="BI36" s="122"/>
      <c r="BJ36" s="125"/>
      <c r="BK36" s="126"/>
      <c r="BL36" s="127"/>
      <c r="BM36" s="127"/>
      <c r="BN36" s="127"/>
      <c r="BO36" s="127"/>
      <c r="BP36" s="127"/>
      <c r="BQ36" s="128"/>
      <c r="BR36" s="126"/>
      <c r="BS36" s="127"/>
      <c r="BT36" s="127"/>
      <c r="BU36" s="127"/>
      <c r="BV36" s="127"/>
      <c r="BW36" s="127"/>
      <c r="BX36" s="128"/>
      <c r="BY36" s="126"/>
      <c r="BZ36" s="127"/>
      <c r="CA36" s="127"/>
      <c r="CB36" s="127"/>
      <c r="CC36" s="127"/>
      <c r="CD36" s="127"/>
      <c r="CE36" s="128"/>
      <c r="CF36" s="126"/>
      <c r="CG36" s="127"/>
      <c r="CH36" s="127"/>
      <c r="CI36" s="127"/>
      <c r="CJ36" s="127"/>
      <c r="CK36" s="127"/>
      <c r="CL36" s="128"/>
      <c r="CM36" s="126"/>
      <c r="CN36" s="70"/>
      <c r="CO36" s="70"/>
      <c r="CP36" s="70"/>
      <c r="CQ36" s="126"/>
      <c r="CR36" s="74"/>
      <c r="CS36" s="74"/>
      <c r="CT36" s="75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</row>
    <row r="37" customFormat="false" ht="12.75" hidden="false" customHeight="false" outlineLevel="0" collapsed="false">
      <c r="A37" s="76" t="s">
        <v>72</v>
      </c>
      <c r="C37" s="28" t="n">
        <f aca="false">SUM(C6:C36)</f>
        <v>331137</v>
      </c>
      <c r="D37" s="28" t="n">
        <f aca="false">SUM(D6:D36)</f>
        <v>48077</v>
      </c>
      <c r="E37" s="28" t="n">
        <f aca="false">SUM(E6:E36)</f>
        <v>139483</v>
      </c>
      <c r="F37" s="28" t="n">
        <f aca="false">SUM(F6:F36)</f>
        <v>30000</v>
      </c>
      <c r="G37" s="28" t="n">
        <f aca="false">SUM(G6:G36)</f>
        <v>144225</v>
      </c>
      <c r="H37" s="130" t="n">
        <f aca="false">SUM(H6:H36)</f>
        <v>0</v>
      </c>
      <c r="I37" s="28" t="n">
        <f aca="false">SUM(I6:I36)</f>
        <v>10000</v>
      </c>
      <c r="J37" s="28" t="n">
        <f aca="false">SUM(J6:J36)</f>
        <v>0</v>
      </c>
      <c r="K37" s="28" t="n">
        <f aca="false">SUM(K6:K36)</f>
        <v>0</v>
      </c>
      <c r="L37" s="131" t="n">
        <f aca="false">SUM(L6:L36)</f>
        <v>371785</v>
      </c>
      <c r="M37" s="77" t="n">
        <f aca="false">SUM(M6:M36)</f>
        <v>40648</v>
      </c>
      <c r="N37" s="77"/>
      <c r="O37" s="28" t="n">
        <f aca="false">SUM(O6:O36)</f>
        <v>50311</v>
      </c>
      <c r="P37" s="28" t="n">
        <f aca="false">SUM(P6:P36)</f>
        <v>27633</v>
      </c>
      <c r="Q37" s="28" t="n">
        <f aca="false">SUM(Q6:Q36)</f>
        <v>0</v>
      </c>
      <c r="R37" s="28" t="n">
        <f aca="false">SUM(R6:R36)</f>
        <v>26048</v>
      </c>
      <c r="S37" s="131" t="n">
        <f aca="false">SUM(S6:S36)</f>
        <v>53681</v>
      </c>
      <c r="T37" s="77" t="n">
        <f aca="false">SUM(T6:T36)</f>
        <v>3370</v>
      </c>
      <c r="U37" s="77"/>
      <c r="V37" s="28" t="n">
        <f aca="false">SUM(V6:V36)</f>
        <v>27678</v>
      </c>
      <c r="W37" s="28" t="n">
        <f aca="false">SUM(W6:W36)</f>
        <v>24927</v>
      </c>
      <c r="X37" s="28" t="n">
        <f aca="false">SUM(X6:X36)</f>
        <v>6425</v>
      </c>
      <c r="Y37" s="28" t="n">
        <f aca="false">SUM(Y6:Y36)</f>
        <v>0</v>
      </c>
      <c r="Z37" s="131" t="n">
        <f aca="false">SUM(Z6:Z36)</f>
        <v>31352</v>
      </c>
      <c r="AA37" s="77" t="n">
        <f aca="false">SUM(AA6:AA36)</f>
        <v>3674</v>
      </c>
      <c r="AB37" s="83"/>
      <c r="AC37" s="130" t="n">
        <f aca="false">SUM(AC6:AC36)</f>
        <v>4607</v>
      </c>
      <c r="AD37" s="130" t="n">
        <f aca="false">SUM(AD6:AD36)</f>
        <v>4639</v>
      </c>
      <c r="AE37" s="130" t="n">
        <f aca="false">SUM(AE6:AE36)</f>
        <v>0</v>
      </c>
      <c r="AF37" s="130" t="n">
        <f aca="false">SUM(AF6:AF36)</f>
        <v>0</v>
      </c>
      <c r="AG37" s="130" t="n">
        <f aca="false">SUM(AG6:AG36)</f>
        <v>4639</v>
      </c>
      <c r="AH37" s="132" t="n">
        <f aca="false">SUM(AH6:AH36)</f>
        <v>32</v>
      </c>
      <c r="AI37" s="133"/>
      <c r="AJ37" s="130" t="n">
        <f aca="false">SUM(AJ6:AJ36)</f>
        <v>273467</v>
      </c>
      <c r="AK37" s="130" t="n">
        <f aca="false">SUM(AK6:AK36)</f>
        <v>144013</v>
      </c>
      <c r="AL37" s="130" t="n">
        <f aca="false">SUM(AL6:AL36)</f>
        <v>41689</v>
      </c>
      <c r="AM37" s="130" t="n">
        <f aca="false">SUM(AM6:AM36)</f>
        <v>166232</v>
      </c>
      <c r="AN37" s="130" t="n">
        <f aca="false">SUM(AN6:AN36)</f>
        <v>351934</v>
      </c>
      <c r="AO37" s="132" t="n">
        <f aca="false">SUM(AO6:AO36)</f>
        <v>78467</v>
      </c>
      <c r="AP37" s="133"/>
      <c r="AQ37" s="130" t="n">
        <f aca="false">SUM(AQ6:AQ36)</f>
        <v>0</v>
      </c>
      <c r="AR37" s="130" t="n">
        <f aca="false">SUM(AR6:AR36)</f>
        <v>0</v>
      </c>
      <c r="AS37" s="130" t="n">
        <f aca="false">SUM(AS6:AS36)</f>
        <v>0</v>
      </c>
      <c r="AT37" s="130" t="n">
        <f aca="false">SUM(AT6:AT36)</f>
        <v>0</v>
      </c>
      <c r="AU37" s="130" t="n">
        <f aca="false">SUM(AU6:AU36)</f>
        <v>0</v>
      </c>
      <c r="AV37" s="132" t="n">
        <f aca="false">SUM(AV6:AV36)</f>
        <v>0</v>
      </c>
      <c r="AW37" s="133"/>
      <c r="AX37" s="130" t="n">
        <f aca="false">SUM(AX6:AX36)</f>
        <v>4398</v>
      </c>
      <c r="AY37" s="130" t="n">
        <f aca="false">SUM(AY6:AY36)</f>
        <v>5316</v>
      </c>
      <c r="AZ37" s="130" t="n">
        <f aca="false">SUM(AZ6:AZ36)</f>
        <v>0</v>
      </c>
      <c r="BA37" s="130" t="n">
        <f aca="false">SUM(BA6:BA36)</f>
        <v>0</v>
      </c>
      <c r="BB37" s="130" t="n">
        <f aca="false">SUM(BB6:BB36)</f>
        <v>5316</v>
      </c>
      <c r="BC37" s="132" t="n">
        <f aca="false">SUM(BC6:BC36)</f>
        <v>918</v>
      </c>
      <c r="BD37" s="133"/>
      <c r="BE37" s="130" t="n">
        <f aca="false">SUM(BE6:BE36)</f>
        <v>7136</v>
      </c>
      <c r="BF37" s="130" t="n">
        <f aca="false">SUM(BF6:BF36)</f>
        <v>7152</v>
      </c>
      <c r="BG37" s="130" t="n">
        <f aca="false">SUM(BG6:BG36)</f>
        <v>0</v>
      </c>
      <c r="BH37" s="130" t="n">
        <f aca="false">SUM(BH6:BH36)</f>
        <v>0</v>
      </c>
      <c r="BI37" s="130" t="n">
        <f aca="false">SUM(BI6:BI36)</f>
        <v>7152</v>
      </c>
      <c r="BJ37" s="132" t="n">
        <f aca="false">SUM(BJ6:BJ36)</f>
        <v>16</v>
      </c>
      <c r="BK37" s="133"/>
      <c r="BL37" s="134" t="n">
        <f aca="false">SUM(BL6:BL36)</f>
        <v>0</v>
      </c>
      <c r="BM37" s="134" t="n">
        <f aca="false">SUM(BM6:BM36)</f>
        <v>0</v>
      </c>
      <c r="BN37" s="134" t="n">
        <f aca="false">SUM(BN6:BN36)</f>
        <v>0</v>
      </c>
      <c r="BO37" s="134" t="n">
        <f aca="false">SUM(BO6:BO36)</f>
        <v>0</v>
      </c>
      <c r="BP37" s="134" t="n">
        <f aca="false">SUM(BP6:BP36)</f>
        <v>0</v>
      </c>
      <c r="BQ37" s="135" t="n">
        <f aca="false">SUM(BQ6:BQ36)</f>
        <v>0</v>
      </c>
      <c r="BR37" s="133"/>
      <c r="BS37" s="134" t="n">
        <f aca="false">SUM(BS6:BS36)</f>
        <v>0</v>
      </c>
      <c r="BT37" s="134" t="n">
        <f aca="false">SUM(BT6:BT36)</f>
        <v>0</v>
      </c>
      <c r="BU37" s="134" t="n">
        <f aca="false">SUM(BU6:BU36)</f>
        <v>0</v>
      </c>
      <c r="BV37" s="134" t="n">
        <f aca="false">SUM(BV6:BV36)</f>
        <v>0</v>
      </c>
      <c r="BW37" s="134" t="n">
        <f aca="false">SUM(BW6:BW36)</f>
        <v>0</v>
      </c>
      <c r="BX37" s="135" t="n">
        <f aca="false">SUM(BX6:BX36)</f>
        <v>0</v>
      </c>
      <c r="BY37" s="133"/>
      <c r="BZ37" s="134" t="n">
        <f aca="false">SUM(BZ6:BZ36)</f>
        <v>0</v>
      </c>
      <c r="CA37" s="134" t="n">
        <f aca="false">SUM(CA6:CA36)</f>
        <v>0</v>
      </c>
      <c r="CB37" s="134" t="n">
        <f aca="false">SUM(CB6:CB36)</f>
        <v>0</v>
      </c>
      <c r="CC37" s="134" t="n">
        <f aca="false">SUM(CC6:CC36)</f>
        <v>0</v>
      </c>
      <c r="CD37" s="134" t="n">
        <f aca="false">SUM(CD6:CD36)</f>
        <v>0</v>
      </c>
      <c r="CE37" s="135" t="n">
        <f aca="false">SUM(CE6:CE36)</f>
        <v>0</v>
      </c>
      <c r="CF37" s="133"/>
      <c r="CG37" s="134" t="n">
        <f aca="false">SUM(CG6:CG36)</f>
        <v>0</v>
      </c>
      <c r="CH37" s="134" t="n">
        <f aca="false">SUM(CH6:CH36)</f>
        <v>0</v>
      </c>
      <c r="CI37" s="134" t="n">
        <f aca="false">SUM(CI6:CI36)</f>
        <v>0</v>
      </c>
      <c r="CJ37" s="134" t="n">
        <f aca="false">SUM(CJ6:CJ36)</f>
        <v>0</v>
      </c>
      <c r="CK37" s="134" t="n">
        <f aca="false">SUM(CK6:CK36)</f>
        <v>0</v>
      </c>
      <c r="CL37" s="135" t="n">
        <f aca="false">SUM(CL6:CL36)</f>
        <v>0</v>
      </c>
      <c r="CM37" s="133"/>
      <c r="CN37" s="78" t="n">
        <f aca="false">SUM(CN6:CN36)</f>
        <v>698734</v>
      </c>
      <c r="CO37" s="77" t="n">
        <f aca="false">SUM(CO6:CO36)</f>
        <v>825859</v>
      </c>
      <c r="CP37" s="77" t="n">
        <f aca="false">SUM(CP6:CP36)</f>
        <v>127125</v>
      </c>
      <c r="CQ37" s="28"/>
      <c r="CR37" s="28"/>
      <c r="CS37" s="28"/>
      <c r="CT37" s="79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80"/>
      <c r="DH37" s="80"/>
      <c r="DI37" s="80"/>
      <c r="DJ37" s="80"/>
      <c r="DK37" s="80"/>
      <c r="DL37" s="80"/>
      <c r="DM37" s="80"/>
      <c r="DN37" s="80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2"/>
      <c r="EL37" s="82"/>
      <c r="EM37" s="82"/>
      <c r="EN37" s="82"/>
      <c r="EO37" s="82"/>
      <c r="EP37" s="82"/>
      <c r="EQ37" s="82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4"/>
      <c r="C38" s="84"/>
      <c r="D38" s="84"/>
      <c r="E38" s="84"/>
      <c r="F38" s="84"/>
      <c r="G38" s="84"/>
      <c r="H38" s="136"/>
      <c r="I38" s="84"/>
      <c r="J38" s="84"/>
      <c r="K38" s="84"/>
      <c r="L38" s="137"/>
      <c r="M38" s="84"/>
      <c r="N38" s="84"/>
      <c r="O38" s="31"/>
      <c r="P38" s="84"/>
      <c r="Q38" s="84"/>
      <c r="R38" s="84"/>
      <c r="S38" s="138"/>
      <c r="T38" s="31"/>
      <c r="U38" s="31"/>
      <c r="V38" s="31"/>
      <c r="W38" s="84"/>
      <c r="X38" s="84"/>
      <c r="Y38" s="84"/>
      <c r="Z38" s="138"/>
      <c r="AA38" s="31"/>
      <c r="AB38" s="89"/>
      <c r="AC38" s="139"/>
      <c r="AD38" s="139"/>
      <c r="AE38" s="140"/>
      <c r="AF38" s="139"/>
      <c r="AG38" s="139"/>
      <c r="AH38" s="139"/>
      <c r="AI38" s="141"/>
      <c r="AJ38" s="139"/>
      <c r="AK38" s="139"/>
      <c r="AL38" s="140"/>
      <c r="AM38" s="139"/>
      <c r="AN38" s="139"/>
      <c r="AO38" s="139"/>
      <c r="AP38" s="141"/>
      <c r="AQ38" s="139"/>
      <c r="AR38" s="139"/>
      <c r="AS38" s="140"/>
      <c r="AT38" s="139"/>
      <c r="AU38" s="139"/>
      <c r="AV38" s="139"/>
      <c r="AW38" s="141"/>
      <c r="AX38" s="139"/>
      <c r="AY38" s="139"/>
      <c r="AZ38" s="140"/>
      <c r="BA38" s="139"/>
      <c r="BB38" s="139"/>
      <c r="BC38" s="139"/>
      <c r="BD38" s="141"/>
      <c r="BE38" s="139"/>
      <c r="BF38" s="139"/>
      <c r="BG38" s="140"/>
      <c r="BH38" s="139"/>
      <c r="BI38" s="139"/>
      <c r="BJ38" s="139"/>
      <c r="BK38" s="141"/>
      <c r="BL38" s="142"/>
      <c r="BM38" s="142"/>
      <c r="BN38" s="143"/>
      <c r="BO38" s="142"/>
      <c r="BP38" s="142"/>
      <c r="BQ38" s="142"/>
      <c r="BR38" s="141"/>
      <c r="BS38" s="142"/>
      <c r="BT38" s="142"/>
      <c r="BU38" s="143"/>
      <c r="BV38" s="142"/>
      <c r="BW38" s="142"/>
      <c r="BX38" s="142"/>
      <c r="BY38" s="141"/>
      <c r="BZ38" s="142"/>
      <c r="CA38" s="142"/>
      <c r="CB38" s="143"/>
      <c r="CC38" s="142"/>
      <c r="CD38" s="142"/>
      <c r="CE38" s="142"/>
      <c r="CF38" s="141"/>
      <c r="CG38" s="142"/>
      <c r="CH38" s="142"/>
      <c r="CI38" s="143"/>
      <c r="CJ38" s="142"/>
      <c r="CK38" s="142"/>
      <c r="CL38" s="142"/>
      <c r="CM38" s="141"/>
      <c r="CN38" s="40"/>
      <c r="CO38" s="31"/>
      <c r="CP38" s="31"/>
      <c r="CQ38" s="31"/>
      <c r="CR38" s="31"/>
      <c r="CS38" s="31"/>
      <c r="CT38" s="85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86"/>
      <c r="DH38" s="86"/>
      <c r="DI38" s="86"/>
      <c r="DJ38" s="86"/>
      <c r="DK38" s="86"/>
      <c r="DL38" s="86"/>
      <c r="DM38" s="86"/>
      <c r="DN38" s="86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8"/>
      <c r="EL38" s="88"/>
      <c r="EM38" s="88"/>
      <c r="EN38" s="88"/>
      <c r="EO38" s="88"/>
      <c r="EP38" s="88"/>
      <c r="EQ38" s="88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42"/>
      <c r="C39" s="144"/>
      <c r="E39" s="22"/>
      <c r="F39" s="22"/>
      <c r="G39" s="22"/>
      <c r="I39" s="22"/>
      <c r="J39" s="22"/>
      <c r="K39" s="22"/>
      <c r="L39" s="123"/>
      <c r="M39" s="70"/>
      <c r="P39" s="22"/>
      <c r="Q39" s="22"/>
      <c r="R39" s="22"/>
      <c r="W39" s="22"/>
      <c r="X39" s="22"/>
      <c r="Y39" s="22"/>
      <c r="AE39" s="140"/>
      <c r="AL39" s="140"/>
      <c r="AS39" s="140"/>
      <c r="AZ39" s="140"/>
      <c r="BG39" s="140"/>
      <c r="BN39" s="143"/>
      <c r="BU39" s="143"/>
      <c r="CB39" s="143"/>
      <c r="CI39" s="143"/>
      <c r="CN39" s="40"/>
    </row>
    <row r="40" customFormat="false" ht="12.75" hidden="false" customHeight="false" outlineLevel="0" collapsed="false">
      <c r="A40" s="42"/>
      <c r="C40" s="22"/>
      <c r="E40" s="22"/>
      <c r="F40" s="22"/>
      <c r="G40" s="22"/>
      <c r="I40" s="22"/>
      <c r="J40" s="22"/>
      <c r="K40" s="22"/>
      <c r="L40" s="123"/>
      <c r="M40" s="70"/>
      <c r="P40" s="22"/>
      <c r="Q40" s="22"/>
      <c r="R40" s="22"/>
      <c r="W40" s="22"/>
      <c r="X40" s="22"/>
      <c r="Y40" s="22"/>
      <c r="CN40" s="40"/>
    </row>
    <row r="41" customFormat="false" ht="12.75" hidden="false" customHeight="false" outlineLevel="0" collapsed="false">
      <c r="A41" s="42"/>
      <c r="C41" s="22"/>
      <c r="M41" s="70"/>
      <c r="N41" s="22"/>
    </row>
    <row r="42" customFormat="false" ht="12.75" hidden="false" customHeight="false" outlineLevel="0" collapsed="false">
      <c r="A42" s="42"/>
      <c r="M42" s="22"/>
      <c r="N42" s="22"/>
    </row>
    <row r="43" customFormat="false" ht="12.75" hidden="false" customHeight="false" outlineLevel="0" collapsed="false">
      <c r="A43" s="42"/>
      <c r="E43" s="22"/>
      <c r="F43" s="22"/>
      <c r="G43" s="22"/>
      <c r="H43" s="122"/>
      <c r="I43" s="22"/>
      <c r="J43" s="22"/>
      <c r="K43" s="22"/>
      <c r="N43" s="22"/>
      <c r="P43" s="22"/>
      <c r="Q43" s="22"/>
      <c r="R43" s="22"/>
      <c r="W43" s="22"/>
      <c r="X43" s="22"/>
      <c r="Y43" s="22"/>
    </row>
    <row r="44" customFormat="false" ht="12.75" hidden="false" customHeight="false" outlineLevel="0" collapsed="false">
      <c r="A44" s="42"/>
    </row>
    <row r="45" customFormat="false" ht="12.75" hidden="false" customHeight="false" outlineLevel="0" collapsed="false">
      <c r="A45" s="42"/>
      <c r="C45" s="22"/>
      <c r="H45" s="122"/>
    </row>
    <row r="46" customFormat="false" ht="12.75" hidden="false" customHeight="false" outlineLevel="0" collapsed="false">
      <c r="A46" s="42"/>
    </row>
    <row r="47" customFormat="false" ht="12.75" hidden="false" customHeight="false" outlineLevel="0" collapsed="false">
      <c r="A47" s="42"/>
    </row>
    <row r="48" customFormat="false" ht="12.75" hidden="false" customHeight="false" outlineLevel="0" collapsed="false">
      <c r="A48" s="42"/>
    </row>
    <row r="49" customFormat="false" ht="12.75" hidden="false" customHeight="false" outlineLevel="0" collapsed="false">
      <c r="A49" s="42"/>
    </row>
    <row r="50" customFormat="false" ht="12.75" hidden="false" customHeight="false" outlineLevel="0" collapsed="false">
      <c r="A50" s="42"/>
    </row>
    <row r="51" customFormat="false" ht="12.75" hidden="false" customHeight="false" outlineLevel="0" collapsed="false">
      <c r="A51" s="42"/>
    </row>
    <row r="52" customFormat="false" ht="12.75" hidden="false" customHeight="false" outlineLevel="0" collapsed="false">
      <c r="A52" s="42"/>
    </row>
    <row r="53" customFormat="false" ht="12.75" hidden="false" customHeight="false" outlineLevel="0" collapsed="false">
      <c r="A53" s="42"/>
    </row>
    <row r="54" customFormat="false" ht="12.75" hidden="false" customHeight="false" outlineLevel="0" collapsed="false">
      <c r="A54" s="42"/>
    </row>
    <row r="55" customFormat="false" ht="12.75" hidden="false" customHeight="false" outlineLevel="0" collapsed="false">
      <c r="A55" s="42"/>
    </row>
    <row r="56" customFormat="false" ht="12.75" hidden="false" customHeight="false" outlineLevel="0" collapsed="false">
      <c r="A56" s="42"/>
    </row>
    <row r="57" customFormat="false" ht="12.75" hidden="false" customHeight="false" outlineLevel="0" collapsed="false">
      <c r="A57" s="42"/>
    </row>
    <row r="58" customFormat="false" ht="12.75" hidden="false" customHeight="false" outlineLevel="0" collapsed="false">
      <c r="A58" s="42"/>
    </row>
    <row r="59" customFormat="false" ht="12.75" hidden="false" customHeight="false" outlineLevel="0" collapsed="false">
      <c r="A59" s="42"/>
    </row>
    <row r="60" customFormat="false" ht="12.75" hidden="false" customHeight="false" outlineLevel="0" collapsed="false">
      <c r="A60" s="42"/>
    </row>
    <row r="61" customFormat="false" ht="12.75" hidden="false" customHeight="false" outlineLevel="0" collapsed="false">
      <c r="A61" s="42"/>
    </row>
    <row r="62" customFormat="false" ht="12.75" hidden="false" customHeight="false" outlineLevel="0" collapsed="false">
      <c r="A62" s="42"/>
    </row>
    <row r="63" customFormat="false" ht="12.75" hidden="false" customHeight="false" outlineLevel="0" collapsed="false">
      <c r="A63" s="42"/>
    </row>
    <row r="64" customFormat="false" ht="12.75" hidden="false" customHeight="false" outlineLevel="0" collapsed="false">
      <c r="A64" s="42"/>
    </row>
    <row r="65" customFormat="false" ht="12.75" hidden="false" customHeight="false" outlineLevel="0" collapsed="false">
      <c r="A65" s="42"/>
    </row>
    <row r="66" customFormat="false" ht="12.75" hidden="false" customHeight="false" outlineLevel="0" collapsed="false">
      <c r="A66" s="42"/>
    </row>
    <row r="67" customFormat="false" ht="12.75" hidden="false" customHeight="false" outlineLevel="0" collapsed="false">
      <c r="A67" s="42"/>
    </row>
    <row r="68" customFormat="false" ht="12.75" hidden="false" customHeight="false" outlineLevel="0" collapsed="false">
      <c r="A68" s="42"/>
    </row>
    <row r="69" customFormat="false" ht="12.75" hidden="false" customHeight="false" outlineLevel="0" collapsed="false">
      <c r="A69" s="42"/>
    </row>
    <row r="70" customFormat="false" ht="12.75" hidden="false" customHeight="false" outlineLevel="0" collapsed="false">
      <c r="A70" s="42"/>
    </row>
    <row r="71" customFormat="false" ht="12.75" hidden="false" customHeight="false" outlineLevel="0" collapsed="false">
      <c r="A71" s="42"/>
    </row>
    <row r="72" customFormat="false" ht="12.75" hidden="false" customHeight="false" outlineLevel="0" collapsed="false">
      <c r="A72" s="42"/>
    </row>
    <row r="73" customFormat="false" ht="12.75" hidden="false" customHeight="false" outlineLevel="0" collapsed="false">
      <c r="A73" s="42"/>
    </row>
    <row r="74" customFormat="false" ht="12.75" hidden="false" customHeight="false" outlineLevel="0" collapsed="false">
      <c r="A74" s="42"/>
    </row>
    <row r="75" customFormat="false" ht="12.75" hidden="false" customHeight="false" outlineLevel="0" collapsed="false">
      <c r="A75" s="42"/>
    </row>
    <row r="76" customFormat="false" ht="12.75" hidden="false" customHeight="false" outlineLevel="0" collapsed="false">
      <c r="A76" s="42"/>
    </row>
    <row r="77" customFormat="false" ht="12.75" hidden="false" customHeight="false" outlineLevel="0" collapsed="false">
      <c r="A77" s="42"/>
    </row>
    <row r="78" customFormat="false" ht="12.75" hidden="false" customHeight="false" outlineLevel="0" collapsed="false">
      <c r="A78" s="42"/>
    </row>
    <row r="79" customFormat="false" ht="12.75" hidden="false" customHeight="false" outlineLevel="0" collapsed="false">
      <c r="A79" s="42"/>
    </row>
    <row r="80" customFormat="false" ht="12.75" hidden="false" customHeight="false" outlineLevel="0" collapsed="false">
      <c r="A80" s="42"/>
    </row>
    <row r="81" customFormat="false" ht="12.75" hidden="false" customHeight="false" outlineLevel="0" collapsed="false">
      <c r="A81" s="42"/>
    </row>
    <row r="82" customFormat="false" ht="12.75" hidden="false" customHeight="false" outlineLevel="0" collapsed="false">
      <c r="A82" s="42"/>
    </row>
    <row r="83" customFormat="false" ht="12.75" hidden="false" customHeight="false" outlineLevel="0" collapsed="false">
      <c r="A83" s="42"/>
    </row>
    <row r="84" customFormat="false" ht="12.75" hidden="false" customHeight="false" outlineLevel="0" collapsed="false">
      <c r="A84" s="42"/>
    </row>
    <row r="85" customFormat="false" ht="12.75" hidden="false" customHeight="false" outlineLevel="0" collapsed="false">
      <c r="A85" s="42"/>
    </row>
    <row r="86" customFormat="false" ht="12.75" hidden="false" customHeight="false" outlineLevel="0" collapsed="false">
      <c r="A86" s="42"/>
    </row>
    <row r="87" customFormat="false" ht="12.75" hidden="false" customHeight="false" outlineLevel="0" collapsed="false">
      <c r="A87" s="42"/>
    </row>
    <row r="88" customFormat="false" ht="12.75" hidden="false" customHeight="false" outlineLevel="0" collapsed="false">
      <c r="A88" s="42"/>
    </row>
    <row r="89" customFormat="false" ht="12.75" hidden="false" customHeight="false" outlineLevel="0" collapsed="false">
      <c r="A89" s="42"/>
    </row>
    <row r="90" customFormat="false" ht="12.75" hidden="false" customHeight="false" outlineLevel="0" collapsed="false">
      <c r="A90" s="42"/>
    </row>
    <row r="91" customFormat="false" ht="12.75" hidden="false" customHeight="false" outlineLevel="0" collapsed="false">
      <c r="A91" s="42"/>
    </row>
    <row r="92" customFormat="false" ht="12.75" hidden="false" customHeight="false" outlineLevel="0" collapsed="false">
      <c r="A92" s="42"/>
    </row>
    <row r="93" customFormat="false" ht="12.75" hidden="false" customHeight="false" outlineLevel="0" collapsed="false">
      <c r="A93" s="42"/>
    </row>
    <row r="94" customFormat="false" ht="12.75" hidden="false" customHeight="false" outlineLevel="0" collapsed="false">
      <c r="A94" s="42"/>
    </row>
    <row r="95" customFormat="false" ht="12.75" hidden="false" customHeight="false" outlineLevel="0" collapsed="false">
      <c r="A95" s="42"/>
    </row>
    <row r="96" customFormat="false" ht="12.75" hidden="false" customHeight="false" outlineLevel="0" collapsed="false">
      <c r="A96" s="42"/>
    </row>
    <row r="97" customFormat="false" ht="12.75" hidden="false" customHeight="false" outlineLevel="0" collapsed="false">
      <c r="A97" s="42"/>
    </row>
    <row r="98" customFormat="false" ht="12.75" hidden="false" customHeight="false" outlineLevel="0" collapsed="false">
      <c r="A98" s="42"/>
    </row>
    <row r="99" customFormat="false" ht="12.75" hidden="false" customHeight="false" outlineLevel="0" collapsed="false">
      <c r="A99" s="42"/>
    </row>
    <row r="100" customFormat="false" ht="12.75" hidden="false" customHeight="false" outlineLevel="0" collapsed="false">
      <c r="A100" s="42"/>
      <c r="C100" s="129" t="n">
        <v>184</v>
      </c>
      <c r="D100" s="145" t="n">
        <f aca="false">ROUND(+C100/$C$105,4)</f>
        <v>0.0284</v>
      </c>
      <c r="E100" s="129" t="n">
        <f aca="false">ROUND(+D100*6000,0)</f>
        <v>170</v>
      </c>
      <c r="F100" s="129" t="n">
        <f aca="false">ROUND(+E100*6000,0)</f>
        <v>1020000</v>
      </c>
      <c r="G100" s="129" t="n">
        <f aca="false">ROUND(+F100*6000,0)</f>
        <v>6120000000</v>
      </c>
      <c r="I100" s="129" t="n">
        <f aca="false">ROUND(+H100*6000,0)</f>
        <v>0</v>
      </c>
      <c r="J100" s="129" t="n">
        <f aca="false">ROUND(+I100*6000,0)</f>
        <v>0</v>
      </c>
      <c r="K100" s="129" t="n">
        <f aca="false">ROUND(+J100*6000,0)</f>
        <v>0</v>
      </c>
      <c r="P100" s="129" t="n">
        <f aca="false">ROUND(+O100*6000,0)</f>
        <v>0</v>
      </c>
      <c r="Q100" s="129" t="n">
        <f aca="false">ROUND(+P100*6000,0)</f>
        <v>0</v>
      </c>
      <c r="R100" s="129" t="n">
        <f aca="false">ROUND(+Q100*6000,0)</f>
        <v>0</v>
      </c>
      <c r="W100" s="129" t="n">
        <f aca="false">ROUND(+V100*6000,0)</f>
        <v>0</v>
      </c>
      <c r="X100" s="129" t="n">
        <f aca="false">ROUND(+W100*6000,0)</f>
        <v>0</v>
      </c>
      <c r="Y100" s="129" t="n">
        <f aca="false">ROUND(+X100*6000,0)</f>
        <v>0</v>
      </c>
    </row>
    <row r="101" customFormat="false" ht="12.75" hidden="false" customHeight="false" outlineLevel="0" collapsed="false">
      <c r="A101" s="42"/>
      <c r="C101" s="129" t="n">
        <v>5771</v>
      </c>
      <c r="D101" s="145" t="n">
        <f aca="false">ROUND(+C101/$C$105,4)</f>
        <v>0.8911</v>
      </c>
      <c r="E101" s="129" t="n">
        <f aca="false">ROUND(+D101*6000,0)</f>
        <v>5347</v>
      </c>
      <c r="F101" s="129" t="n">
        <f aca="false">ROUND(+E101*6000,0)</f>
        <v>32082000</v>
      </c>
      <c r="G101" s="129" t="n">
        <f aca="false">ROUND(+F101*6000,0)</f>
        <v>192492000000</v>
      </c>
      <c r="I101" s="129" t="n">
        <f aca="false">ROUND(+H101*6000,0)</f>
        <v>0</v>
      </c>
      <c r="J101" s="129" t="n">
        <f aca="false">ROUND(+I101*6000,0)</f>
        <v>0</v>
      </c>
      <c r="K101" s="129" t="n">
        <f aca="false">ROUND(+J101*6000,0)</f>
        <v>0</v>
      </c>
      <c r="P101" s="129" t="n">
        <f aca="false">ROUND(+O101*6000,0)</f>
        <v>0</v>
      </c>
      <c r="Q101" s="129" t="n">
        <f aca="false">ROUND(+P101*6000,0)</f>
        <v>0</v>
      </c>
      <c r="R101" s="129" t="n">
        <f aca="false">ROUND(+Q101*6000,0)</f>
        <v>0</v>
      </c>
      <c r="W101" s="129" t="n">
        <f aca="false">ROUND(+V101*6000,0)</f>
        <v>0</v>
      </c>
      <c r="X101" s="129" t="n">
        <f aca="false">ROUND(+W101*6000,0)</f>
        <v>0</v>
      </c>
      <c r="Y101" s="129" t="n">
        <f aca="false">ROUND(+X101*6000,0)</f>
        <v>0</v>
      </c>
    </row>
    <row r="102" customFormat="false" ht="12.75" hidden="false" customHeight="false" outlineLevel="0" collapsed="false">
      <c r="A102" s="42"/>
      <c r="C102" s="129" t="n">
        <v>207</v>
      </c>
      <c r="D102" s="145" t="n">
        <f aca="false">ROUND(+C102/$C$105,4)</f>
        <v>0.032</v>
      </c>
      <c r="E102" s="129" t="n">
        <f aca="false">ROUND(+D102*6000,0)</f>
        <v>192</v>
      </c>
      <c r="F102" s="129" t="n">
        <f aca="false">ROUND(+E102*6000,0)</f>
        <v>1152000</v>
      </c>
      <c r="G102" s="129" t="n">
        <f aca="false">ROUND(+F102*6000,0)</f>
        <v>6912000000</v>
      </c>
      <c r="I102" s="129" t="n">
        <f aca="false">ROUND(+H102*6000,0)</f>
        <v>0</v>
      </c>
      <c r="J102" s="129" t="n">
        <f aca="false">ROUND(+I102*6000,0)</f>
        <v>0</v>
      </c>
      <c r="K102" s="129" t="n">
        <f aca="false">ROUND(+J102*6000,0)</f>
        <v>0</v>
      </c>
      <c r="P102" s="129" t="n">
        <f aca="false">ROUND(+O102*6000,0)</f>
        <v>0</v>
      </c>
      <c r="Q102" s="129" t="n">
        <f aca="false">ROUND(+P102*6000,0)</f>
        <v>0</v>
      </c>
      <c r="R102" s="129" t="n">
        <f aca="false">ROUND(+Q102*6000,0)</f>
        <v>0</v>
      </c>
      <c r="W102" s="129" t="n">
        <f aca="false">ROUND(+V102*6000,0)</f>
        <v>0</v>
      </c>
      <c r="X102" s="129" t="n">
        <f aca="false">ROUND(+W102*6000,0)</f>
        <v>0</v>
      </c>
      <c r="Y102" s="129" t="n">
        <f aca="false">ROUND(+X102*6000,0)</f>
        <v>0</v>
      </c>
    </row>
    <row r="103" customFormat="false" ht="12.75" hidden="false" customHeight="false" outlineLevel="0" collapsed="false">
      <c r="A103" s="42"/>
      <c r="C103" s="129" t="n">
        <v>314</v>
      </c>
      <c r="D103" s="145" t="n">
        <f aca="false">ROUND(+C103/$C$105,4)</f>
        <v>0.0485</v>
      </c>
      <c r="E103" s="129" t="n">
        <f aca="false">ROUND(+D103*6000,0)</f>
        <v>291</v>
      </c>
      <c r="F103" s="129" t="n">
        <f aca="false">ROUND(+E103*6000,0)</f>
        <v>1746000</v>
      </c>
      <c r="G103" s="129" t="n">
        <f aca="false">ROUND(+F103*6000,0)</f>
        <v>10476000000</v>
      </c>
      <c r="I103" s="129" t="n">
        <f aca="false">ROUND(+H103*6000,0)</f>
        <v>0</v>
      </c>
      <c r="J103" s="129" t="n">
        <f aca="false">ROUND(+I103*6000,0)</f>
        <v>0</v>
      </c>
      <c r="K103" s="129" t="n">
        <f aca="false">ROUND(+J103*6000,0)</f>
        <v>0</v>
      </c>
      <c r="P103" s="129" t="n">
        <f aca="false">ROUND(+O103*6000,0)</f>
        <v>0</v>
      </c>
      <c r="Q103" s="129" t="n">
        <f aca="false">ROUND(+P103*6000,0)</f>
        <v>0</v>
      </c>
      <c r="R103" s="129" t="n">
        <f aca="false">ROUND(+Q103*6000,0)</f>
        <v>0</v>
      </c>
      <c r="W103" s="129" t="n">
        <f aca="false">ROUND(+V103*6000,0)</f>
        <v>0</v>
      </c>
      <c r="X103" s="129" t="n">
        <f aca="false">ROUND(+W103*6000,0)</f>
        <v>0</v>
      </c>
      <c r="Y103" s="129" t="n">
        <f aca="false">ROUND(+X103*6000,0)</f>
        <v>0</v>
      </c>
    </row>
    <row r="104" customFormat="false" ht="12.75" hidden="false" customHeight="false" outlineLevel="0" collapsed="false">
      <c r="A104" s="42"/>
      <c r="C104" s="129"/>
      <c r="D104" s="145"/>
      <c r="E104" s="129"/>
      <c r="F104" s="129"/>
      <c r="G104" s="129"/>
      <c r="I104" s="129"/>
      <c r="J104" s="129"/>
      <c r="K104" s="129"/>
      <c r="P104" s="129"/>
      <c r="Q104" s="129"/>
      <c r="R104" s="129"/>
      <c r="W104" s="129"/>
      <c r="X104" s="129"/>
      <c r="Y104" s="129"/>
    </row>
    <row r="105" customFormat="false" ht="12.75" hidden="false" customHeight="false" outlineLevel="0" collapsed="false">
      <c r="A105" s="42"/>
      <c r="C105" s="129" t="n">
        <f aca="false">SUM(C100:C103)</f>
        <v>6476</v>
      </c>
      <c r="D105" s="145" t="n">
        <f aca="false">SUM(D100:D103)</f>
        <v>1</v>
      </c>
      <c r="E105" s="129" t="n">
        <f aca="false">SUM(E100:E103)</f>
        <v>6000</v>
      </c>
      <c r="F105" s="129" t="n">
        <f aca="false">SUM(F100:F103)</f>
        <v>36000000</v>
      </c>
      <c r="G105" s="129" t="n">
        <f aca="false">SUM(G100:G103)</f>
        <v>216000000000</v>
      </c>
      <c r="I105" s="129" t="n">
        <f aca="false">SUM(I100:I103)</f>
        <v>0</v>
      </c>
      <c r="J105" s="129" t="n">
        <f aca="false">SUM(J100:J103)</f>
        <v>0</v>
      </c>
      <c r="K105" s="129" t="n">
        <f aca="false">SUM(K100:K103)</f>
        <v>0</v>
      </c>
      <c r="P105" s="129" t="n">
        <f aca="false">SUM(P100:P103)</f>
        <v>0</v>
      </c>
      <c r="Q105" s="129" t="n">
        <f aca="false">SUM(Q100:Q103)</f>
        <v>0</v>
      </c>
      <c r="R105" s="129" t="n">
        <f aca="false">SUM(R100:R103)</f>
        <v>0</v>
      </c>
      <c r="W105" s="129" t="n">
        <f aca="false">SUM(W100:W103)</f>
        <v>0</v>
      </c>
      <c r="X105" s="129" t="n">
        <f aca="false">SUM(X100:X103)</f>
        <v>0</v>
      </c>
      <c r="Y105" s="129" t="n">
        <f aca="false">SUM(Y100:Y103)</f>
        <v>0</v>
      </c>
    </row>
    <row r="106" customFormat="false" ht="12.75" hidden="false" customHeight="false" outlineLevel="0" collapsed="false">
      <c r="A106" s="42"/>
      <c r="C106" s="129"/>
      <c r="D106" s="129"/>
      <c r="E106" s="129"/>
      <c r="F106" s="129"/>
      <c r="G106" s="129"/>
      <c r="I106" s="129"/>
      <c r="J106" s="129"/>
      <c r="K106" s="129"/>
      <c r="P106" s="129"/>
      <c r="Q106" s="129"/>
      <c r="R106" s="129"/>
      <c r="W106" s="129"/>
      <c r="X106" s="129"/>
      <c r="Y106" s="129"/>
    </row>
    <row r="107" customFormat="false" ht="12.75" hidden="false" customHeight="false" outlineLevel="0" collapsed="false">
      <c r="A107" s="42"/>
      <c r="C107" s="129"/>
      <c r="D107" s="129"/>
      <c r="E107" s="129"/>
      <c r="F107" s="129"/>
      <c r="G107" s="129"/>
      <c r="I107" s="129"/>
      <c r="J107" s="129"/>
      <c r="K107" s="129"/>
      <c r="P107" s="129"/>
      <c r="Q107" s="129"/>
      <c r="R107" s="129"/>
      <c r="W107" s="129"/>
      <c r="X107" s="129"/>
      <c r="Y107" s="129"/>
    </row>
    <row r="108" customFormat="false" ht="12.75" hidden="false" customHeight="false" outlineLevel="0" collapsed="false">
      <c r="A108" s="42"/>
    </row>
    <row r="109" customFormat="false" ht="12.75" hidden="false" customHeight="false" outlineLevel="0" collapsed="false">
      <c r="A109" s="42"/>
    </row>
    <row r="110" customFormat="false" ht="12.75" hidden="false" customHeight="false" outlineLevel="0" collapsed="false">
      <c r="A110" s="42"/>
    </row>
    <row r="111" customFormat="false" ht="12.75" hidden="false" customHeight="false" outlineLevel="0" collapsed="false">
      <c r="A111" s="42"/>
    </row>
    <row r="112" customFormat="false" ht="12.75" hidden="false" customHeight="false" outlineLevel="0" collapsed="false">
      <c r="A112" s="42"/>
    </row>
    <row r="113" customFormat="false" ht="12.75" hidden="false" customHeight="false" outlineLevel="0" collapsed="false">
      <c r="A113" s="42"/>
    </row>
    <row r="114" customFormat="false" ht="12.75" hidden="false" customHeight="false" outlineLevel="0" collapsed="false">
      <c r="A114" s="42"/>
    </row>
    <row r="115" customFormat="false" ht="12.75" hidden="false" customHeight="false" outlineLevel="0" collapsed="false">
      <c r="A115" s="42"/>
    </row>
    <row r="116" customFormat="false" ht="12.75" hidden="false" customHeight="false" outlineLevel="0" collapsed="false">
      <c r="A116" s="42"/>
    </row>
    <row r="117" customFormat="false" ht="12.75" hidden="false" customHeight="false" outlineLevel="0" collapsed="false">
      <c r="A117" s="42"/>
    </row>
    <row r="118" customFormat="false" ht="12.75" hidden="false" customHeight="false" outlineLevel="0" collapsed="false">
      <c r="A118" s="42"/>
    </row>
    <row r="119" customFormat="false" ht="12.75" hidden="false" customHeight="false" outlineLevel="0" collapsed="false">
      <c r="A119" s="42"/>
    </row>
    <row r="120" customFormat="false" ht="12.75" hidden="false" customHeight="false" outlineLevel="0" collapsed="false">
      <c r="A120" s="42"/>
    </row>
    <row r="121" customFormat="false" ht="12.75" hidden="false" customHeight="false" outlineLevel="0" collapsed="false">
      <c r="A121" s="42"/>
    </row>
    <row r="122" customFormat="false" ht="12.75" hidden="false" customHeight="false" outlineLevel="0" collapsed="false">
      <c r="A122" s="42"/>
    </row>
    <row r="123" customFormat="false" ht="12.75" hidden="false" customHeight="false" outlineLevel="0" collapsed="false">
      <c r="A123" s="42"/>
    </row>
    <row r="124" customFormat="false" ht="12.75" hidden="false" customHeight="false" outlineLevel="0" collapsed="false">
      <c r="A124" s="42"/>
    </row>
    <row r="125" customFormat="false" ht="12.75" hidden="false" customHeight="false" outlineLevel="0" collapsed="false">
      <c r="A125" s="42"/>
    </row>
    <row r="126" customFormat="false" ht="12.75" hidden="false" customHeight="false" outlineLevel="0" collapsed="false">
      <c r="A126" s="42"/>
    </row>
    <row r="127" customFormat="false" ht="12.75" hidden="false" customHeight="false" outlineLevel="0" collapsed="false">
      <c r="A127" s="42"/>
    </row>
    <row r="128" customFormat="false" ht="12.75" hidden="false" customHeight="false" outlineLevel="0" collapsed="false">
      <c r="A128" s="42"/>
    </row>
    <row r="129" customFormat="false" ht="12.75" hidden="false" customHeight="false" outlineLevel="0" collapsed="false">
      <c r="A129" s="42"/>
    </row>
    <row r="130" customFormat="false" ht="12.75" hidden="false" customHeight="false" outlineLevel="0" collapsed="false">
      <c r="A130" s="42"/>
    </row>
    <row r="131" customFormat="false" ht="12.75" hidden="false" customHeight="false" outlineLevel="0" collapsed="false">
      <c r="A131" s="42"/>
    </row>
    <row r="132" customFormat="false" ht="12.75" hidden="false" customHeight="false" outlineLevel="0" collapsed="false">
      <c r="A132" s="42"/>
    </row>
    <row r="133" customFormat="false" ht="12.75" hidden="false" customHeight="false" outlineLevel="0" collapsed="false">
      <c r="A133" s="42"/>
    </row>
    <row r="134" customFormat="false" ht="12.75" hidden="false" customHeight="false" outlineLevel="0" collapsed="false">
      <c r="A134" s="42"/>
    </row>
    <row r="135" customFormat="false" ht="12.75" hidden="false" customHeight="false" outlineLevel="0" collapsed="false">
      <c r="A135" s="42"/>
    </row>
    <row r="136" customFormat="false" ht="12.75" hidden="false" customHeight="false" outlineLevel="0" collapsed="false">
      <c r="A136" s="42"/>
    </row>
    <row r="137" customFormat="false" ht="12.75" hidden="false" customHeight="false" outlineLevel="0" collapsed="false">
      <c r="A137" s="42"/>
    </row>
    <row r="138" customFormat="false" ht="12.75" hidden="false" customHeight="false" outlineLevel="0" collapsed="false">
      <c r="A138" s="42"/>
    </row>
    <row r="139" customFormat="false" ht="12.75" hidden="false" customHeight="false" outlineLevel="0" collapsed="false">
      <c r="A139" s="42"/>
    </row>
    <row r="140" customFormat="false" ht="12.75" hidden="false" customHeight="false" outlineLevel="0" collapsed="false">
      <c r="A140" s="42"/>
    </row>
    <row r="141" customFormat="false" ht="12.75" hidden="false" customHeight="false" outlineLevel="0" collapsed="false">
      <c r="A141" s="42"/>
    </row>
    <row r="142" customFormat="false" ht="12.75" hidden="false" customHeight="false" outlineLevel="0" collapsed="false">
      <c r="A142" s="42"/>
    </row>
    <row r="143" customFormat="false" ht="12.75" hidden="false" customHeight="false" outlineLevel="0" collapsed="false">
      <c r="A143" s="42"/>
    </row>
    <row r="144" customFormat="false" ht="12.75" hidden="false" customHeight="false" outlineLevel="0" collapsed="false">
      <c r="A144" s="42"/>
    </row>
    <row r="145" customFormat="false" ht="12.75" hidden="false" customHeight="false" outlineLevel="0" collapsed="false">
      <c r="A145" s="42"/>
    </row>
    <row r="146" customFormat="false" ht="12.75" hidden="false" customHeight="false" outlineLevel="0" collapsed="false">
      <c r="A146" s="42"/>
    </row>
    <row r="147" customFormat="false" ht="12.75" hidden="false" customHeight="false" outlineLevel="0" collapsed="false">
      <c r="A147" s="42"/>
    </row>
    <row r="148" customFormat="false" ht="12.75" hidden="false" customHeight="false" outlineLevel="0" collapsed="false">
      <c r="A148" s="42"/>
    </row>
    <row r="149" customFormat="false" ht="12.75" hidden="false" customHeight="false" outlineLevel="0" collapsed="false">
      <c r="A149" s="42"/>
    </row>
    <row r="150" customFormat="false" ht="12.75" hidden="false" customHeight="false" outlineLevel="0" collapsed="false">
      <c r="A150" s="42"/>
    </row>
    <row r="151" customFormat="false" ht="12.75" hidden="false" customHeight="false" outlineLevel="0" collapsed="false">
      <c r="A151" s="42"/>
    </row>
    <row r="152" customFormat="false" ht="12.75" hidden="false" customHeight="false" outlineLevel="0" collapsed="false">
      <c r="A152" s="42"/>
    </row>
    <row r="153" customFormat="false" ht="12.75" hidden="false" customHeight="false" outlineLevel="0" collapsed="false">
      <c r="A153" s="42"/>
    </row>
    <row r="154" customFormat="false" ht="12.75" hidden="false" customHeight="false" outlineLevel="0" collapsed="false">
      <c r="A154" s="42"/>
    </row>
    <row r="155" customFormat="false" ht="12.75" hidden="false" customHeight="false" outlineLevel="0" collapsed="false">
      <c r="A155" s="42"/>
    </row>
    <row r="156" customFormat="false" ht="12.75" hidden="false" customHeight="false" outlineLevel="0" collapsed="false">
      <c r="A156" s="42"/>
    </row>
    <row r="157" customFormat="false" ht="12.75" hidden="false" customHeight="false" outlineLevel="0" collapsed="false">
      <c r="A157" s="42"/>
    </row>
    <row r="158" customFormat="false" ht="12.75" hidden="false" customHeight="false" outlineLevel="0" collapsed="false">
      <c r="A158" s="42"/>
    </row>
    <row r="159" customFormat="false" ht="12.75" hidden="false" customHeight="false" outlineLevel="0" collapsed="false">
      <c r="A159" s="42"/>
    </row>
    <row r="160" customFormat="false" ht="12.75" hidden="false" customHeight="false" outlineLevel="0" collapsed="false">
      <c r="A160" s="42"/>
    </row>
    <row r="161" customFormat="false" ht="12.75" hidden="false" customHeight="false" outlineLevel="0" collapsed="false">
      <c r="A161" s="42"/>
    </row>
    <row r="162" customFormat="false" ht="12.75" hidden="false" customHeight="false" outlineLevel="0" collapsed="false">
      <c r="A162" s="42"/>
    </row>
    <row r="163" customFormat="false" ht="12.75" hidden="false" customHeight="false" outlineLevel="0" collapsed="false">
      <c r="A163" s="42"/>
    </row>
    <row r="164" customFormat="false" ht="12.75" hidden="false" customHeight="false" outlineLevel="0" collapsed="false">
      <c r="A164" s="42"/>
    </row>
    <row r="165" customFormat="false" ht="12.75" hidden="false" customHeight="false" outlineLevel="0" collapsed="false">
      <c r="A165" s="42"/>
    </row>
    <row r="166" customFormat="false" ht="12.75" hidden="false" customHeight="false" outlineLevel="0" collapsed="false">
      <c r="A166" s="42"/>
    </row>
    <row r="167" customFormat="false" ht="12.75" hidden="false" customHeight="false" outlineLevel="0" collapsed="false">
      <c r="A167" s="42"/>
    </row>
    <row r="168" customFormat="false" ht="12.75" hidden="false" customHeight="false" outlineLevel="0" collapsed="false">
      <c r="A168" s="42"/>
    </row>
    <row r="169" customFormat="false" ht="12.75" hidden="false" customHeight="false" outlineLevel="0" collapsed="false">
      <c r="A169" s="42"/>
    </row>
    <row r="170" customFormat="false" ht="12.75" hidden="false" customHeight="false" outlineLevel="0" collapsed="false">
      <c r="A170" s="42"/>
    </row>
    <row r="171" customFormat="false" ht="12.75" hidden="false" customHeight="false" outlineLevel="0" collapsed="false">
      <c r="A171" s="42"/>
    </row>
    <row r="172" customFormat="false" ht="12.75" hidden="false" customHeight="false" outlineLevel="0" collapsed="false">
      <c r="A172" s="42"/>
    </row>
    <row r="173" customFormat="false" ht="12.75" hidden="false" customHeight="false" outlineLevel="0" collapsed="false">
      <c r="A173" s="42"/>
    </row>
    <row r="174" customFormat="false" ht="12.75" hidden="false" customHeight="false" outlineLevel="0" collapsed="false">
      <c r="A174" s="42"/>
    </row>
    <row r="175" customFormat="false" ht="12.75" hidden="false" customHeight="false" outlineLevel="0" collapsed="false">
      <c r="A175" s="42"/>
    </row>
    <row r="176" customFormat="false" ht="12.75" hidden="false" customHeight="false" outlineLevel="0" collapsed="false">
      <c r="A176" s="42"/>
    </row>
    <row r="177" customFormat="false" ht="12.75" hidden="false" customHeight="false" outlineLevel="0" collapsed="false">
      <c r="A177" s="42"/>
    </row>
    <row r="178" customFormat="false" ht="12.75" hidden="false" customHeight="false" outlineLevel="0" collapsed="false">
      <c r="A178" s="42"/>
    </row>
    <row r="179" customFormat="false" ht="12.75" hidden="false" customHeight="false" outlineLevel="0" collapsed="false">
      <c r="A179" s="42"/>
    </row>
    <row r="180" customFormat="false" ht="12.75" hidden="false" customHeight="false" outlineLevel="0" collapsed="false">
      <c r="A180" s="42"/>
    </row>
    <row r="181" customFormat="false" ht="12.75" hidden="false" customHeight="false" outlineLevel="0" collapsed="false">
      <c r="A181" s="42"/>
    </row>
    <row r="182" customFormat="false" ht="12.75" hidden="false" customHeight="false" outlineLevel="0" collapsed="false">
      <c r="A182" s="42"/>
    </row>
    <row r="183" customFormat="false" ht="12.75" hidden="false" customHeight="false" outlineLevel="0" collapsed="false">
      <c r="A183" s="42"/>
    </row>
    <row r="184" customFormat="false" ht="12.75" hidden="false" customHeight="false" outlineLevel="0" collapsed="false">
      <c r="A184" s="42"/>
    </row>
    <row r="185" customFormat="false" ht="12.75" hidden="false" customHeight="false" outlineLevel="0" collapsed="false">
      <c r="A185" s="42"/>
    </row>
    <row r="186" customFormat="false" ht="12.75" hidden="false" customHeight="false" outlineLevel="0" collapsed="false">
      <c r="A186" s="42"/>
    </row>
    <row r="187" customFormat="false" ht="12.75" hidden="false" customHeight="false" outlineLevel="0" collapsed="false">
      <c r="A187" s="42"/>
    </row>
    <row r="188" customFormat="false" ht="12.75" hidden="false" customHeight="false" outlineLevel="0" collapsed="false">
      <c r="A188" s="42"/>
    </row>
    <row r="189" customFormat="false" ht="12.75" hidden="false" customHeight="false" outlineLevel="0" collapsed="false">
      <c r="A189" s="42"/>
    </row>
    <row r="190" customFormat="false" ht="12.75" hidden="false" customHeight="false" outlineLevel="0" collapsed="false">
      <c r="A190" s="42"/>
    </row>
    <row r="191" customFormat="false" ht="12.75" hidden="false" customHeight="false" outlineLevel="0" collapsed="false">
      <c r="A191" s="42"/>
    </row>
    <row r="192" customFormat="false" ht="12.75" hidden="false" customHeight="false" outlineLevel="0" collapsed="false">
      <c r="A192" s="42"/>
    </row>
    <row r="193" customFormat="false" ht="12.75" hidden="false" customHeight="false" outlineLevel="0" collapsed="false">
      <c r="A193" s="42"/>
    </row>
    <row r="194" customFormat="false" ht="12.75" hidden="false" customHeight="false" outlineLevel="0" collapsed="false">
      <c r="A194" s="42"/>
    </row>
    <row r="195" customFormat="false" ht="12.75" hidden="false" customHeight="false" outlineLevel="0" collapsed="false">
      <c r="A195" s="42"/>
    </row>
    <row r="196" customFormat="false" ht="12.75" hidden="false" customHeight="false" outlineLevel="0" collapsed="false">
      <c r="A196" s="42"/>
    </row>
    <row r="197" customFormat="false" ht="12.75" hidden="false" customHeight="false" outlineLevel="0" collapsed="false">
      <c r="A197" s="42"/>
    </row>
    <row r="198" customFormat="false" ht="12.75" hidden="false" customHeight="false" outlineLevel="0" collapsed="false">
      <c r="A198" s="42"/>
    </row>
    <row r="199" customFormat="false" ht="12.75" hidden="false" customHeight="false" outlineLevel="0" collapsed="false">
      <c r="A199" s="42"/>
    </row>
    <row r="200" customFormat="false" ht="12.75" hidden="false" customHeight="false" outlineLevel="0" collapsed="false">
      <c r="A200" s="42"/>
    </row>
    <row r="201" customFormat="false" ht="12.75" hidden="false" customHeight="false" outlineLevel="0" collapsed="false">
      <c r="A201" s="42"/>
    </row>
    <row r="202" customFormat="false" ht="12.75" hidden="false" customHeight="false" outlineLevel="0" collapsed="false">
      <c r="A202" s="42"/>
    </row>
    <row r="203" customFormat="false" ht="12.75" hidden="false" customHeight="false" outlineLevel="0" collapsed="false">
      <c r="A203" s="42"/>
    </row>
    <row r="204" customFormat="false" ht="12.75" hidden="false" customHeight="false" outlineLevel="0" collapsed="false">
      <c r="A204" s="42"/>
    </row>
    <row r="205" customFormat="false" ht="12.75" hidden="false" customHeight="false" outlineLevel="0" collapsed="false">
      <c r="A205" s="42"/>
    </row>
    <row r="206" customFormat="false" ht="12.75" hidden="false" customHeight="false" outlineLevel="0" collapsed="false">
      <c r="A206" s="42"/>
    </row>
    <row r="207" customFormat="false" ht="12.75" hidden="false" customHeight="false" outlineLevel="0" collapsed="false">
      <c r="A207" s="42"/>
    </row>
    <row r="208" customFormat="false" ht="12.75" hidden="false" customHeight="false" outlineLevel="0" collapsed="false">
      <c r="A208" s="42"/>
    </row>
    <row r="209" customFormat="false" ht="12.75" hidden="false" customHeight="false" outlineLevel="0" collapsed="false">
      <c r="A209" s="42"/>
    </row>
    <row r="210" customFormat="false" ht="12.75" hidden="false" customHeight="false" outlineLevel="0" collapsed="false">
      <c r="A210" s="42"/>
    </row>
    <row r="211" customFormat="false" ht="12.75" hidden="false" customHeight="false" outlineLevel="0" collapsed="false">
      <c r="A211" s="42"/>
    </row>
    <row r="212" customFormat="false" ht="12.75" hidden="false" customHeight="false" outlineLevel="0" collapsed="false">
      <c r="A212" s="42"/>
    </row>
    <row r="213" customFormat="false" ht="12.75" hidden="false" customHeight="false" outlineLevel="0" collapsed="false">
      <c r="A213" s="42"/>
    </row>
    <row r="214" customFormat="false" ht="12.75" hidden="false" customHeight="false" outlineLevel="0" collapsed="false">
      <c r="A214" s="42"/>
    </row>
    <row r="215" customFormat="false" ht="12.75" hidden="false" customHeight="false" outlineLevel="0" collapsed="false">
      <c r="A215" s="42"/>
    </row>
    <row r="216" customFormat="false" ht="12.75" hidden="false" customHeight="false" outlineLevel="0" collapsed="false">
      <c r="A216" s="42"/>
    </row>
    <row r="217" customFormat="false" ht="12.75" hidden="false" customHeight="false" outlineLevel="0" collapsed="false">
      <c r="A217" s="42"/>
    </row>
    <row r="218" customFormat="false" ht="12.75" hidden="false" customHeight="false" outlineLevel="0" collapsed="false">
      <c r="A218" s="42"/>
    </row>
    <row r="219" customFormat="false" ht="12.75" hidden="false" customHeight="false" outlineLevel="0" collapsed="false">
      <c r="A219" s="42"/>
    </row>
    <row r="220" customFormat="false" ht="12.75" hidden="false" customHeight="false" outlineLevel="0" collapsed="false">
      <c r="A220" s="42"/>
    </row>
    <row r="221" customFormat="false" ht="12.75" hidden="false" customHeight="false" outlineLevel="0" collapsed="false">
      <c r="A221" s="42"/>
    </row>
    <row r="222" customFormat="false" ht="12.75" hidden="false" customHeight="false" outlineLevel="0" collapsed="false">
      <c r="A222" s="42"/>
    </row>
    <row r="223" customFormat="false" ht="12.75" hidden="false" customHeight="false" outlineLevel="0" collapsed="false">
      <c r="A223" s="42"/>
    </row>
    <row r="224" customFormat="false" ht="12.75" hidden="false" customHeight="false" outlineLevel="0" collapsed="false">
      <c r="A224" s="42"/>
    </row>
    <row r="225" customFormat="false" ht="12.75" hidden="false" customHeight="false" outlineLevel="0" collapsed="false">
      <c r="A225" s="42"/>
    </row>
    <row r="226" customFormat="false" ht="12.75" hidden="false" customHeight="false" outlineLevel="0" collapsed="false">
      <c r="A226" s="42"/>
    </row>
    <row r="227" customFormat="false" ht="12.75" hidden="false" customHeight="false" outlineLevel="0" collapsed="false">
      <c r="A227" s="42"/>
    </row>
    <row r="228" customFormat="false" ht="12.75" hidden="false" customHeight="false" outlineLevel="0" collapsed="false">
      <c r="A228" s="42"/>
    </row>
    <row r="229" customFormat="false" ht="12.75" hidden="false" customHeight="false" outlineLevel="0" collapsed="false">
      <c r="A229" s="42"/>
    </row>
    <row r="230" customFormat="false" ht="12.75" hidden="false" customHeight="false" outlineLevel="0" collapsed="false">
      <c r="A230" s="42"/>
    </row>
    <row r="231" customFormat="false" ht="12.75" hidden="false" customHeight="false" outlineLevel="0" collapsed="false">
      <c r="A231" s="42"/>
    </row>
    <row r="232" customFormat="false" ht="12.75" hidden="false" customHeight="false" outlineLevel="0" collapsed="false">
      <c r="A232" s="42"/>
    </row>
    <row r="233" customFormat="false" ht="12.75" hidden="false" customHeight="false" outlineLevel="0" collapsed="false">
      <c r="A233" s="42"/>
    </row>
    <row r="234" customFormat="false" ht="12.75" hidden="false" customHeight="false" outlineLevel="0" collapsed="false">
      <c r="A234" s="42"/>
    </row>
    <row r="235" customFormat="false" ht="12.75" hidden="false" customHeight="false" outlineLevel="0" collapsed="false">
      <c r="A235" s="42"/>
    </row>
    <row r="236" customFormat="false" ht="12.75" hidden="false" customHeight="false" outlineLevel="0" collapsed="false">
      <c r="A236" s="42"/>
    </row>
    <row r="237" customFormat="false" ht="12.75" hidden="false" customHeight="false" outlineLevel="0" collapsed="false">
      <c r="A237" s="42"/>
    </row>
    <row r="238" customFormat="false" ht="12.75" hidden="false" customHeight="false" outlineLevel="0" collapsed="false">
      <c r="A238" s="42"/>
    </row>
    <row r="239" customFormat="false" ht="12.75" hidden="false" customHeight="false" outlineLevel="0" collapsed="false">
      <c r="A239" s="42"/>
    </row>
    <row r="240" customFormat="false" ht="12.75" hidden="false" customHeight="false" outlineLevel="0" collapsed="false">
      <c r="A240" s="42"/>
    </row>
    <row r="241" customFormat="false" ht="12.75" hidden="false" customHeight="false" outlineLevel="0" collapsed="false">
      <c r="A241" s="42"/>
    </row>
    <row r="242" customFormat="false" ht="12.75" hidden="false" customHeight="false" outlineLevel="0" collapsed="false">
      <c r="A242" s="42"/>
    </row>
    <row r="243" customFormat="false" ht="12.75" hidden="false" customHeight="false" outlineLevel="0" collapsed="false">
      <c r="A243" s="42"/>
    </row>
    <row r="244" customFormat="false" ht="12.75" hidden="false" customHeight="false" outlineLevel="0" collapsed="false">
      <c r="A244" s="42"/>
    </row>
    <row r="245" customFormat="false" ht="12.75" hidden="false" customHeight="false" outlineLevel="0" collapsed="false">
      <c r="A245" s="42"/>
    </row>
    <row r="246" customFormat="false" ht="12.75" hidden="false" customHeight="false" outlineLevel="0" collapsed="false">
      <c r="A246" s="42"/>
    </row>
    <row r="247" customFormat="false" ht="12.75" hidden="false" customHeight="false" outlineLevel="0" collapsed="false">
      <c r="A247" s="42"/>
    </row>
    <row r="248" customFormat="false" ht="12.75" hidden="false" customHeight="false" outlineLevel="0" collapsed="false">
      <c r="A248" s="42"/>
    </row>
    <row r="249" customFormat="false" ht="12.75" hidden="false" customHeight="false" outlineLevel="0" collapsed="false">
      <c r="A249" s="42"/>
    </row>
    <row r="250" customFormat="false" ht="12.75" hidden="false" customHeight="false" outlineLevel="0" collapsed="false">
      <c r="A250" s="42"/>
    </row>
    <row r="251" customFormat="false" ht="12.75" hidden="false" customHeight="false" outlineLevel="0" collapsed="false">
      <c r="A251" s="42"/>
    </row>
    <row r="252" customFormat="false" ht="12.75" hidden="false" customHeight="false" outlineLevel="0" collapsed="false">
      <c r="A252" s="42"/>
    </row>
    <row r="253" customFormat="false" ht="12.75" hidden="false" customHeight="false" outlineLevel="0" collapsed="false">
      <c r="A253" s="42"/>
    </row>
    <row r="254" customFormat="false" ht="12.75" hidden="false" customHeight="false" outlineLevel="0" collapsed="false">
      <c r="A254" s="42"/>
    </row>
    <row r="255" customFormat="false" ht="12.75" hidden="false" customHeight="false" outlineLevel="0" collapsed="false">
      <c r="A255" s="42"/>
    </row>
    <row r="256" customFormat="false" ht="12.75" hidden="false" customHeight="false" outlineLevel="0" collapsed="false">
      <c r="A256" s="42"/>
    </row>
    <row r="257" customFormat="false" ht="12.75" hidden="false" customHeight="false" outlineLevel="0" collapsed="false">
      <c r="A257" s="42"/>
    </row>
    <row r="258" customFormat="false" ht="12.75" hidden="false" customHeight="false" outlineLevel="0" collapsed="false">
      <c r="A258" s="42"/>
    </row>
    <row r="259" customFormat="false" ht="12.75" hidden="false" customHeight="false" outlineLevel="0" collapsed="false">
      <c r="A259" s="42"/>
    </row>
    <row r="260" customFormat="false" ht="12.75" hidden="false" customHeight="false" outlineLevel="0" collapsed="false">
      <c r="A260" s="42"/>
    </row>
    <row r="261" customFormat="false" ht="12.75" hidden="false" customHeight="false" outlineLevel="0" collapsed="false">
      <c r="A261" s="42"/>
    </row>
    <row r="262" customFormat="false" ht="12.75" hidden="false" customHeight="false" outlineLevel="0" collapsed="false">
      <c r="A262" s="42"/>
    </row>
    <row r="263" customFormat="false" ht="12.75" hidden="false" customHeight="false" outlineLevel="0" collapsed="false">
      <c r="A263" s="42"/>
    </row>
    <row r="264" customFormat="false" ht="12.75" hidden="false" customHeight="false" outlineLevel="0" collapsed="false">
      <c r="A264" s="42"/>
    </row>
    <row r="265" customFormat="false" ht="12.75" hidden="false" customHeight="false" outlineLevel="0" collapsed="false">
      <c r="A265" s="42"/>
    </row>
    <row r="266" customFormat="false" ht="12.75" hidden="false" customHeight="false" outlineLevel="0" collapsed="false">
      <c r="A266" s="42"/>
    </row>
    <row r="267" customFormat="false" ht="12.75" hidden="false" customHeight="false" outlineLevel="0" collapsed="false">
      <c r="A267" s="42"/>
    </row>
    <row r="268" customFormat="false" ht="12.75" hidden="false" customHeight="false" outlineLevel="0" collapsed="false">
      <c r="A268" s="42"/>
    </row>
    <row r="269" customFormat="false" ht="12.75" hidden="false" customHeight="false" outlineLevel="0" collapsed="false">
      <c r="A269" s="42"/>
    </row>
    <row r="270" customFormat="false" ht="12.75" hidden="false" customHeight="false" outlineLevel="0" collapsed="false">
      <c r="A270" s="42"/>
    </row>
    <row r="271" customFormat="false" ht="12.75" hidden="false" customHeight="false" outlineLevel="0" collapsed="false">
      <c r="A271" s="42"/>
    </row>
    <row r="272" customFormat="false" ht="12.75" hidden="false" customHeight="false" outlineLevel="0" collapsed="false">
      <c r="A272" s="42"/>
    </row>
    <row r="273" customFormat="false" ht="12.75" hidden="false" customHeight="false" outlineLevel="0" collapsed="false">
      <c r="A273" s="42"/>
    </row>
    <row r="274" customFormat="false" ht="12.75" hidden="false" customHeight="false" outlineLevel="0" collapsed="false">
      <c r="A274" s="42"/>
    </row>
    <row r="275" customFormat="false" ht="12.75" hidden="false" customHeight="false" outlineLevel="0" collapsed="false">
      <c r="A275" s="42"/>
    </row>
    <row r="276" customFormat="false" ht="12.75" hidden="false" customHeight="false" outlineLevel="0" collapsed="false">
      <c r="A276" s="42"/>
    </row>
    <row r="277" customFormat="false" ht="12.75" hidden="false" customHeight="false" outlineLevel="0" collapsed="false">
      <c r="A277" s="42"/>
    </row>
    <row r="278" customFormat="false" ht="12.75" hidden="false" customHeight="false" outlineLevel="0" collapsed="false">
      <c r="A278" s="42"/>
    </row>
    <row r="279" customFormat="false" ht="12.75" hidden="false" customHeight="false" outlineLevel="0" collapsed="false">
      <c r="A279" s="42"/>
    </row>
    <row r="280" customFormat="false" ht="12.75" hidden="false" customHeight="false" outlineLevel="0" collapsed="false">
      <c r="A280" s="42"/>
    </row>
    <row r="281" customFormat="false" ht="12.75" hidden="false" customHeight="false" outlineLevel="0" collapsed="false">
      <c r="A281" s="42"/>
    </row>
    <row r="282" customFormat="false" ht="12.75" hidden="false" customHeight="false" outlineLevel="0" collapsed="false">
      <c r="A282" s="42"/>
    </row>
    <row r="283" customFormat="false" ht="12.75" hidden="false" customHeight="false" outlineLevel="0" collapsed="false">
      <c r="A283" s="42"/>
    </row>
    <row r="284" customFormat="false" ht="12.75" hidden="false" customHeight="false" outlineLevel="0" collapsed="false">
      <c r="A284" s="42"/>
    </row>
    <row r="285" customFormat="false" ht="12.75" hidden="false" customHeight="false" outlineLevel="0" collapsed="false">
      <c r="A285" s="42"/>
    </row>
    <row r="286" customFormat="false" ht="12.75" hidden="false" customHeight="false" outlineLevel="0" collapsed="false">
      <c r="A286" s="42"/>
    </row>
    <row r="287" customFormat="false" ht="12.75" hidden="false" customHeight="false" outlineLevel="0" collapsed="false">
      <c r="A287" s="42"/>
    </row>
    <row r="288" customFormat="false" ht="12.75" hidden="false" customHeight="false" outlineLevel="0" collapsed="false">
      <c r="A288" s="42"/>
    </row>
    <row r="289" customFormat="false" ht="12.75" hidden="false" customHeight="false" outlineLevel="0" collapsed="false">
      <c r="A289" s="42"/>
    </row>
    <row r="290" customFormat="false" ht="12.75" hidden="false" customHeight="false" outlineLevel="0" collapsed="false">
      <c r="A290" s="42"/>
    </row>
    <row r="291" customFormat="false" ht="12.75" hidden="false" customHeight="false" outlineLevel="0" collapsed="false">
      <c r="A291" s="42"/>
    </row>
    <row r="292" customFormat="false" ht="12.75" hidden="false" customHeight="false" outlineLevel="0" collapsed="false">
      <c r="A292" s="42"/>
    </row>
    <row r="293" customFormat="false" ht="12.75" hidden="false" customHeight="false" outlineLevel="0" collapsed="false">
      <c r="A293" s="42"/>
    </row>
    <row r="294" customFormat="false" ht="12.75" hidden="false" customHeight="false" outlineLevel="0" collapsed="false">
      <c r="A294" s="42"/>
    </row>
    <row r="295" customFormat="false" ht="12.75" hidden="false" customHeight="false" outlineLevel="0" collapsed="false">
      <c r="A295" s="42"/>
    </row>
    <row r="296" customFormat="false" ht="12.75" hidden="false" customHeight="false" outlineLevel="0" collapsed="false">
      <c r="A296" s="42"/>
    </row>
    <row r="297" customFormat="false" ht="12.75" hidden="false" customHeight="false" outlineLevel="0" collapsed="false">
      <c r="A297" s="42"/>
    </row>
    <row r="298" customFormat="false" ht="12.75" hidden="false" customHeight="false" outlineLevel="0" collapsed="false">
      <c r="A298" s="42"/>
    </row>
    <row r="299" customFormat="false" ht="12.75" hidden="false" customHeight="false" outlineLevel="0" collapsed="false">
      <c r="A299" s="42"/>
    </row>
    <row r="300" customFormat="false" ht="12.75" hidden="false" customHeight="false" outlineLevel="0" collapsed="false">
      <c r="A300" s="42"/>
    </row>
    <row r="301" customFormat="false" ht="12.75" hidden="false" customHeight="false" outlineLevel="0" collapsed="false">
      <c r="A301" s="42"/>
    </row>
    <row r="302" customFormat="false" ht="12.75" hidden="false" customHeight="false" outlineLevel="0" collapsed="false">
      <c r="A302" s="42"/>
    </row>
    <row r="303" customFormat="false" ht="12.75" hidden="false" customHeight="false" outlineLevel="0" collapsed="false">
      <c r="A303" s="42"/>
    </row>
    <row r="304" customFormat="false" ht="12.75" hidden="false" customHeight="false" outlineLevel="0" collapsed="false">
      <c r="A304" s="42"/>
    </row>
    <row r="305" customFormat="false" ht="12.75" hidden="false" customHeight="false" outlineLevel="0" collapsed="false">
      <c r="A305" s="42"/>
    </row>
    <row r="306" customFormat="false" ht="12.75" hidden="false" customHeight="false" outlineLevel="0" collapsed="false">
      <c r="A306" s="42"/>
    </row>
    <row r="307" customFormat="false" ht="12.75" hidden="false" customHeight="false" outlineLevel="0" collapsed="false">
      <c r="A307" s="42"/>
    </row>
    <row r="308" customFormat="false" ht="12.75" hidden="false" customHeight="false" outlineLevel="0" collapsed="false">
      <c r="A308" s="42"/>
    </row>
    <row r="309" customFormat="false" ht="12.75" hidden="false" customHeight="false" outlineLevel="0" collapsed="false">
      <c r="A309" s="42"/>
    </row>
    <row r="310" customFormat="false" ht="12.75" hidden="false" customHeight="false" outlineLevel="0" collapsed="false">
      <c r="A310" s="42"/>
    </row>
    <row r="311" customFormat="false" ht="12.75" hidden="false" customHeight="false" outlineLevel="0" collapsed="false">
      <c r="A311" s="42"/>
    </row>
    <row r="312" customFormat="false" ht="12.75" hidden="false" customHeight="false" outlineLevel="0" collapsed="false">
      <c r="A312" s="42"/>
    </row>
    <row r="313" customFormat="false" ht="12.75" hidden="false" customHeight="false" outlineLevel="0" collapsed="false">
      <c r="A313" s="42"/>
    </row>
    <row r="314" customFormat="false" ht="12.75" hidden="false" customHeight="false" outlineLevel="0" collapsed="false">
      <c r="A314" s="42"/>
    </row>
    <row r="315" customFormat="false" ht="12.75" hidden="false" customHeight="false" outlineLevel="0" collapsed="false">
      <c r="A315" s="42"/>
    </row>
    <row r="316" customFormat="false" ht="12.75" hidden="false" customHeight="false" outlineLevel="0" collapsed="false">
      <c r="A316" s="42"/>
    </row>
    <row r="317" customFormat="false" ht="12.75" hidden="false" customHeight="false" outlineLevel="0" collapsed="false">
      <c r="A317" s="42"/>
    </row>
    <row r="318" customFormat="false" ht="12.75" hidden="false" customHeight="false" outlineLevel="0" collapsed="false">
      <c r="A318" s="42"/>
    </row>
    <row r="319" customFormat="false" ht="12.75" hidden="false" customHeight="false" outlineLevel="0" collapsed="false">
      <c r="A319" s="42"/>
    </row>
    <row r="320" customFormat="false" ht="12.75" hidden="false" customHeight="false" outlineLevel="0" collapsed="false">
      <c r="A320" s="42"/>
    </row>
    <row r="321" customFormat="false" ht="12.75" hidden="false" customHeight="false" outlineLevel="0" collapsed="false">
      <c r="A321" s="42"/>
    </row>
    <row r="322" customFormat="false" ht="12.75" hidden="false" customHeight="false" outlineLevel="0" collapsed="false">
      <c r="A322" s="42"/>
    </row>
    <row r="323" customFormat="false" ht="12.75" hidden="false" customHeight="false" outlineLevel="0" collapsed="false">
      <c r="A323" s="42"/>
    </row>
    <row r="324" customFormat="false" ht="12.75" hidden="false" customHeight="false" outlineLevel="0" collapsed="false">
      <c r="A324" s="42"/>
    </row>
    <row r="325" customFormat="false" ht="12.75" hidden="false" customHeight="false" outlineLevel="0" collapsed="false">
      <c r="A325" s="42"/>
    </row>
    <row r="326" customFormat="false" ht="12.75" hidden="false" customHeight="false" outlineLevel="0" collapsed="false">
      <c r="A326" s="42"/>
    </row>
    <row r="327" customFormat="false" ht="12.75" hidden="false" customHeight="false" outlineLevel="0" collapsed="false">
      <c r="A327" s="42"/>
    </row>
    <row r="328" customFormat="false" ht="12.75" hidden="false" customHeight="false" outlineLevel="0" collapsed="false">
      <c r="A328" s="42"/>
    </row>
    <row r="329" customFormat="false" ht="12.75" hidden="false" customHeight="false" outlineLevel="0" collapsed="false">
      <c r="A329" s="42"/>
    </row>
    <row r="330" customFormat="false" ht="12.75" hidden="false" customHeight="false" outlineLevel="0" collapsed="false">
      <c r="A330" s="42"/>
    </row>
    <row r="331" customFormat="false" ht="12.75" hidden="false" customHeight="false" outlineLevel="0" collapsed="false">
      <c r="A331" s="42"/>
    </row>
    <row r="332" customFormat="false" ht="12.75" hidden="false" customHeight="false" outlineLevel="0" collapsed="false">
      <c r="A332" s="42"/>
    </row>
    <row r="333" customFormat="false" ht="12.75" hidden="false" customHeight="false" outlineLevel="0" collapsed="false">
      <c r="A333" s="42"/>
    </row>
    <row r="334" customFormat="false" ht="12.75" hidden="false" customHeight="false" outlineLevel="0" collapsed="false">
      <c r="A334" s="42"/>
    </row>
    <row r="335" customFormat="false" ht="12.75" hidden="false" customHeight="false" outlineLevel="0" collapsed="false">
      <c r="A335" s="42"/>
    </row>
    <row r="336" customFormat="false" ht="12.75" hidden="false" customHeight="false" outlineLevel="0" collapsed="false">
      <c r="A336" s="42"/>
    </row>
    <row r="337" customFormat="false" ht="12.75" hidden="false" customHeight="false" outlineLevel="0" collapsed="false">
      <c r="A337" s="42"/>
    </row>
    <row r="338" customFormat="false" ht="12.75" hidden="false" customHeight="false" outlineLevel="0" collapsed="false">
      <c r="A338" s="42"/>
    </row>
    <row r="339" customFormat="false" ht="12.75" hidden="false" customHeight="false" outlineLevel="0" collapsed="false">
      <c r="A339" s="42"/>
    </row>
    <row r="340" customFormat="false" ht="12.75" hidden="false" customHeight="false" outlineLevel="0" collapsed="false">
      <c r="A340" s="42"/>
    </row>
    <row r="341" customFormat="false" ht="12.75" hidden="false" customHeight="false" outlineLevel="0" collapsed="false">
      <c r="A341" s="42"/>
    </row>
    <row r="342" customFormat="false" ht="12.75" hidden="false" customHeight="false" outlineLevel="0" collapsed="false">
      <c r="A342" s="42"/>
    </row>
    <row r="343" customFormat="false" ht="12.75" hidden="false" customHeight="false" outlineLevel="0" collapsed="false">
      <c r="A343" s="42"/>
    </row>
    <row r="344" customFormat="false" ht="12.75" hidden="false" customHeight="false" outlineLevel="0" collapsed="false">
      <c r="A344" s="42"/>
    </row>
    <row r="345" customFormat="false" ht="12.75" hidden="false" customHeight="false" outlineLevel="0" collapsed="false">
      <c r="A345" s="42"/>
    </row>
    <row r="346" customFormat="false" ht="12.75" hidden="false" customHeight="false" outlineLevel="0" collapsed="false">
      <c r="A346" s="42"/>
    </row>
    <row r="347" customFormat="false" ht="12.75" hidden="false" customHeight="false" outlineLevel="0" collapsed="false">
      <c r="A347" s="42"/>
    </row>
    <row r="348" customFormat="false" ht="12.75" hidden="false" customHeight="false" outlineLevel="0" collapsed="false">
      <c r="A348" s="42"/>
    </row>
    <row r="349" customFormat="false" ht="12.75" hidden="false" customHeight="false" outlineLevel="0" collapsed="false">
      <c r="A349" s="42"/>
    </row>
    <row r="350" customFormat="false" ht="12.75" hidden="false" customHeight="false" outlineLevel="0" collapsed="false">
      <c r="A350" s="42"/>
    </row>
    <row r="351" customFormat="false" ht="12.75" hidden="false" customHeight="false" outlineLevel="0" collapsed="false">
      <c r="A351" s="42"/>
    </row>
    <row r="352" customFormat="false" ht="12.75" hidden="false" customHeight="false" outlineLevel="0" collapsed="false">
      <c r="A352" s="42"/>
    </row>
    <row r="353" customFormat="false" ht="12.75" hidden="false" customHeight="false" outlineLevel="0" collapsed="false">
      <c r="A353" s="42"/>
    </row>
    <row r="354" customFormat="false" ht="12.75" hidden="false" customHeight="false" outlineLevel="0" collapsed="false">
      <c r="A354" s="42"/>
    </row>
    <row r="355" customFormat="false" ht="12.75" hidden="false" customHeight="false" outlineLevel="0" collapsed="false">
      <c r="A355" s="42"/>
    </row>
    <row r="356" customFormat="false" ht="12.75" hidden="false" customHeight="false" outlineLevel="0" collapsed="false">
      <c r="A356" s="42"/>
    </row>
    <row r="357" customFormat="false" ht="12.75" hidden="false" customHeight="false" outlineLevel="0" collapsed="false">
      <c r="A357" s="42"/>
    </row>
    <row r="358" customFormat="false" ht="12.75" hidden="false" customHeight="false" outlineLevel="0" collapsed="false">
      <c r="A358" s="42"/>
    </row>
    <row r="359" customFormat="false" ht="12.75" hidden="false" customHeight="false" outlineLevel="0" collapsed="false">
      <c r="A359" s="42"/>
    </row>
    <row r="360" customFormat="false" ht="12.75" hidden="false" customHeight="false" outlineLevel="0" collapsed="false">
      <c r="A360" s="42"/>
    </row>
    <row r="361" customFormat="false" ht="12.75" hidden="false" customHeight="false" outlineLevel="0" collapsed="false">
      <c r="A361" s="42"/>
    </row>
    <row r="362" customFormat="false" ht="12.75" hidden="false" customHeight="false" outlineLevel="0" collapsed="false">
      <c r="A362" s="42"/>
    </row>
    <row r="363" customFormat="false" ht="12.75" hidden="false" customHeight="false" outlineLevel="0" collapsed="false">
      <c r="A363" s="42"/>
    </row>
    <row r="364" customFormat="false" ht="12.75" hidden="false" customHeight="false" outlineLevel="0" collapsed="false">
      <c r="A364" s="42"/>
    </row>
    <row r="365" customFormat="false" ht="12.75" hidden="false" customHeight="false" outlineLevel="0" collapsed="false">
      <c r="A365" s="42"/>
    </row>
    <row r="366" customFormat="false" ht="12.75" hidden="false" customHeight="false" outlineLevel="0" collapsed="false">
      <c r="A366" s="42"/>
    </row>
    <row r="367" customFormat="false" ht="12.75" hidden="false" customHeight="false" outlineLevel="0" collapsed="false">
      <c r="A367" s="42"/>
    </row>
    <row r="368" customFormat="false" ht="12.75" hidden="false" customHeight="false" outlineLevel="0" collapsed="false">
      <c r="A368" s="42"/>
    </row>
    <row r="369" customFormat="false" ht="12.75" hidden="false" customHeight="false" outlineLevel="0" collapsed="false">
      <c r="A369" s="42"/>
    </row>
    <row r="370" customFormat="false" ht="12.75" hidden="false" customHeight="false" outlineLevel="0" collapsed="false">
      <c r="A370" s="42"/>
    </row>
    <row r="371" customFormat="false" ht="12.75" hidden="false" customHeight="false" outlineLevel="0" collapsed="false">
      <c r="A371" s="42"/>
    </row>
    <row r="372" customFormat="false" ht="12.75" hidden="false" customHeight="false" outlineLevel="0" collapsed="false">
      <c r="A372" s="42"/>
    </row>
    <row r="373" customFormat="false" ht="12.75" hidden="false" customHeight="false" outlineLevel="0" collapsed="false">
      <c r="A373" s="42"/>
    </row>
    <row r="374" customFormat="false" ht="12.75" hidden="false" customHeight="false" outlineLevel="0" collapsed="false">
      <c r="A374" s="42"/>
    </row>
    <row r="375" customFormat="false" ht="12.75" hidden="false" customHeight="false" outlineLevel="0" collapsed="false">
      <c r="A375" s="42"/>
    </row>
    <row r="376" customFormat="false" ht="12.75" hidden="false" customHeight="false" outlineLevel="0" collapsed="false">
      <c r="A376" s="42"/>
    </row>
    <row r="377" customFormat="false" ht="12.75" hidden="false" customHeight="false" outlineLevel="0" collapsed="false">
      <c r="A377" s="42"/>
    </row>
    <row r="378" customFormat="false" ht="12.75" hidden="false" customHeight="false" outlineLevel="0" collapsed="false">
      <c r="A378" s="42"/>
    </row>
    <row r="379" customFormat="false" ht="12.75" hidden="false" customHeight="false" outlineLevel="0" collapsed="false">
      <c r="A379" s="42"/>
    </row>
    <row r="380" customFormat="false" ht="12.75" hidden="false" customHeight="false" outlineLevel="0" collapsed="false">
      <c r="A380" s="42"/>
    </row>
    <row r="381" customFormat="false" ht="12.75" hidden="false" customHeight="false" outlineLevel="0" collapsed="false">
      <c r="A381" s="42"/>
    </row>
    <row r="382" customFormat="false" ht="12.75" hidden="false" customHeight="false" outlineLevel="0" collapsed="false">
      <c r="A382" s="42"/>
    </row>
    <row r="383" customFormat="false" ht="12.75" hidden="false" customHeight="false" outlineLevel="0" collapsed="false">
      <c r="A383" s="42"/>
    </row>
    <row r="384" customFormat="false" ht="12.75" hidden="false" customHeight="false" outlineLevel="0" collapsed="false">
      <c r="A384" s="42"/>
    </row>
    <row r="385" customFormat="false" ht="12.75" hidden="false" customHeight="false" outlineLevel="0" collapsed="false">
      <c r="A385" s="42"/>
    </row>
    <row r="386" customFormat="false" ht="12.75" hidden="false" customHeight="false" outlineLevel="0" collapsed="false">
      <c r="A386" s="42"/>
    </row>
    <row r="387" customFormat="false" ht="12.75" hidden="false" customHeight="false" outlineLevel="0" collapsed="false">
      <c r="A387" s="42"/>
    </row>
    <row r="388" customFormat="false" ht="12.75" hidden="false" customHeight="false" outlineLevel="0" collapsed="false">
      <c r="A388" s="42"/>
    </row>
    <row r="389" customFormat="false" ht="12.75" hidden="false" customHeight="false" outlineLevel="0" collapsed="false">
      <c r="A389" s="42"/>
    </row>
    <row r="390" customFormat="false" ht="12.75" hidden="false" customHeight="false" outlineLevel="0" collapsed="false">
      <c r="A390" s="42"/>
    </row>
    <row r="391" customFormat="false" ht="12.75" hidden="false" customHeight="false" outlineLevel="0" collapsed="false">
      <c r="A391" s="42"/>
    </row>
    <row r="392" customFormat="false" ht="12.75" hidden="false" customHeight="false" outlineLevel="0" collapsed="false">
      <c r="A392" s="42"/>
    </row>
    <row r="393" customFormat="false" ht="12.75" hidden="false" customHeight="false" outlineLevel="0" collapsed="false">
      <c r="A393" s="42"/>
    </row>
    <row r="394" customFormat="false" ht="12.75" hidden="false" customHeight="false" outlineLevel="0" collapsed="false">
      <c r="A394" s="42"/>
    </row>
    <row r="395" customFormat="false" ht="12.75" hidden="false" customHeight="false" outlineLevel="0" collapsed="false">
      <c r="A395" s="42"/>
    </row>
    <row r="396" customFormat="false" ht="12.75" hidden="false" customHeight="false" outlineLevel="0" collapsed="false">
      <c r="A396" s="42"/>
    </row>
    <row r="397" customFormat="false" ht="12.75" hidden="false" customHeight="false" outlineLevel="0" collapsed="false">
      <c r="A397" s="42"/>
    </row>
    <row r="398" customFormat="false" ht="12.75" hidden="false" customHeight="false" outlineLevel="0" collapsed="false">
      <c r="A398" s="42"/>
    </row>
    <row r="399" customFormat="false" ht="12.75" hidden="false" customHeight="false" outlineLevel="0" collapsed="false">
      <c r="A399" s="42"/>
    </row>
    <row r="400" customFormat="false" ht="12.75" hidden="false" customHeight="false" outlineLevel="0" collapsed="false">
      <c r="A400" s="42"/>
    </row>
    <row r="401" customFormat="false" ht="12.75" hidden="false" customHeight="false" outlineLevel="0" collapsed="false">
      <c r="A401" s="42"/>
    </row>
    <row r="402" customFormat="false" ht="12.75" hidden="false" customHeight="false" outlineLevel="0" collapsed="false">
      <c r="A402" s="42"/>
    </row>
    <row r="403" customFormat="false" ht="12.75" hidden="false" customHeight="false" outlineLevel="0" collapsed="false">
      <c r="A403" s="42"/>
    </row>
    <row r="404" customFormat="false" ht="12.75" hidden="false" customHeight="false" outlineLevel="0" collapsed="false">
      <c r="A404" s="42"/>
    </row>
    <row r="405" customFormat="false" ht="12.75" hidden="false" customHeight="false" outlineLevel="0" collapsed="false">
      <c r="A405" s="42"/>
    </row>
    <row r="406" customFormat="false" ht="12.75" hidden="false" customHeight="false" outlineLevel="0" collapsed="false">
      <c r="A406" s="42"/>
    </row>
    <row r="407" customFormat="false" ht="12.75" hidden="false" customHeight="false" outlineLevel="0" collapsed="false">
      <c r="A407" s="42"/>
    </row>
    <row r="408" customFormat="false" ht="12.75" hidden="false" customHeight="false" outlineLevel="0" collapsed="false">
      <c r="A408" s="42"/>
    </row>
    <row r="409" customFormat="false" ht="12.75" hidden="false" customHeight="false" outlineLevel="0" collapsed="false">
      <c r="A409" s="42"/>
    </row>
    <row r="410" customFormat="false" ht="12.75" hidden="false" customHeight="false" outlineLevel="0" collapsed="false">
      <c r="A410" s="42"/>
    </row>
    <row r="411" customFormat="false" ht="12.75" hidden="false" customHeight="false" outlineLevel="0" collapsed="false">
      <c r="A411" s="42"/>
    </row>
    <row r="412" customFormat="false" ht="12.75" hidden="false" customHeight="false" outlineLevel="0" collapsed="false">
      <c r="A412" s="42"/>
    </row>
    <row r="413" customFormat="false" ht="12.75" hidden="false" customHeight="false" outlineLevel="0" collapsed="false">
      <c r="A413" s="42"/>
    </row>
    <row r="414" customFormat="false" ht="12.75" hidden="false" customHeight="false" outlineLevel="0" collapsed="false">
      <c r="A414" s="42"/>
    </row>
    <row r="415" customFormat="false" ht="12.75" hidden="false" customHeight="false" outlineLevel="0" collapsed="false">
      <c r="A415" s="42"/>
    </row>
    <row r="416" customFormat="false" ht="12.75" hidden="false" customHeight="false" outlineLevel="0" collapsed="false">
      <c r="A416" s="42"/>
    </row>
    <row r="417" customFormat="false" ht="12.75" hidden="false" customHeight="false" outlineLevel="0" collapsed="false">
      <c r="A417" s="42"/>
    </row>
    <row r="418" customFormat="false" ht="12.75" hidden="false" customHeight="false" outlineLevel="0" collapsed="false">
      <c r="A418" s="42"/>
    </row>
    <row r="419" customFormat="false" ht="12.75" hidden="false" customHeight="false" outlineLevel="0" collapsed="false">
      <c r="A419" s="42"/>
    </row>
    <row r="420" customFormat="false" ht="12.75" hidden="false" customHeight="false" outlineLevel="0" collapsed="false">
      <c r="A420" s="42"/>
    </row>
    <row r="421" customFormat="false" ht="12.75" hidden="false" customHeight="false" outlineLevel="0" collapsed="false">
      <c r="A421" s="42"/>
    </row>
    <row r="422" customFormat="false" ht="12.75" hidden="false" customHeight="false" outlineLevel="0" collapsed="false">
      <c r="A422" s="42"/>
    </row>
    <row r="423" customFormat="false" ht="12.75" hidden="false" customHeight="false" outlineLevel="0" collapsed="false">
      <c r="A423" s="42"/>
    </row>
    <row r="424" customFormat="false" ht="12.75" hidden="false" customHeight="false" outlineLevel="0" collapsed="false">
      <c r="A424" s="42"/>
    </row>
    <row r="425" customFormat="false" ht="12.75" hidden="false" customHeight="false" outlineLevel="0" collapsed="false">
      <c r="A425" s="42"/>
    </row>
    <row r="426" customFormat="false" ht="12.75" hidden="false" customHeight="false" outlineLevel="0" collapsed="false">
      <c r="A426" s="42"/>
    </row>
    <row r="427" customFormat="false" ht="12.75" hidden="false" customHeight="false" outlineLevel="0" collapsed="false">
      <c r="A427" s="42"/>
    </row>
    <row r="428" customFormat="false" ht="12.75" hidden="false" customHeight="false" outlineLevel="0" collapsed="false">
      <c r="A428" s="42"/>
    </row>
    <row r="429" customFormat="false" ht="12.75" hidden="false" customHeight="false" outlineLevel="0" collapsed="false">
      <c r="A429" s="42"/>
    </row>
    <row r="430" customFormat="false" ht="12.75" hidden="false" customHeight="false" outlineLevel="0" collapsed="false">
      <c r="A430" s="42"/>
    </row>
    <row r="431" customFormat="false" ht="12.75" hidden="false" customHeight="false" outlineLevel="0" collapsed="false">
      <c r="A431" s="42"/>
    </row>
    <row r="432" customFormat="false" ht="12.75" hidden="false" customHeight="false" outlineLevel="0" collapsed="false">
      <c r="A432" s="42"/>
    </row>
    <row r="433" customFormat="false" ht="12.75" hidden="false" customHeight="false" outlineLevel="0" collapsed="false">
      <c r="A433" s="42"/>
    </row>
    <row r="434" customFormat="false" ht="12.75" hidden="false" customHeight="false" outlineLevel="0" collapsed="false">
      <c r="A434" s="42"/>
    </row>
    <row r="435" customFormat="false" ht="12.75" hidden="false" customHeight="false" outlineLevel="0" collapsed="false">
      <c r="A435" s="42"/>
    </row>
    <row r="436" customFormat="false" ht="12.75" hidden="false" customHeight="false" outlineLevel="0" collapsed="false">
      <c r="A436" s="42"/>
    </row>
    <row r="437" customFormat="false" ht="12.75" hidden="false" customHeight="false" outlineLevel="0" collapsed="false">
      <c r="A437" s="42"/>
    </row>
    <row r="438" customFormat="false" ht="12.75" hidden="false" customHeight="false" outlineLevel="0" collapsed="false">
      <c r="A438" s="42"/>
    </row>
    <row r="439" customFormat="false" ht="12.75" hidden="false" customHeight="false" outlineLevel="0" collapsed="false">
      <c r="A439" s="42"/>
    </row>
    <row r="440" customFormat="false" ht="12.75" hidden="false" customHeight="false" outlineLevel="0" collapsed="false">
      <c r="A440" s="42"/>
    </row>
    <row r="441" customFormat="false" ht="12.75" hidden="false" customHeight="false" outlineLevel="0" collapsed="false">
      <c r="A441" s="42"/>
    </row>
    <row r="442" customFormat="false" ht="12.75" hidden="false" customHeight="false" outlineLevel="0" collapsed="false">
      <c r="A442" s="42"/>
    </row>
    <row r="443" customFormat="false" ht="12.75" hidden="false" customHeight="false" outlineLevel="0" collapsed="false">
      <c r="A443" s="42"/>
    </row>
    <row r="444" customFormat="false" ht="12.75" hidden="false" customHeight="false" outlineLevel="0" collapsed="false">
      <c r="A444" s="42"/>
    </row>
    <row r="445" customFormat="false" ht="12.75" hidden="false" customHeight="false" outlineLevel="0" collapsed="false">
      <c r="A445" s="42"/>
    </row>
    <row r="446" customFormat="false" ht="12.75" hidden="false" customHeight="false" outlineLevel="0" collapsed="false">
      <c r="A446" s="42"/>
    </row>
    <row r="447" customFormat="false" ht="12.75" hidden="false" customHeight="false" outlineLevel="0" collapsed="false">
      <c r="A447" s="42"/>
    </row>
    <row r="448" customFormat="false" ht="12.75" hidden="false" customHeight="false" outlineLevel="0" collapsed="false">
      <c r="A448" s="42"/>
    </row>
    <row r="449" customFormat="false" ht="12.75" hidden="false" customHeight="false" outlineLevel="0" collapsed="false">
      <c r="A449" s="42"/>
    </row>
    <row r="450" customFormat="false" ht="12.75" hidden="false" customHeight="false" outlineLevel="0" collapsed="false">
      <c r="A450" s="42"/>
    </row>
    <row r="451" customFormat="false" ht="12.75" hidden="false" customHeight="false" outlineLevel="0" collapsed="false">
      <c r="A451" s="42"/>
    </row>
    <row r="452" customFormat="false" ht="12.75" hidden="false" customHeight="false" outlineLevel="0" collapsed="false">
      <c r="A452" s="42"/>
    </row>
    <row r="453" customFormat="false" ht="12.75" hidden="false" customHeight="false" outlineLevel="0" collapsed="false">
      <c r="A453" s="42"/>
    </row>
    <row r="454" customFormat="false" ht="12.75" hidden="false" customHeight="false" outlineLevel="0" collapsed="false">
      <c r="A454" s="42"/>
    </row>
    <row r="455" customFormat="false" ht="12.75" hidden="false" customHeight="false" outlineLevel="0" collapsed="false">
      <c r="A455" s="42"/>
    </row>
    <row r="456" customFormat="false" ht="12.75" hidden="false" customHeight="false" outlineLevel="0" collapsed="false">
      <c r="A456" s="42"/>
    </row>
    <row r="457" customFormat="false" ht="12.75" hidden="false" customHeight="false" outlineLevel="0" collapsed="false">
      <c r="A457" s="42"/>
    </row>
    <row r="458" customFormat="false" ht="12.75" hidden="false" customHeight="false" outlineLevel="0" collapsed="false">
      <c r="A458" s="42"/>
    </row>
    <row r="459" customFormat="false" ht="12.75" hidden="false" customHeight="false" outlineLevel="0" collapsed="false">
      <c r="A459" s="42"/>
    </row>
    <row r="460" customFormat="false" ht="12.75" hidden="false" customHeight="false" outlineLevel="0" collapsed="false">
      <c r="A460" s="42"/>
    </row>
    <row r="461" customFormat="false" ht="12.75" hidden="false" customHeight="false" outlineLevel="0" collapsed="false">
      <c r="A461" s="42"/>
    </row>
    <row r="462" customFormat="false" ht="12.75" hidden="false" customHeight="false" outlineLevel="0" collapsed="false">
      <c r="A462" s="42"/>
    </row>
    <row r="463" customFormat="false" ht="12.75" hidden="false" customHeight="false" outlineLevel="0" collapsed="false">
      <c r="A463" s="42"/>
    </row>
    <row r="464" customFormat="false" ht="12.75" hidden="false" customHeight="false" outlineLevel="0" collapsed="false">
      <c r="A464" s="42"/>
    </row>
    <row r="465" customFormat="false" ht="12.75" hidden="false" customHeight="false" outlineLevel="0" collapsed="false">
      <c r="A465" s="42"/>
    </row>
    <row r="466" customFormat="false" ht="12.75" hidden="false" customHeight="false" outlineLevel="0" collapsed="false">
      <c r="A466" s="42"/>
    </row>
    <row r="467" customFormat="false" ht="12.75" hidden="false" customHeight="false" outlineLevel="0" collapsed="false">
      <c r="A467" s="42"/>
    </row>
    <row r="468" customFormat="false" ht="12.75" hidden="false" customHeight="false" outlineLevel="0" collapsed="false">
      <c r="A468" s="42"/>
    </row>
    <row r="469" customFormat="false" ht="12.75" hidden="false" customHeight="false" outlineLevel="0" collapsed="false">
      <c r="A469" s="42"/>
    </row>
    <row r="470" customFormat="false" ht="12.75" hidden="false" customHeight="false" outlineLevel="0" collapsed="false">
      <c r="A470" s="42"/>
    </row>
    <row r="471" customFormat="false" ht="12.75" hidden="false" customHeight="false" outlineLevel="0" collapsed="false">
      <c r="A471" s="42"/>
    </row>
    <row r="472" customFormat="false" ht="12.75" hidden="false" customHeight="false" outlineLevel="0" collapsed="false">
      <c r="A472" s="42"/>
    </row>
    <row r="473" customFormat="false" ht="12.75" hidden="false" customHeight="false" outlineLevel="0" collapsed="false">
      <c r="A473" s="42"/>
    </row>
    <row r="474" customFormat="false" ht="12.75" hidden="false" customHeight="false" outlineLevel="0" collapsed="false">
      <c r="A474" s="42"/>
    </row>
    <row r="475" customFormat="false" ht="12.75" hidden="false" customHeight="false" outlineLevel="0" collapsed="false">
      <c r="A475" s="42"/>
    </row>
    <row r="476" customFormat="false" ht="12.75" hidden="false" customHeight="false" outlineLevel="0" collapsed="false">
      <c r="A476" s="42"/>
    </row>
    <row r="477" customFormat="false" ht="12.75" hidden="false" customHeight="false" outlineLevel="0" collapsed="false">
      <c r="A477" s="42"/>
    </row>
    <row r="478" customFormat="false" ht="12.75" hidden="false" customHeight="false" outlineLevel="0" collapsed="false">
      <c r="A478" s="42"/>
    </row>
    <row r="479" customFormat="false" ht="12.75" hidden="false" customHeight="false" outlineLevel="0" collapsed="false">
      <c r="A479" s="42"/>
    </row>
    <row r="480" customFormat="false" ht="12.75" hidden="false" customHeight="false" outlineLevel="0" collapsed="false">
      <c r="A480" s="42"/>
    </row>
    <row r="481" customFormat="false" ht="12.75" hidden="false" customHeight="false" outlineLevel="0" collapsed="false">
      <c r="A481" s="42"/>
    </row>
    <row r="482" customFormat="false" ht="12.75" hidden="false" customHeight="false" outlineLevel="0" collapsed="false">
      <c r="A482" s="42"/>
    </row>
    <row r="483" customFormat="false" ht="12.75" hidden="false" customHeight="false" outlineLevel="0" collapsed="false">
      <c r="A483" s="42"/>
    </row>
    <row r="484" customFormat="false" ht="12.75" hidden="false" customHeight="false" outlineLevel="0" collapsed="false">
      <c r="A484" s="42"/>
    </row>
    <row r="485" customFormat="false" ht="12.75" hidden="false" customHeight="false" outlineLevel="0" collapsed="false">
      <c r="A485" s="42"/>
    </row>
    <row r="486" customFormat="false" ht="12.75" hidden="false" customHeight="false" outlineLevel="0" collapsed="false">
      <c r="A486" s="42"/>
    </row>
    <row r="487" customFormat="false" ht="12.75" hidden="false" customHeight="false" outlineLevel="0" collapsed="false">
      <c r="A487" s="42"/>
    </row>
    <row r="488" customFormat="false" ht="12.75" hidden="false" customHeight="false" outlineLevel="0" collapsed="false">
      <c r="A488" s="42"/>
    </row>
    <row r="489" customFormat="false" ht="12.75" hidden="false" customHeight="false" outlineLevel="0" collapsed="false">
      <c r="A489" s="42"/>
    </row>
    <row r="490" customFormat="false" ht="12.75" hidden="false" customHeight="false" outlineLevel="0" collapsed="false">
      <c r="A490" s="42"/>
    </row>
    <row r="491" customFormat="false" ht="12.75" hidden="false" customHeight="false" outlineLevel="0" collapsed="false">
      <c r="A491" s="42"/>
    </row>
    <row r="492" customFormat="false" ht="12.75" hidden="false" customHeight="false" outlineLevel="0" collapsed="false">
      <c r="A492" s="42"/>
    </row>
    <row r="493" customFormat="false" ht="12.75" hidden="false" customHeight="false" outlineLevel="0" collapsed="false">
      <c r="A493" s="42"/>
    </row>
    <row r="494" customFormat="false" ht="12.75" hidden="false" customHeight="false" outlineLevel="0" collapsed="false">
      <c r="A494" s="42"/>
    </row>
    <row r="495" customFormat="false" ht="12.75" hidden="false" customHeight="false" outlineLevel="0" collapsed="false">
      <c r="A495" s="42"/>
    </row>
    <row r="496" customFormat="false" ht="12.75" hidden="false" customHeight="false" outlineLevel="0" collapsed="false">
      <c r="A496" s="42"/>
    </row>
    <row r="497" customFormat="false" ht="12.75" hidden="false" customHeight="false" outlineLevel="0" collapsed="false">
      <c r="A497" s="42"/>
    </row>
    <row r="498" customFormat="false" ht="12.75" hidden="false" customHeight="false" outlineLevel="0" collapsed="false">
      <c r="A498" s="42"/>
    </row>
    <row r="499" customFormat="false" ht="12.75" hidden="false" customHeight="false" outlineLevel="0" collapsed="false">
      <c r="A499" s="42"/>
    </row>
    <row r="500" customFormat="false" ht="12.75" hidden="false" customHeight="false" outlineLevel="0" collapsed="false">
      <c r="A500" s="42"/>
    </row>
    <row r="501" customFormat="false" ht="12.75" hidden="false" customHeight="false" outlineLevel="0" collapsed="false">
      <c r="A501" s="42"/>
    </row>
    <row r="502" customFormat="false" ht="12.75" hidden="false" customHeight="false" outlineLevel="0" collapsed="false">
      <c r="A502" s="42"/>
    </row>
    <row r="503" customFormat="false" ht="12.75" hidden="false" customHeight="false" outlineLevel="0" collapsed="false">
      <c r="A503" s="42"/>
    </row>
    <row r="504" customFormat="false" ht="12.75" hidden="false" customHeight="false" outlineLevel="0" collapsed="false">
      <c r="A504" s="42"/>
    </row>
    <row r="505" customFormat="false" ht="12.75" hidden="false" customHeight="false" outlineLevel="0" collapsed="false">
      <c r="A505" s="42"/>
    </row>
    <row r="506" customFormat="false" ht="12.75" hidden="false" customHeight="false" outlineLevel="0" collapsed="false">
      <c r="A506" s="42"/>
    </row>
    <row r="507" customFormat="false" ht="12.75" hidden="false" customHeight="false" outlineLevel="0" collapsed="false">
      <c r="A507" s="42"/>
    </row>
    <row r="508" customFormat="false" ht="12.75" hidden="false" customHeight="false" outlineLevel="0" collapsed="false">
      <c r="A508" s="42"/>
    </row>
    <row r="509" customFormat="false" ht="12.75" hidden="false" customHeight="false" outlineLevel="0" collapsed="false">
      <c r="A509" s="42"/>
    </row>
    <row r="510" customFormat="false" ht="12.75" hidden="false" customHeight="false" outlineLevel="0" collapsed="false">
      <c r="A510" s="42"/>
    </row>
    <row r="511" customFormat="false" ht="12.75" hidden="false" customHeight="false" outlineLevel="0" collapsed="false">
      <c r="A511" s="42"/>
    </row>
    <row r="512" customFormat="false" ht="12.75" hidden="false" customHeight="false" outlineLevel="0" collapsed="false">
      <c r="A512" s="42"/>
    </row>
    <row r="513" customFormat="false" ht="12.75" hidden="false" customHeight="false" outlineLevel="0" collapsed="false">
      <c r="A513" s="42"/>
    </row>
    <row r="514" customFormat="false" ht="12.75" hidden="false" customHeight="false" outlineLevel="0" collapsed="false">
      <c r="A514" s="42"/>
    </row>
    <row r="515" customFormat="false" ht="12.75" hidden="false" customHeight="false" outlineLevel="0" collapsed="false">
      <c r="A515" s="42"/>
    </row>
  </sheetData>
  <printOptions headings="false" gridLines="true" gridLinesSet="true" horizontalCentered="true" verticalCentered="true"/>
  <pageMargins left="0" right="0" top="0" bottom="0" header="0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4" topLeftCell="AG5" activePane="bottomRight" state="frozen"/>
      <selection pane="topLeft" activeCell="A1" activeCellId="0" sqref="A1"/>
      <selection pane="topRight" activeCell="AG1" activeCellId="0" sqref="AG1"/>
      <selection pane="bottomLeft" activeCell="A5" activeCellId="0" sqref="A5"/>
      <selection pane="bottomRight" activeCell="AI27" activeCellId="0" sqref="AI27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146" width="9.32"/>
    <col collapsed="false" customWidth="true" hidden="false" outlineLevel="0" max="2" min="2" style="146" width="1.32"/>
    <col collapsed="false" customWidth="true" hidden="false" outlineLevel="0" max="3" min="3" style="147" width="12.82"/>
    <col collapsed="false" customWidth="true" hidden="false" outlineLevel="0" max="4" min="4" style="148" width="13.82"/>
    <col collapsed="false" customWidth="true" hidden="false" outlineLevel="0" max="5" min="5" style="148" width="20.15"/>
    <col collapsed="false" customWidth="true" hidden="false" outlineLevel="0" max="6" min="6" style="148" width="21.65"/>
    <col collapsed="false" customWidth="true" hidden="false" outlineLevel="0" max="7" min="7" style="148" width="14.99"/>
    <col collapsed="false" customWidth="true" hidden="false" outlineLevel="0" max="9" min="8" style="148" width="11.99"/>
    <col collapsed="false" customWidth="true" hidden="false" outlineLevel="0" max="12" min="10" style="147" width="16.49"/>
    <col collapsed="false" customWidth="true" hidden="false" outlineLevel="0" max="13" min="13" style="149" width="15.82"/>
    <col collapsed="false" customWidth="true" hidden="false" outlineLevel="0" max="14" min="14" style="147" width="16.49"/>
    <col collapsed="false" customWidth="true" hidden="false" outlineLevel="0" max="15" min="15" style="147" width="15.32"/>
    <col collapsed="false" customWidth="true" hidden="false" outlineLevel="0" max="17" min="16" style="147" width="11.99"/>
    <col collapsed="false" customWidth="true" hidden="false" outlineLevel="0" max="18" min="18" style="147" width="13.82"/>
    <col collapsed="false" customWidth="true" hidden="false" outlineLevel="0" max="19" min="19" style="147" width="11.99"/>
    <col collapsed="false" customWidth="true" hidden="false" outlineLevel="0" max="20" min="20" style="147" width="15.49"/>
    <col collapsed="false" customWidth="true" hidden="false" outlineLevel="0" max="35" min="21" style="147" width="11.99"/>
    <col collapsed="false" customWidth="true" hidden="false" outlineLevel="0" max="36" min="36" style="147" width="12.99"/>
    <col collapsed="false" customWidth="true" hidden="false" outlineLevel="0" max="37" min="37" style="148" width="14.82"/>
    <col collapsed="false" customWidth="true" hidden="false" outlineLevel="0" max="38" min="38" style="146" width="5.65"/>
    <col collapsed="false" customWidth="false" hidden="false" outlineLevel="0" max="40" min="39" style="146" width="9.32"/>
    <col collapsed="false" customWidth="true" hidden="false" outlineLevel="0" max="41" min="41" style="146" width="11.49"/>
    <col collapsed="false" customWidth="false" hidden="false" outlineLevel="0" max="44" min="42" style="146" width="9.32"/>
    <col collapsed="false" customWidth="true" hidden="false" outlineLevel="0" max="45" min="45" style="146" width="10.15"/>
    <col collapsed="false" customWidth="false" hidden="false" outlineLevel="0" max="48" min="46" style="146" width="9.32"/>
    <col collapsed="false" customWidth="true" hidden="false" outlineLevel="0" max="49" min="49" style="146" width="11.15"/>
    <col collapsed="false" customWidth="false" hidden="false" outlineLevel="0" max="257" min="50" style="146" width="9.32"/>
  </cols>
  <sheetData>
    <row r="1" customFormat="false" ht="20.1" hidden="false" customHeight="true" outlineLevel="0" collapsed="false">
      <c r="A1" s="150" t="s">
        <v>160</v>
      </c>
      <c r="B1" s="150"/>
      <c r="C1" s="151"/>
      <c r="D1" s="152"/>
      <c r="E1" s="7" t="n">
        <f aca="false">+BaseloadMarkets!B1</f>
        <v>36678</v>
      </c>
      <c r="F1" s="153"/>
      <c r="G1" s="154"/>
      <c r="H1" s="154"/>
      <c r="I1" s="154"/>
      <c r="J1" s="155"/>
      <c r="K1" s="154"/>
      <c r="L1" s="154"/>
      <c r="M1" s="156"/>
      <c r="N1" s="155"/>
      <c r="O1" s="11"/>
      <c r="P1" s="11"/>
      <c r="Q1" s="11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 t="s">
        <v>161</v>
      </c>
      <c r="AI1" s="151"/>
      <c r="AJ1" s="151"/>
      <c r="AK1" s="152"/>
      <c r="AL1" s="150"/>
      <c r="AM1" s="150"/>
      <c r="AN1" s="150"/>
      <c r="AO1" s="150"/>
      <c r="AP1" s="150"/>
      <c r="AQ1" s="150"/>
      <c r="AR1" s="150"/>
      <c r="AS1" s="157"/>
      <c r="AT1" s="157"/>
      <c r="AU1" s="150"/>
      <c r="AV1" s="151"/>
      <c r="AW1" s="151"/>
      <c r="AX1" s="150"/>
      <c r="AY1" s="151"/>
      <c r="AZ1" s="151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  <c r="IW1" s="150"/>
    </row>
    <row r="2" customFormat="false" ht="12.75" hidden="false" customHeight="false" outlineLevel="0" collapsed="false">
      <c r="A2" s="158"/>
      <c r="B2" s="158"/>
      <c r="C2" s="155"/>
      <c r="D2" s="154" t="s">
        <v>95</v>
      </c>
      <c r="E2" s="154" t="s">
        <v>95</v>
      </c>
      <c r="F2" s="154" t="s">
        <v>95</v>
      </c>
      <c r="G2" s="155" t="s">
        <v>15</v>
      </c>
      <c r="H2" s="154" t="s">
        <v>25</v>
      </c>
      <c r="I2" s="155" t="s">
        <v>162</v>
      </c>
      <c r="J2" s="154" t="s">
        <v>25</v>
      </c>
      <c r="K2" s="154" t="s">
        <v>162</v>
      </c>
      <c r="L2" s="154" t="s">
        <v>130</v>
      </c>
      <c r="M2" s="159"/>
      <c r="N2" s="155" t="s">
        <v>21</v>
      </c>
      <c r="O2" s="11" t="s">
        <v>163</v>
      </c>
      <c r="P2" s="11" t="s">
        <v>27</v>
      </c>
      <c r="Q2" s="154" t="s">
        <v>30</v>
      </c>
      <c r="R2" s="154" t="s">
        <v>28</v>
      </c>
      <c r="S2" s="154" t="s">
        <v>164</v>
      </c>
      <c r="T2" s="155" t="s">
        <v>31</v>
      </c>
      <c r="U2" s="155" t="s">
        <v>34</v>
      </c>
      <c r="V2" s="155" t="s">
        <v>23</v>
      </c>
      <c r="W2" s="155" t="s">
        <v>24</v>
      </c>
      <c r="X2" s="155" t="s">
        <v>37</v>
      </c>
      <c r="Y2" s="155" t="s">
        <v>26</v>
      </c>
      <c r="Z2" s="155" t="s">
        <v>35</v>
      </c>
      <c r="AA2" s="155" t="s">
        <v>108</v>
      </c>
      <c r="AB2" s="155" t="s">
        <v>36</v>
      </c>
      <c r="AC2" s="155" t="s">
        <v>89</v>
      </c>
      <c r="AD2" s="155" t="s">
        <v>106</v>
      </c>
      <c r="AE2" s="155" t="s">
        <v>165</v>
      </c>
      <c r="AF2" s="155" t="s">
        <v>40</v>
      </c>
      <c r="AG2" s="155" t="s">
        <v>19</v>
      </c>
      <c r="AH2" s="155" t="s">
        <v>39</v>
      </c>
      <c r="AI2" s="155"/>
      <c r="AJ2" s="155" t="s">
        <v>144</v>
      </c>
      <c r="AK2" s="154"/>
      <c r="AL2" s="155"/>
      <c r="AM2" s="158"/>
      <c r="AN2" s="158"/>
      <c r="AO2" s="158"/>
      <c r="AP2" s="155"/>
      <c r="AQ2" s="155" t="s">
        <v>50</v>
      </c>
      <c r="AR2" s="158"/>
      <c r="AS2" s="155"/>
      <c r="AT2" s="155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  <c r="IW2" s="158"/>
    </row>
    <row r="3" customFormat="false" ht="12.75" hidden="false" customHeight="false" outlineLevel="0" collapsed="false">
      <c r="A3" s="160" t="s">
        <v>166</v>
      </c>
      <c r="B3" s="160"/>
      <c r="C3" s="161"/>
      <c r="D3" s="161" t="s">
        <v>167</v>
      </c>
      <c r="E3" s="161" t="s">
        <v>167</v>
      </c>
      <c r="F3" s="161" t="s">
        <v>52</v>
      </c>
      <c r="G3" s="161" t="s">
        <v>168</v>
      </c>
      <c r="H3" s="161" t="s">
        <v>168</v>
      </c>
      <c r="I3" s="161"/>
      <c r="J3" s="161"/>
      <c r="K3" s="161"/>
      <c r="L3" s="161"/>
      <c r="M3" s="162"/>
      <c r="N3" s="161"/>
      <c r="O3" s="163"/>
      <c r="P3" s="163" t="s">
        <v>169</v>
      </c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 t="s">
        <v>50</v>
      </c>
      <c r="AJ3" s="161" t="s">
        <v>170</v>
      </c>
      <c r="AK3" s="161"/>
      <c r="AL3" s="161"/>
      <c r="AM3" s="160"/>
      <c r="AN3" s="160"/>
      <c r="AO3" s="160"/>
      <c r="AP3" s="161"/>
      <c r="AQ3" s="161" t="s">
        <v>171</v>
      </c>
      <c r="AR3" s="160"/>
      <c r="AS3" s="161"/>
      <c r="AT3" s="161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  <c r="IW3" s="160"/>
    </row>
    <row r="4" customFormat="false" ht="12.75" hidden="false" customHeight="false" outlineLevel="0" collapsed="false">
      <c r="A4" s="164" t="s">
        <v>172</v>
      </c>
      <c r="B4" s="165"/>
      <c r="C4" s="165" t="s">
        <v>173</v>
      </c>
      <c r="D4" s="166" t="s">
        <v>174</v>
      </c>
      <c r="E4" s="166" t="s">
        <v>175</v>
      </c>
      <c r="F4" s="166" t="s">
        <v>176</v>
      </c>
      <c r="G4" s="164" t="s">
        <v>54</v>
      </c>
      <c r="H4" s="166" t="s">
        <v>67</v>
      </c>
      <c r="I4" s="164" t="s">
        <v>60</v>
      </c>
      <c r="J4" s="164" t="s">
        <v>60</v>
      </c>
      <c r="K4" s="166" t="s">
        <v>67</v>
      </c>
      <c r="L4" s="166"/>
      <c r="M4" s="116" t="s">
        <v>155</v>
      </c>
      <c r="N4" s="164"/>
      <c r="O4" s="18" t="s">
        <v>177</v>
      </c>
      <c r="P4" s="18" t="s">
        <v>60</v>
      </c>
      <c r="Q4" s="164" t="s">
        <v>63</v>
      </c>
      <c r="R4" s="164" t="s">
        <v>63</v>
      </c>
      <c r="S4" s="166" t="s">
        <v>178</v>
      </c>
      <c r="T4" s="164" t="s">
        <v>67</v>
      </c>
      <c r="U4" s="164" t="s">
        <v>57</v>
      </c>
      <c r="V4" s="164" t="s">
        <v>64</v>
      </c>
      <c r="W4" s="164" t="s">
        <v>67</v>
      </c>
      <c r="X4" s="164"/>
      <c r="Y4" s="164" t="s">
        <v>67</v>
      </c>
      <c r="Z4" s="164" t="s">
        <v>63</v>
      </c>
      <c r="AA4" s="164" t="s">
        <v>67</v>
      </c>
      <c r="AB4" s="164" t="s">
        <v>67</v>
      </c>
      <c r="AC4" s="164" t="s">
        <v>67</v>
      </c>
      <c r="AD4" s="164" t="s">
        <v>67</v>
      </c>
      <c r="AE4" s="164" t="s">
        <v>67</v>
      </c>
      <c r="AF4" s="164" t="s">
        <v>179</v>
      </c>
      <c r="AG4" s="164" t="s">
        <v>67</v>
      </c>
      <c r="AH4" s="164" t="s">
        <v>54</v>
      </c>
      <c r="AI4" s="164" t="s">
        <v>156</v>
      </c>
      <c r="AJ4" s="164" t="s">
        <v>180</v>
      </c>
      <c r="AK4" s="166" t="s">
        <v>181</v>
      </c>
      <c r="AL4" s="164"/>
      <c r="AM4" s="167"/>
      <c r="AN4" s="168"/>
      <c r="AO4" s="168"/>
      <c r="AP4" s="165"/>
      <c r="AQ4" s="165" t="s">
        <v>97</v>
      </c>
      <c r="AR4" s="168"/>
      <c r="AS4" s="165"/>
      <c r="AT4" s="165"/>
      <c r="AU4" s="168"/>
      <c r="AV4" s="165"/>
      <c r="AW4" s="165"/>
      <c r="AX4" s="165"/>
      <c r="AY4" s="165"/>
      <c r="AZ4" s="165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</row>
    <row r="5" customFormat="false" ht="12.75" hidden="false" customHeight="false" outlineLevel="0" collapsed="false">
      <c r="A5" s="169" t="n">
        <f aca="false">+BaseloadMarkets!A6</f>
        <v>36678</v>
      </c>
      <c r="B5" s="169"/>
      <c r="C5" s="170" t="n">
        <v>70000</v>
      </c>
      <c r="G5" s="148" t="n">
        <v>27899</v>
      </c>
      <c r="H5" s="148" t="n">
        <f aca="false">3157+3157+6312+3157+3157</f>
        <v>18940</v>
      </c>
      <c r="I5" s="148" t="n">
        <v>4999</v>
      </c>
      <c r="J5" s="148" t="n">
        <v>26136</v>
      </c>
      <c r="K5" s="148" t="n">
        <f aca="false">2214+4429</f>
        <v>6643</v>
      </c>
      <c r="L5" s="148" t="n">
        <f aca="false">5000+5029</f>
        <v>10029</v>
      </c>
      <c r="M5" s="171" t="n">
        <f aca="false">+Border!AD4</f>
        <v>0</v>
      </c>
      <c r="N5" s="148" t="n">
        <v>6295</v>
      </c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72" t="n">
        <f aca="false">SUM(D5:AH5)</f>
        <v>100941</v>
      </c>
      <c r="AJ5" s="172" t="n">
        <f aca="false">C5</f>
        <v>70000</v>
      </c>
      <c r="AK5" s="170" t="n">
        <f aca="false">+AI5-AJ5</f>
        <v>30941</v>
      </c>
      <c r="AL5" s="173"/>
      <c r="AM5" s="169" t="n">
        <f aca="false">A5</f>
        <v>36678</v>
      </c>
      <c r="AN5" s="174"/>
      <c r="AO5" s="175" t="n">
        <f aca="false">AK5</f>
        <v>30941</v>
      </c>
      <c r="AP5" s="176"/>
      <c r="AQ5" s="176" t="n">
        <f aca="false">+AI5-D5-E5-F5</f>
        <v>100941</v>
      </c>
      <c r="AR5" s="174"/>
      <c r="AS5" s="176"/>
      <c r="AT5" s="176"/>
      <c r="AU5" s="174"/>
      <c r="AV5" s="176"/>
      <c r="AW5" s="176"/>
      <c r="AY5" s="177"/>
      <c r="AZ5" s="177"/>
      <c r="BB5" s="173"/>
      <c r="IT5" s="174"/>
      <c r="IU5" s="174"/>
      <c r="IV5" s="174"/>
    </row>
    <row r="6" customFormat="false" ht="12.75" hidden="false" customHeight="false" outlineLevel="0" collapsed="false">
      <c r="A6" s="169" t="n">
        <f aca="false">+BaseloadMarkets!A7</f>
        <v>36679</v>
      </c>
      <c r="B6" s="169"/>
      <c r="C6" s="170" t="n">
        <v>70000</v>
      </c>
      <c r="G6" s="148" t="n">
        <v>29000</v>
      </c>
      <c r="H6" s="148" t="n">
        <f aca="false">14116-5000</f>
        <v>9116</v>
      </c>
      <c r="I6" s="148" t="n">
        <v>4972</v>
      </c>
      <c r="J6" s="148" t="n">
        <v>24175</v>
      </c>
      <c r="K6" s="148"/>
      <c r="L6" s="148"/>
      <c r="M6" s="171" t="n">
        <f aca="false">+Border!AD5</f>
        <v>0</v>
      </c>
      <c r="N6" s="148"/>
      <c r="O6" s="148" t="n">
        <v>5000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72" t="n">
        <f aca="false">SUM(D6:AH6)</f>
        <v>72263</v>
      </c>
      <c r="AJ6" s="172" t="n">
        <f aca="false">C6</f>
        <v>70000</v>
      </c>
      <c r="AK6" s="170" t="n">
        <f aca="false">+AI6-AJ6</f>
        <v>2263</v>
      </c>
      <c r="AL6" s="173"/>
      <c r="AM6" s="169" t="n">
        <f aca="false">A6</f>
        <v>36679</v>
      </c>
      <c r="AO6" s="175" t="n">
        <f aca="false">AO5+AK6</f>
        <v>33204</v>
      </c>
      <c r="AP6" s="176"/>
      <c r="AQ6" s="176" t="n">
        <f aca="false">+AI6-D6-E6-F6</f>
        <v>72263</v>
      </c>
      <c r="AS6" s="176"/>
      <c r="AT6" s="176"/>
      <c r="AV6" s="177"/>
      <c r="AW6" s="177"/>
      <c r="AY6" s="177"/>
      <c r="AZ6" s="177"/>
      <c r="BB6" s="173"/>
    </row>
    <row r="7" customFormat="false" ht="12.75" hidden="false" customHeight="false" outlineLevel="0" collapsed="false">
      <c r="A7" s="169" t="n">
        <f aca="false">+BaseloadMarkets!A8</f>
        <v>36680</v>
      </c>
      <c r="B7" s="169"/>
      <c r="C7" s="170" t="n">
        <v>70000</v>
      </c>
      <c r="D7" s="148" t="n">
        <v>12095</v>
      </c>
      <c r="E7" s="148" t="n">
        <v>7608</v>
      </c>
      <c r="F7" s="148" t="n">
        <v>9550</v>
      </c>
      <c r="I7" s="148" t="n">
        <v>4233</v>
      </c>
      <c r="J7" s="148" t="n">
        <v>9490</v>
      </c>
      <c r="K7" s="148"/>
      <c r="L7" s="148"/>
      <c r="M7" s="171" t="n">
        <f aca="false">+Border!AD6</f>
        <v>0</v>
      </c>
      <c r="N7" s="148"/>
      <c r="O7" s="148"/>
      <c r="P7" s="148" t="n">
        <v>1953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72" t="n">
        <f aca="false">SUM(D7:AH7)</f>
        <v>44929</v>
      </c>
      <c r="AJ7" s="172" t="n">
        <f aca="false">C7</f>
        <v>70000</v>
      </c>
      <c r="AK7" s="170" t="n">
        <f aca="false">+AI7-AJ7</f>
        <v>-25071</v>
      </c>
      <c r="AL7" s="173"/>
      <c r="AM7" s="169" t="n">
        <f aca="false">A7</f>
        <v>36680</v>
      </c>
      <c r="AO7" s="175" t="n">
        <f aca="false">AO6+AK7</f>
        <v>8133</v>
      </c>
      <c r="AP7" s="176"/>
      <c r="AQ7" s="176" t="n">
        <f aca="false">+AI7-D7-E7-F7</f>
        <v>15676</v>
      </c>
      <c r="AS7" s="176"/>
      <c r="AT7" s="176"/>
      <c r="AV7" s="177"/>
      <c r="AW7" s="177"/>
      <c r="AY7" s="177"/>
      <c r="AZ7" s="177"/>
      <c r="BB7" s="173"/>
    </row>
    <row r="8" customFormat="false" ht="12.75" hidden="false" customHeight="false" outlineLevel="0" collapsed="false">
      <c r="A8" s="169" t="n">
        <f aca="false">+BaseloadMarkets!A9</f>
        <v>36681</v>
      </c>
      <c r="B8" s="169"/>
      <c r="C8" s="170" t="n">
        <v>70000</v>
      </c>
      <c r="D8" s="148" t="n">
        <v>10541</v>
      </c>
      <c r="E8" s="148" t="n">
        <v>6532</v>
      </c>
      <c r="I8" s="148" t="n">
        <f aca="false">429+3706</f>
        <v>4135</v>
      </c>
      <c r="J8" s="148" t="n">
        <v>25398</v>
      </c>
      <c r="K8" s="148"/>
      <c r="L8" s="148"/>
      <c r="M8" s="171" t="n">
        <f aca="false">+Border!AD7</f>
        <v>0</v>
      </c>
      <c r="N8" s="148"/>
      <c r="O8" s="148"/>
      <c r="P8" s="148" t="n">
        <v>1709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78" t="n">
        <f aca="false">SUM(D8:AH8)</f>
        <v>48315</v>
      </c>
      <c r="AJ8" s="172" t="n">
        <f aca="false">C8</f>
        <v>70000</v>
      </c>
      <c r="AK8" s="170" t="n">
        <f aca="false">+AI8-AJ8</f>
        <v>-21685</v>
      </c>
      <c r="AL8" s="173"/>
      <c r="AM8" s="169" t="n">
        <f aca="false">A8</f>
        <v>36681</v>
      </c>
      <c r="AO8" s="175" t="n">
        <f aca="false">AO7+AK8</f>
        <v>-13552</v>
      </c>
      <c r="AP8" s="176"/>
      <c r="AQ8" s="176" t="n">
        <f aca="false">+AI8-D8-E8-F8</f>
        <v>31242</v>
      </c>
      <c r="AS8" s="176"/>
      <c r="AT8" s="176"/>
      <c r="AV8" s="177"/>
      <c r="AW8" s="177"/>
      <c r="AY8" s="177"/>
      <c r="AZ8" s="177"/>
      <c r="BB8" s="173"/>
    </row>
    <row r="9" customFormat="false" ht="12.75" hidden="false" customHeight="false" outlineLevel="0" collapsed="false">
      <c r="A9" s="169" t="n">
        <f aca="false">+BaseloadMarkets!A10</f>
        <v>36682</v>
      </c>
      <c r="B9" s="169"/>
      <c r="C9" s="170" t="n">
        <v>70000</v>
      </c>
      <c r="D9" s="148" t="n">
        <v>10858</v>
      </c>
      <c r="E9" s="148" t="n">
        <v>7852</v>
      </c>
      <c r="G9" s="148" t="n">
        <v>30000</v>
      </c>
      <c r="I9" s="148" t="n">
        <f aca="false">554+4278</f>
        <v>4832</v>
      </c>
      <c r="J9" s="148" t="n">
        <v>30997</v>
      </c>
      <c r="K9" s="148"/>
      <c r="L9" s="148"/>
      <c r="M9" s="171" t="n">
        <f aca="false">+Border!AD8</f>
        <v>0</v>
      </c>
      <c r="N9" s="148"/>
      <c r="O9" s="148"/>
      <c r="P9" s="148" t="n">
        <v>1974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78" t="n">
        <f aca="false">SUM(D9:AH9)</f>
        <v>86513</v>
      </c>
      <c r="AJ9" s="172" t="n">
        <f aca="false">C9</f>
        <v>70000</v>
      </c>
      <c r="AK9" s="170" t="n">
        <f aca="false">+AI9-AJ9</f>
        <v>16513</v>
      </c>
      <c r="AL9" s="173"/>
      <c r="AM9" s="169" t="n">
        <f aca="false">A9</f>
        <v>36682</v>
      </c>
      <c r="AO9" s="175" t="n">
        <f aca="false">AO8+AK9</f>
        <v>2961</v>
      </c>
      <c r="AP9" s="176"/>
      <c r="AQ9" s="176" t="n">
        <f aca="false">+AI9-D9-E9-F9</f>
        <v>67803</v>
      </c>
      <c r="AS9" s="176"/>
      <c r="AT9" s="176"/>
      <c r="AV9" s="177"/>
      <c r="AW9" s="177"/>
      <c r="AY9" s="177"/>
      <c r="AZ9" s="177"/>
      <c r="BB9" s="173"/>
    </row>
    <row r="10" customFormat="false" ht="12.75" hidden="false" customHeight="false" outlineLevel="0" collapsed="false">
      <c r="A10" s="169" t="n">
        <f aca="false">+BaseloadMarkets!A11</f>
        <v>36683</v>
      </c>
      <c r="B10" s="169"/>
      <c r="C10" s="170" t="n">
        <v>70000</v>
      </c>
      <c r="G10" s="148" t="n">
        <v>20000</v>
      </c>
      <c r="I10" s="148" t="n">
        <v>4174</v>
      </c>
      <c r="J10" s="148" t="n">
        <v>31049</v>
      </c>
      <c r="K10" s="148"/>
      <c r="L10" s="148"/>
      <c r="M10" s="171" t="n">
        <f aca="false">+Border!AD9</f>
        <v>0</v>
      </c>
      <c r="N10" s="148"/>
      <c r="O10" s="148"/>
      <c r="P10" s="148" t="n">
        <v>5065</v>
      </c>
      <c r="Q10" s="148" t="n">
        <v>13413</v>
      </c>
      <c r="R10" s="148" t="n">
        <v>5000</v>
      </c>
      <c r="S10" s="148" t="n">
        <v>4143</v>
      </c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78" t="n">
        <f aca="false">SUM(D10:AH10)</f>
        <v>82844</v>
      </c>
      <c r="AJ10" s="172" t="n">
        <f aca="false">C10</f>
        <v>70000</v>
      </c>
      <c r="AK10" s="170" t="n">
        <f aca="false">+AI10-AJ10</f>
        <v>12844</v>
      </c>
      <c r="AL10" s="173"/>
      <c r="AM10" s="169" t="n">
        <f aca="false">A10</f>
        <v>36683</v>
      </c>
      <c r="AO10" s="175" t="n">
        <f aca="false">AO9+AK10</f>
        <v>15805</v>
      </c>
      <c r="AP10" s="176"/>
      <c r="AQ10" s="176" t="n">
        <f aca="false">+AI10-D10-E10-F10</f>
        <v>82844</v>
      </c>
      <c r="AS10" s="176"/>
      <c r="AT10" s="176"/>
      <c r="AV10" s="177"/>
      <c r="AW10" s="177"/>
      <c r="AY10" s="177"/>
      <c r="AZ10" s="177"/>
      <c r="BB10" s="173"/>
    </row>
    <row r="11" customFormat="false" ht="12.75" hidden="false" customHeight="false" outlineLevel="0" collapsed="false">
      <c r="A11" s="169" t="n">
        <f aca="false">+BaseloadMarkets!A12</f>
        <v>36684</v>
      </c>
      <c r="B11" s="169"/>
      <c r="C11" s="170" t="n">
        <v>70000</v>
      </c>
      <c r="G11" s="148" t="n">
        <v>10000</v>
      </c>
      <c r="I11" s="148" t="n">
        <v>4248</v>
      </c>
      <c r="J11" s="148" t="n">
        <v>8998</v>
      </c>
      <c r="K11" s="148"/>
      <c r="L11" s="148" t="n">
        <v>5894</v>
      </c>
      <c r="M11" s="171" t="n">
        <f aca="false">+Border!AD10</f>
        <v>0</v>
      </c>
      <c r="N11" s="148" t="n">
        <v>6598</v>
      </c>
      <c r="O11" s="148"/>
      <c r="P11" s="148" t="n">
        <v>6778</v>
      </c>
      <c r="Q11" s="148"/>
      <c r="R11" s="148"/>
      <c r="S11" s="148"/>
      <c r="T11" s="148" t="n">
        <f aca="false">939+1730</f>
        <v>2669</v>
      </c>
      <c r="U11" s="148" t="n">
        <v>12917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72" t="n">
        <f aca="false">SUM(D11:AH11)</f>
        <v>58102</v>
      </c>
      <c r="AJ11" s="172" t="n">
        <f aca="false">C11</f>
        <v>70000</v>
      </c>
      <c r="AK11" s="170" t="n">
        <f aca="false">+AI11-AJ11</f>
        <v>-11898</v>
      </c>
      <c r="AL11" s="173"/>
      <c r="AM11" s="169" t="n">
        <f aca="false">A11</f>
        <v>36684</v>
      </c>
      <c r="AO11" s="175" t="n">
        <f aca="false">AO10+AK11</f>
        <v>3907</v>
      </c>
      <c r="AP11" s="176"/>
      <c r="AQ11" s="176" t="n">
        <f aca="false">+AI11-D11-E11-F11</f>
        <v>58102</v>
      </c>
      <c r="AS11" s="176"/>
      <c r="AT11" s="176"/>
      <c r="AV11" s="177"/>
      <c r="AW11" s="177"/>
      <c r="AY11" s="177"/>
      <c r="AZ11" s="177"/>
      <c r="BB11" s="173"/>
    </row>
    <row r="12" customFormat="false" ht="12.75" hidden="false" customHeight="false" outlineLevel="0" collapsed="false">
      <c r="A12" s="169" t="n">
        <f aca="false">+BaseloadMarkets!A13</f>
        <v>36685</v>
      </c>
      <c r="B12" s="169"/>
      <c r="C12" s="170" t="n">
        <v>70000</v>
      </c>
      <c r="G12" s="148" t="n">
        <v>30000</v>
      </c>
      <c r="H12" s="148" t="n">
        <v>10000</v>
      </c>
      <c r="I12" s="148" t="n">
        <v>4319</v>
      </c>
      <c r="J12" s="148" t="n">
        <v>25605</v>
      </c>
      <c r="K12" s="148" t="n">
        <v>5546</v>
      </c>
      <c r="L12" s="148"/>
      <c r="M12" s="171" t="n">
        <f aca="false">+Border!AD11</f>
        <v>0</v>
      </c>
      <c r="N12" s="148" t="n">
        <v>5574</v>
      </c>
      <c r="O12" s="148"/>
      <c r="P12" s="148" t="n">
        <f aca="false">5689+5689+5689+2846</f>
        <v>19913</v>
      </c>
      <c r="Q12" s="148"/>
      <c r="R12" s="148"/>
      <c r="S12" s="148"/>
      <c r="T12" s="148" t="n">
        <f aca="false">4592+1382</f>
        <v>5974</v>
      </c>
      <c r="U12" s="148" t="n">
        <v>12917</v>
      </c>
      <c r="V12" s="148" t="n">
        <v>20000</v>
      </c>
      <c r="W12" s="148" t="n">
        <f aca="false">7696+11528+2922</f>
        <v>22146</v>
      </c>
      <c r="X12" s="148" t="n">
        <f aca="false">5132+5132+4712</f>
        <v>14976</v>
      </c>
      <c r="Y12" s="148" t="n">
        <v>3202</v>
      </c>
      <c r="Z12" s="148" t="n">
        <v>5000</v>
      </c>
      <c r="AA12" s="148"/>
      <c r="AB12" s="148"/>
      <c r="AC12" s="148"/>
      <c r="AD12" s="148"/>
      <c r="AE12" s="148"/>
      <c r="AF12" s="148"/>
      <c r="AG12" s="148"/>
      <c r="AH12" s="148"/>
      <c r="AI12" s="172" t="n">
        <f aca="false">SUM(D12:AH12)</f>
        <v>185172</v>
      </c>
      <c r="AJ12" s="172" t="n">
        <f aca="false">C12</f>
        <v>70000</v>
      </c>
      <c r="AK12" s="170" t="n">
        <f aca="false">+AI12-AJ12</f>
        <v>115172</v>
      </c>
      <c r="AL12" s="173"/>
      <c r="AM12" s="169" t="n">
        <f aca="false">A12</f>
        <v>36685</v>
      </c>
      <c r="AO12" s="175" t="n">
        <f aca="false">AO11+AK12</f>
        <v>119079</v>
      </c>
      <c r="AP12" s="176"/>
      <c r="AQ12" s="176" t="n">
        <f aca="false">+AI12-D12-E12-F12</f>
        <v>185172</v>
      </c>
      <c r="AS12" s="176"/>
      <c r="AT12" s="176"/>
      <c r="AV12" s="177"/>
      <c r="AW12" s="177"/>
      <c r="AY12" s="177"/>
      <c r="AZ12" s="177"/>
      <c r="BB12" s="173"/>
    </row>
    <row r="13" customFormat="false" ht="12.75" hidden="false" customHeight="false" outlineLevel="0" collapsed="false">
      <c r="A13" s="169" t="n">
        <f aca="false">+BaseloadMarkets!A14</f>
        <v>36686</v>
      </c>
      <c r="B13" s="169"/>
      <c r="C13" s="170" t="n">
        <v>70000</v>
      </c>
      <c r="G13" s="148" t="n">
        <v>30000</v>
      </c>
      <c r="H13" s="148" t="n">
        <v>10000</v>
      </c>
      <c r="I13" s="148" t="n">
        <v>4333</v>
      </c>
      <c r="J13" s="148" t="n">
        <v>26414</v>
      </c>
      <c r="K13" s="148" t="n">
        <v>6457</v>
      </c>
      <c r="L13" s="148" t="n">
        <v>25000</v>
      </c>
      <c r="M13" s="171" t="n">
        <f aca="false">+Border!AD12</f>
        <v>0</v>
      </c>
      <c r="N13" s="148" t="n">
        <v>6204</v>
      </c>
      <c r="O13" s="148"/>
      <c r="P13" s="148"/>
      <c r="Q13" s="148"/>
      <c r="R13" s="148"/>
      <c r="S13" s="148"/>
      <c r="T13" s="148" t="n">
        <f aca="false">1909+5383</f>
        <v>7292</v>
      </c>
      <c r="U13" s="148" t="n">
        <f aca="false">12917+14091</f>
        <v>27008</v>
      </c>
      <c r="V13" s="148"/>
      <c r="W13" s="148"/>
      <c r="X13" s="148"/>
      <c r="Y13" s="148" t="n">
        <v>10000</v>
      </c>
      <c r="Z13" s="148"/>
      <c r="AA13" s="148" t="n">
        <v>6270</v>
      </c>
      <c r="AB13" s="148"/>
      <c r="AC13" s="148"/>
      <c r="AD13" s="148"/>
      <c r="AE13" s="148"/>
      <c r="AF13" s="148"/>
      <c r="AG13" s="148"/>
      <c r="AH13" s="148"/>
      <c r="AI13" s="178" t="n">
        <f aca="false">SUM(D13:AH13)</f>
        <v>158978</v>
      </c>
      <c r="AJ13" s="172" t="n">
        <f aca="false">C13</f>
        <v>70000</v>
      </c>
      <c r="AK13" s="170" t="n">
        <f aca="false">+AI13-AJ13</f>
        <v>88978</v>
      </c>
      <c r="AL13" s="173"/>
      <c r="AM13" s="169" t="n">
        <f aca="false">A13</f>
        <v>36686</v>
      </c>
      <c r="AO13" s="175" t="n">
        <f aca="false">AO12+AK13</f>
        <v>208057</v>
      </c>
      <c r="AP13" s="176"/>
      <c r="AQ13" s="176" t="n">
        <f aca="false">+AI13-D13-E13-F13</f>
        <v>158978</v>
      </c>
      <c r="AS13" s="176"/>
      <c r="AT13" s="176"/>
      <c r="AV13" s="177"/>
      <c r="AW13" s="177"/>
      <c r="AY13" s="177"/>
      <c r="AZ13" s="177"/>
      <c r="BB13" s="173"/>
    </row>
    <row r="14" customFormat="false" ht="12.75" hidden="false" customHeight="false" outlineLevel="0" collapsed="false">
      <c r="A14" s="169" t="n">
        <f aca="false">+BaseloadMarkets!A15</f>
        <v>36687</v>
      </c>
      <c r="B14" s="179"/>
      <c r="C14" s="170" t="n">
        <v>70000</v>
      </c>
      <c r="D14" s="148" t="n">
        <v>22378</v>
      </c>
      <c r="E14" s="148" t="n">
        <v>7573</v>
      </c>
      <c r="H14" s="148" t="n">
        <f aca="false">10000+1603</f>
        <v>11603</v>
      </c>
      <c r="I14" s="148" t="n">
        <v>4087</v>
      </c>
      <c r="J14" s="148" t="n">
        <v>27930</v>
      </c>
      <c r="K14" s="74" t="n">
        <f aca="false">9769+6224</f>
        <v>15993</v>
      </c>
      <c r="L14" s="74"/>
      <c r="M14" s="171" t="n">
        <f aca="false">+Border!AD13</f>
        <v>0</v>
      </c>
      <c r="N14" s="148" t="n">
        <v>5140</v>
      </c>
      <c r="O14" s="74"/>
      <c r="P14" s="74" t="n">
        <f aca="false">20464+0</f>
        <v>20464</v>
      </c>
      <c r="Q14" s="148"/>
      <c r="R14" s="74" t="n">
        <v>2000</v>
      </c>
      <c r="S14" s="148" t="n">
        <v>5000</v>
      </c>
      <c r="T14" s="74"/>
      <c r="U14" s="148" t="n">
        <v>1008</v>
      </c>
      <c r="V14" s="148" t="n">
        <v>4986</v>
      </c>
      <c r="W14" s="148"/>
      <c r="X14" s="74"/>
      <c r="Y14" s="74"/>
      <c r="Z14" s="74"/>
      <c r="AA14" s="74"/>
      <c r="AB14" s="74" t="n">
        <f aca="false">2463+2463+0+1994</f>
        <v>6920</v>
      </c>
      <c r="AC14" s="74" t="n">
        <v>4929</v>
      </c>
      <c r="AD14" s="74"/>
      <c r="AE14" s="74"/>
      <c r="AF14" s="74"/>
      <c r="AG14" s="74"/>
      <c r="AH14" s="74"/>
      <c r="AI14" s="178" t="n">
        <f aca="false">SUM(D14:AH14)</f>
        <v>140011</v>
      </c>
      <c r="AJ14" s="178" t="n">
        <f aca="false">C14</f>
        <v>70000</v>
      </c>
      <c r="AK14" s="70" t="n">
        <f aca="false">+AI14-AJ14</f>
        <v>70011</v>
      </c>
      <c r="AL14" s="180"/>
      <c r="AM14" s="179" t="n">
        <f aca="false">A14</f>
        <v>36687</v>
      </c>
      <c r="AN14" s="1"/>
      <c r="AO14" s="129" t="n">
        <f aca="false">AO13+AK14</f>
        <v>278068</v>
      </c>
      <c r="AP14" s="181"/>
      <c r="AQ14" s="176" t="n">
        <f aca="false">+AI14-D14-E14-F14</f>
        <v>110060</v>
      </c>
      <c r="AR14" s="1"/>
      <c r="AS14" s="181"/>
      <c r="AT14" s="181"/>
      <c r="AU14" s="1"/>
      <c r="AV14" s="26"/>
      <c r="AW14" s="26"/>
      <c r="AX14" s="1"/>
      <c r="AY14" s="26"/>
      <c r="AZ14" s="26"/>
      <c r="BA14" s="1"/>
      <c r="BB14" s="180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69" t="n">
        <f aca="false">+BaseloadMarkets!A16</f>
        <v>36688</v>
      </c>
      <c r="B15" s="169"/>
      <c r="C15" s="170" t="n">
        <v>70000</v>
      </c>
      <c r="D15" s="148" t="n">
        <v>19788</v>
      </c>
      <c r="E15" s="148" t="n">
        <v>7485</v>
      </c>
      <c r="H15" s="148" t="n">
        <f aca="false">10000+1575</f>
        <v>11575</v>
      </c>
      <c r="I15" s="148" t="n">
        <v>4334</v>
      </c>
      <c r="J15" s="148" t="n">
        <v>29106</v>
      </c>
      <c r="K15" s="74" t="n">
        <f aca="false">9999+5308</f>
        <v>15307</v>
      </c>
      <c r="L15" s="148"/>
      <c r="M15" s="171" t="n">
        <f aca="false">+Border!AD14</f>
        <v>0</v>
      </c>
      <c r="N15" s="148" t="n">
        <v>5302</v>
      </c>
      <c r="O15" s="148"/>
      <c r="P15" s="74" t="n">
        <f aca="false">17491+2051</f>
        <v>19542</v>
      </c>
      <c r="Q15" s="148"/>
      <c r="R15" s="148" t="n">
        <v>1890</v>
      </c>
      <c r="S15" s="148" t="n">
        <v>4859</v>
      </c>
      <c r="T15" s="148"/>
      <c r="U15" s="148" t="n">
        <v>1008</v>
      </c>
      <c r="V15" s="148" t="n">
        <v>3317</v>
      </c>
      <c r="W15" s="148"/>
      <c r="X15" s="74"/>
      <c r="Y15" s="148"/>
      <c r="Z15" s="148"/>
      <c r="AA15" s="148"/>
      <c r="AB15" s="148" t="n">
        <f aca="false">2483+0+2490+1325</f>
        <v>6298</v>
      </c>
      <c r="AC15" s="74" t="n">
        <v>4980</v>
      </c>
      <c r="AD15" s="74"/>
      <c r="AE15" s="74"/>
      <c r="AF15" s="74"/>
      <c r="AG15" s="148"/>
      <c r="AH15" s="148"/>
      <c r="AI15" s="178" t="n">
        <f aca="false">SUM(D15:AH15)</f>
        <v>134791</v>
      </c>
      <c r="AJ15" s="172" t="n">
        <f aca="false">C15</f>
        <v>70000</v>
      </c>
      <c r="AK15" s="170" t="n">
        <f aca="false">+AI15-AJ15</f>
        <v>64791</v>
      </c>
      <c r="AL15" s="173"/>
      <c r="AM15" s="169" t="n">
        <f aca="false">A15</f>
        <v>36688</v>
      </c>
      <c r="AO15" s="175" t="n">
        <f aca="false">AO14+AK15</f>
        <v>342859</v>
      </c>
      <c r="AP15" s="176"/>
      <c r="AQ15" s="176" t="n">
        <f aca="false">+AI15-D15-E15-F15</f>
        <v>107518</v>
      </c>
      <c r="AS15" s="176"/>
      <c r="AT15" s="176"/>
      <c r="AV15" s="177"/>
      <c r="AW15" s="177"/>
      <c r="AY15" s="177"/>
      <c r="AZ15" s="177"/>
      <c r="BB15" s="173"/>
    </row>
    <row r="16" customFormat="false" ht="12.75" hidden="false" customHeight="false" outlineLevel="0" collapsed="false">
      <c r="A16" s="169" t="n">
        <f aca="false">+BaseloadMarkets!A17</f>
        <v>36689</v>
      </c>
      <c r="B16" s="169"/>
      <c r="C16" s="170" t="n">
        <v>70000</v>
      </c>
      <c r="D16" s="148" t="n">
        <v>22829</v>
      </c>
      <c r="E16" s="148" t="n">
        <v>6610</v>
      </c>
      <c r="G16" s="148" t="n">
        <v>30000</v>
      </c>
      <c r="H16" s="148" t="n">
        <f aca="false">1488+25741+4882-25741+10000-4882</f>
        <v>11488</v>
      </c>
      <c r="I16" s="148" t="n">
        <v>4262</v>
      </c>
      <c r="J16" s="148" t="n">
        <v>25741</v>
      </c>
      <c r="K16" s="74" t="n">
        <f aca="false">6069+9163</f>
        <v>15232</v>
      </c>
      <c r="L16" s="148"/>
      <c r="M16" s="171" t="n">
        <f aca="false">+Border!AD15</f>
        <v>0</v>
      </c>
      <c r="N16" s="148" t="n">
        <f aca="false">2452+2452</f>
        <v>4904</v>
      </c>
      <c r="O16" s="148"/>
      <c r="P16" s="74" t="n">
        <f aca="false">5721+3035+5722+5722+2861</f>
        <v>23061</v>
      </c>
      <c r="Q16" s="148"/>
      <c r="R16" s="148" t="n">
        <v>1906</v>
      </c>
      <c r="S16" s="148" t="n">
        <v>4882</v>
      </c>
      <c r="T16" s="148"/>
      <c r="U16" s="148" t="n">
        <f aca="false">1008+10333</f>
        <v>11341</v>
      </c>
      <c r="V16" s="148" t="n">
        <v>3760</v>
      </c>
      <c r="W16" s="148"/>
      <c r="X16" s="74"/>
      <c r="Y16" s="148"/>
      <c r="Z16" s="148"/>
      <c r="AA16" s="148"/>
      <c r="AB16" s="148" t="n">
        <f aca="false">1503+2729+2729</f>
        <v>6961</v>
      </c>
      <c r="AC16" s="74" t="n">
        <f aca="false">2731+2730</f>
        <v>5461</v>
      </c>
      <c r="AD16" s="74"/>
      <c r="AE16" s="74"/>
      <c r="AF16" s="74"/>
      <c r="AG16" s="148"/>
      <c r="AH16" s="148"/>
      <c r="AI16" s="178" t="n">
        <f aca="false">SUM(D16:AH16)</f>
        <v>178438</v>
      </c>
      <c r="AJ16" s="172" t="n">
        <f aca="false">C16</f>
        <v>70000</v>
      </c>
      <c r="AK16" s="170" t="n">
        <f aca="false">+AI16-AJ16</f>
        <v>108438</v>
      </c>
      <c r="AL16" s="173"/>
      <c r="AM16" s="169" t="n">
        <f aca="false">A16</f>
        <v>36689</v>
      </c>
      <c r="AO16" s="175" t="n">
        <f aca="false">AO15+AK16</f>
        <v>451297</v>
      </c>
      <c r="AP16" s="176"/>
      <c r="AQ16" s="176" t="n">
        <f aca="false">+AI16-D16-E16-F16</f>
        <v>148999</v>
      </c>
      <c r="AS16" s="176"/>
      <c r="AT16" s="176"/>
      <c r="AV16" s="177"/>
      <c r="AW16" s="177"/>
      <c r="AY16" s="177"/>
      <c r="AZ16" s="177"/>
      <c r="BB16" s="173"/>
    </row>
    <row r="17" customFormat="false" ht="12.75" hidden="false" customHeight="false" outlineLevel="0" collapsed="false">
      <c r="A17" s="169" t="n">
        <f aca="false">+BaseloadMarkets!A18</f>
        <v>36690</v>
      </c>
      <c r="B17" s="169"/>
      <c r="C17" s="170" t="n">
        <v>70000</v>
      </c>
      <c r="E17" s="148" t="n">
        <f aca="false">6550+757</f>
        <v>7307</v>
      </c>
      <c r="G17" s="148" t="n">
        <v>16000</v>
      </c>
      <c r="I17" s="148" t="n">
        <v>4319</v>
      </c>
      <c r="J17" s="148" t="n">
        <v>18957</v>
      </c>
      <c r="K17" s="148"/>
      <c r="L17" s="148"/>
      <c r="M17" s="171" t="n">
        <f aca="false">+Border!AD16</f>
        <v>0</v>
      </c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72" t="n">
        <f aca="false">SUM(D17:AH17)</f>
        <v>46583</v>
      </c>
      <c r="AJ17" s="172" t="n">
        <f aca="false">C17</f>
        <v>70000</v>
      </c>
      <c r="AK17" s="170" t="n">
        <f aca="false">+AI17-AJ17</f>
        <v>-23417</v>
      </c>
      <c r="AL17" s="173"/>
      <c r="AM17" s="169" t="n">
        <f aca="false">A17</f>
        <v>36690</v>
      </c>
      <c r="AO17" s="175" t="n">
        <f aca="false">AO16+AK17</f>
        <v>427880</v>
      </c>
      <c r="AP17" s="176"/>
      <c r="AQ17" s="176" t="n">
        <f aca="false">+AI17-D17-E17-F17</f>
        <v>39276</v>
      </c>
      <c r="AS17" s="176"/>
      <c r="AT17" s="176"/>
      <c r="AV17" s="177"/>
      <c r="AW17" s="177"/>
      <c r="AY17" s="177"/>
      <c r="AZ17" s="177"/>
      <c r="BB17" s="173"/>
    </row>
    <row r="18" customFormat="false" ht="12.75" hidden="false" customHeight="false" outlineLevel="0" collapsed="false">
      <c r="A18" s="169" t="n">
        <f aca="false">+BaseloadMarkets!A19</f>
        <v>36691</v>
      </c>
      <c r="B18" s="169"/>
      <c r="C18" s="170" t="n">
        <v>70000</v>
      </c>
      <c r="E18" s="148" t="n">
        <f aca="false">11029+2642</f>
        <v>13671</v>
      </c>
      <c r="I18" s="148" t="n">
        <v>4216</v>
      </c>
      <c r="J18" s="148" t="n">
        <v>3654</v>
      </c>
      <c r="K18" s="148" t="n">
        <v>7456</v>
      </c>
      <c r="L18" s="148"/>
      <c r="M18" s="171" t="n">
        <f aca="false">+Border!AD17</f>
        <v>0</v>
      </c>
      <c r="N18" s="148"/>
      <c r="O18" s="148"/>
      <c r="P18" s="148" t="n">
        <v>1744</v>
      </c>
      <c r="Q18" s="148"/>
      <c r="R18" s="148"/>
      <c r="S18" s="148"/>
      <c r="T18" s="148"/>
      <c r="U18" s="148"/>
      <c r="V18" s="148" t="n">
        <v>5523</v>
      </c>
      <c r="W18" s="148"/>
      <c r="X18" s="148"/>
      <c r="Y18" s="148"/>
      <c r="Z18" s="148"/>
      <c r="AA18" s="148"/>
      <c r="AB18" s="148" t="n">
        <f aca="false">1779+2225</f>
        <v>4004</v>
      </c>
      <c r="AC18" s="148"/>
      <c r="AD18" s="148"/>
      <c r="AE18" s="148"/>
      <c r="AF18" s="148"/>
      <c r="AG18" s="148" t="n">
        <v>0</v>
      </c>
      <c r="AH18" s="148"/>
      <c r="AI18" s="178" t="n">
        <f aca="false">SUM(D18:AH18)</f>
        <v>40268</v>
      </c>
      <c r="AJ18" s="172" t="n">
        <f aca="false">C18</f>
        <v>70000</v>
      </c>
      <c r="AK18" s="170" t="n">
        <f aca="false">+AI18-AJ18</f>
        <v>-29732</v>
      </c>
      <c r="AL18" s="173"/>
      <c r="AM18" s="169" t="n">
        <f aca="false">A18</f>
        <v>36691</v>
      </c>
      <c r="AO18" s="175" t="n">
        <f aca="false">AO17+AK18</f>
        <v>398148</v>
      </c>
      <c r="AP18" s="176"/>
      <c r="AQ18" s="176" t="n">
        <f aca="false">+AI18-D18-E18-F18</f>
        <v>26597</v>
      </c>
      <c r="AS18" s="177"/>
      <c r="AT18" s="177"/>
      <c r="AV18" s="177"/>
      <c r="AW18" s="177"/>
      <c r="AY18" s="177"/>
      <c r="AZ18" s="177"/>
      <c r="BB18" s="173"/>
    </row>
    <row r="19" customFormat="false" ht="12.75" hidden="false" customHeight="false" outlineLevel="0" collapsed="false">
      <c r="A19" s="169" t="n">
        <f aca="false">+BaseloadMarkets!A20</f>
        <v>36692</v>
      </c>
      <c r="B19" s="169"/>
      <c r="C19" s="170" t="n">
        <v>70000</v>
      </c>
      <c r="J19" s="148"/>
      <c r="K19" s="148" t="n">
        <v>5808</v>
      </c>
      <c r="L19" s="148"/>
      <c r="M19" s="171" t="n">
        <f aca="false">+Border!AD18</f>
        <v>0</v>
      </c>
      <c r="N19" s="148"/>
      <c r="O19" s="148"/>
      <c r="P19" s="148"/>
      <c r="Q19" s="148"/>
      <c r="R19" s="148"/>
      <c r="S19" s="148"/>
      <c r="T19" s="148"/>
      <c r="U19" s="148"/>
      <c r="V19" s="148" t="n">
        <f aca="false">5000+4941+5808</f>
        <v>15749</v>
      </c>
      <c r="W19" s="148"/>
      <c r="X19" s="148" t="n">
        <f aca="false">6198+6197</f>
        <v>12395</v>
      </c>
      <c r="Y19" s="148" t="n">
        <v>2906</v>
      </c>
      <c r="Z19" s="148"/>
      <c r="AA19" s="148"/>
      <c r="AB19" s="148" t="n">
        <f aca="false">1417+1772</f>
        <v>3189</v>
      </c>
      <c r="AC19" s="148"/>
      <c r="AD19" s="148"/>
      <c r="AE19" s="148"/>
      <c r="AF19" s="148"/>
      <c r="AG19" s="148" t="n">
        <v>6198</v>
      </c>
      <c r="AH19" s="148"/>
      <c r="AI19" s="178" t="n">
        <f aca="false">SUM(D19:AH19)</f>
        <v>46245</v>
      </c>
      <c r="AJ19" s="172" t="n">
        <f aca="false">C19</f>
        <v>70000</v>
      </c>
      <c r="AK19" s="170" t="n">
        <f aca="false">+AI19-AJ19</f>
        <v>-23755</v>
      </c>
      <c r="AL19" s="173"/>
      <c r="AM19" s="169" t="n">
        <f aca="false">A19</f>
        <v>36692</v>
      </c>
      <c r="AO19" s="175" t="n">
        <f aca="false">AO18+AK19</f>
        <v>374393</v>
      </c>
      <c r="AP19" s="176"/>
      <c r="AQ19" s="176" t="n">
        <f aca="false">+AI19-D19-E19-F19</f>
        <v>46245</v>
      </c>
      <c r="AS19" s="177"/>
      <c r="AT19" s="177"/>
      <c r="AV19" s="177"/>
      <c r="AW19" s="177"/>
      <c r="AY19" s="177"/>
      <c r="AZ19" s="177"/>
      <c r="BB19" s="173"/>
      <c r="BC19" s="146" t="s">
        <v>42</v>
      </c>
    </row>
    <row r="20" customFormat="false" ht="12.75" hidden="false" customHeight="false" outlineLevel="0" collapsed="false">
      <c r="A20" s="169" t="n">
        <f aca="false">+BaseloadMarkets!A21</f>
        <v>36693</v>
      </c>
      <c r="B20" s="169"/>
      <c r="C20" s="170" t="n">
        <v>70000</v>
      </c>
      <c r="D20" s="148" t="n">
        <v>829</v>
      </c>
      <c r="G20" s="148" t="n">
        <v>2341</v>
      </c>
      <c r="J20" s="148"/>
      <c r="K20" s="148"/>
      <c r="L20" s="148"/>
      <c r="M20" s="171" t="n">
        <f aca="false">+Border!AD19</f>
        <v>0</v>
      </c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 t="n">
        <v>3072</v>
      </c>
      <c r="Z20" s="148"/>
      <c r="AA20" s="148"/>
      <c r="AB20" s="148"/>
      <c r="AC20" s="148"/>
      <c r="AD20" s="148"/>
      <c r="AE20" s="148"/>
      <c r="AF20" s="148"/>
      <c r="AG20" s="148"/>
      <c r="AH20" s="148" t="n">
        <f aca="false">2600+1400</f>
        <v>4000</v>
      </c>
      <c r="AI20" s="172" t="n">
        <f aca="false">SUM(D20:AH20)</f>
        <v>10242</v>
      </c>
      <c r="AJ20" s="172" t="n">
        <f aca="false">C20</f>
        <v>70000</v>
      </c>
      <c r="AK20" s="170" t="n">
        <f aca="false">+AI20-AJ20</f>
        <v>-59758</v>
      </c>
      <c r="AL20" s="173"/>
      <c r="AM20" s="169" t="n">
        <f aca="false">A20</f>
        <v>36693</v>
      </c>
      <c r="AO20" s="175" t="n">
        <f aca="false">AO19+AK20</f>
        <v>314635</v>
      </c>
      <c r="AP20" s="176"/>
      <c r="AQ20" s="176" t="n">
        <f aca="false">+AI20-D20-E20-F20</f>
        <v>9413</v>
      </c>
      <c r="AS20" s="177"/>
      <c r="AT20" s="177"/>
      <c r="AV20" s="177"/>
      <c r="AW20" s="177"/>
      <c r="AY20" s="177"/>
      <c r="AZ20" s="177"/>
      <c r="BB20" s="173"/>
    </row>
    <row r="21" customFormat="false" ht="12.75" hidden="false" customHeight="false" outlineLevel="0" collapsed="false">
      <c r="A21" s="169" t="n">
        <f aca="false">+BaseloadMarkets!A22</f>
        <v>36694</v>
      </c>
      <c r="B21" s="169"/>
      <c r="C21" s="170" t="n">
        <v>70000</v>
      </c>
      <c r="G21" s="148" t="n">
        <v>8</v>
      </c>
      <c r="J21" s="148"/>
      <c r="K21" s="148"/>
      <c r="L21" s="148"/>
      <c r="M21" s="171" t="n">
        <f aca="false">+Border!AD20</f>
        <v>0</v>
      </c>
      <c r="N21" s="148"/>
      <c r="O21" s="148"/>
      <c r="P21" s="148"/>
      <c r="Q21" s="148"/>
      <c r="R21" s="148"/>
      <c r="S21" s="148"/>
      <c r="T21" s="148"/>
      <c r="U21" s="148"/>
      <c r="V21" s="148" t="n">
        <f aca="false">4998+4998+7405</f>
        <v>17401</v>
      </c>
      <c r="W21" s="148"/>
      <c r="X21" s="148" t="n">
        <v>5000</v>
      </c>
      <c r="Y21" s="148" t="n">
        <v>4165</v>
      </c>
      <c r="Z21" s="148"/>
      <c r="AA21" s="148"/>
      <c r="AB21" s="148" t="n">
        <f aca="false">2764+1747+1398</f>
        <v>5909</v>
      </c>
      <c r="AC21" s="148"/>
      <c r="AD21" s="148"/>
      <c r="AE21" s="148"/>
      <c r="AF21" s="148"/>
      <c r="AG21" s="148" t="n">
        <v>4996</v>
      </c>
      <c r="AH21" s="148" t="n">
        <v>4000</v>
      </c>
      <c r="AI21" s="172" t="n">
        <f aca="false">SUM(D21:AH21)</f>
        <v>41479</v>
      </c>
      <c r="AJ21" s="172" t="n">
        <f aca="false">C21</f>
        <v>70000</v>
      </c>
      <c r="AK21" s="170" t="n">
        <f aca="false">+AI21-AJ21</f>
        <v>-28521</v>
      </c>
      <c r="AL21" s="173"/>
      <c r="AM21" s="169" t="n">
        <f aca="false">A21</f>
        <v>36694</v>
      </c>
      <c r="AO21" s="175" t="n">
        <f aca="false">AO20+AK21</f>
        <v>286114</v>
      </c>
      <c r="AP21" s="176"/>
      <c r="AQ21" s="176" t="n">
        <f aca="false">+AI21-D21-E21-F21</f>
        <v>41479</v>
      </c>
      <c r="AS21" s="177"/>
      <c r="AT21" s="177"/>
      <c r="AV21" s="177"/>
      <c r="AW21" s="177"/>
      <c r="AY21" s="177"/>
      <c r="AZ21" s="177"/>
      <c r="BB21" s="173"/>
    </row>
    <row r="22" customFormat="false" ht="12.75" hidden="false" customHeight="false" outlineLevel="0" collapsed="false">
      <c r="A22" s="169" t="n">
        <f aca="false">+BaseloadMarkets!A23</f>
        <v>36695</v>
      </c>
      <c r="B22" s="169"/>
      <c r="C22" s="170" t="n">
        <v>70000</v>
      </c>
      <c r="G22" s="148" t="n">
        <v>8</v>
      </c>
      <c r="J22" s="148"/>
      <c r="K22" s="148"/>
      <c r="L22" s="148"/>
      <c r="M22" s="171" t="n">
        <f aca="false">+Border!AD21</f>
        <v>0</v>
      </c>
      <c r="N22" s="148"/>
      <c r="O22" s="148"/>
      <c r="P22" s="148"/>
      <c r="Q22" s="148"/>
      <c r="R22" s="148"/>
      <c r="S22" s="148"/>
      <c r="T22" s="148"/>
      <c r="U22" s="148"/>
      <c r="V22" s="148" t="n">
        <f aca="false">9996+6928</f>
        <v>16924</v>
      </c>
      <c r="W22" s="148"/>
      <c r="X22" s="148" t="n">
        <v>5000</v>
      </c>
      <c r="Y22" s="148" t="n">
        <v>3936</v>
      </c>
      <c r="Z22" s="148"/>
      <c r="AA22" s="148"/>
      <c r="AB22" s="148" t="n">
        <f aca="false">2488+2097+1678+0</f>
        <v>6263</v>
      </c>
      <c r="AC22" s="148"/>
      <c r="AD22" s="148"/>
      <c r="AE22" s="148"/>
      <c r="AF22" s="148"/>
      <c r="AG22" s="148" t="n">
        <v>4947</v>
      </c>
      <c r="AH22" s="148" t="n">
        <v>4000</v>
      </c>
      <c r="AI22" s="178" t="n">
        <f aca="false">SUM(D22:AH22)</f>
        <v>41078</v>
      </c>
      <c r="AJ22" s="172" t="n">
        <f aca="false">C22</f>
        <v>70000</v>
      </c>
      <c r="AK22" s="170" t="n">
        <f aca="false">+AI22-AJ22</f>
        <v>-28922</v>
      </c>
      <c r="AL22" s="173"/>
      <c r="AM22" s="169" t="n">
        <f aca="false">A22</f>
        <v>36695</v>
      </c>
      <c r="AO22" s="175" t="n">
        <f aca="false">AO21+AK22</f>
        <v>257192</v>
      </c>
      <c r="AP22" s="176"/>
      <c r="AQ22" s="176" t="n">
        <f aca="false">+AI22-D22-E22-F22</f>
        <v>41078</v>
      </c>
      <c r="AS22" s="177"/>
      <c r="AT22" s="177"/>
      <c r="AV22" s="177"/>
      <c r="AW22" s="177"/>
      <c r="AY22" s="177"/>
      <c r="AZ22" s="177"/>
      <c r="BB22" s="173"/>
    </row>
    <row r="23" customFormat="false" ht="12.75" hidden="false" customHeight="false" outlineLevel="0" collapsed="false">
      <c r="A23" s="169" t="n">
        <f aca="false">+BaseloadMarkets!A24</f>
        <v>36696</v>
      </c>
      <c r="B23" s="169"/>
      <c r="C23" s="170" t="n">
        <v>70000</v>
      </c>
      <c r="G23" s="148" t="n">
        <v>30008</v>
      </c>
      <c r="J23" s="148"/>
      <c r="K23" s="148"/>
      <c r="L23" s="148"/>
      <c r="M23" s="171" t="n">
        <f aca="false">+Border!AD22</f>
        <v>0</v>
      </c>
      <c r="N23" s="148"/>
      <c r="O23" s="148"/>
      <c r="P23" s="148"/>
      <c r="Q23" s="148"/>
      <c r="R23" s="148"/>
      <c r="S23" s="148"/>
      <c r="T23" s="148"/>
      <c r="U23" s="148" t="n">
        <v>10333</v>
      </c>
      <c r="V23" s="148" t="n">
        <f aca="false">9996+6354</f>
        <v>16350</v>
      </c>
      <c r="W23" s="148"/>
      <c r="X23" s="148" t="n">
        <v>5000</v>
      </c>
      <c r="Y23" s="148" t="n">
        <v>3243</v>
      </c>
      <c r="Z23" s="148"/>
      <c r="AA23" s="148"/>
      <c r="AB23" s="148" t="n">
        <f aca="false">2378+2169+1735+0</f>
        <v>6282</v>
      </c>
      <c r="AC23" s="148"/>
      <c r="AD23" s="148"/>
      <c r="AE23" s="148"/>
      <c r="AF23" s="148"/>
      <c r="AG23" s="148" t="n">
        <v>5228</v>
      </c>
      <c r="AH23" s="148" t="n">
        <v>4000</v>
      </c>
      <c r="AI23" s="172" t="n">
        <f aca="false">SUM(D23:AH23)</f>
        <v>80444</v>
      </c>
      <c r="AJ23" s="172" t="n">
        <f aca="false">C23</f>
        <v>70000</v>
      </c>
      <c r="AK23" s="170" t="n">
        <f aca="false">+AI23-AJ23</f>
        <v>10444</v>
      </c>
      <c r="AL23" s="173"/>
      <c r="AM23" s="169" t="n">
        <f aca="false">A23</f>
        <v>36696</v>
      </c>
      <c r="AO23" s="175" t="n">
        <f aca="false">AO22+AK23</f>
        <v>267636</v>
      </c>
      <c r="AP23" s="176"/>
      <c r="AQ23" s="176" t="n">
        <f aca="false">+AI23-D23-E23-F23</f>
        <v>80444</v>
      </c>
      <c r="AS23" s="177"/>
      <c r="AT23" s="177"/>
      <c r="AV23" s="177"/>
      <c r="AW23" s="177"/>
      <c r="AY23" s="177"/>
      <c r="AZ23" s="177"/>
      <c r="BB23" s="173"/>
    </row>
    <row r="24" customFormat="false" ht="12.75" hidden="false" customHeight="false" outlineLevel="0" collapsed="false">
      <c r="A24" s="169" t="n">
        <f aca="false">+BaseloadMarkets!A25</f>
        <v>36697</v>
      </c>
      <c r="B24" s="169"/>
      <c r="C24" s="170" t="n">
        <v>70000</v>
      </c>
      <c r="G24" s="148" t="n">
        <v>2341</v>
      </c>
      <c r="J24" s="148"/>
      <c r="K24" s="148"/>
      <c r="L24" s="148"/>
      <c r="M24" s="171" t="n">
        <f aca="false">+Border!AD23</f>
        <v>0</v>
      </c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 t="n">
        <v>4000</v>
      </c>
      <c r="AI24" s="172" t="n">
        <f aca="false">SUM(D24:AH24)</f>
        <v>6341</v>
      </c>
      <c r="AJ24" s="172" t="n">
        <f aca="false">C24</f>
        <v>70000</v>
      </c>
      <c r="AK24" s="170" t="n">
        <f aca="false">+AI24-AJ24</f>
        <v>-63659</v>
      </c>
      <c r="AL24" s="173"/>
      <c r="AM24" s="169" t="n">
        <f aca="false">A24</f>
        <v>36697</v>
      </c>
      <c r="AO24" s="175" t="n">
        <f aca="false">AO23+AK24</f>
        <v>203977</v>
      </c>
      <c r="AP24" s="176"/>
      <c r="AQ24" s="176" t="n">
        <f aca="false">+AI24-D24-E24-F24</f>
        <v>6341</v>
      </c>
      <c r="AS24" s="177"/>
      <c r="AT24" s="177"/>
      <c r="AV24" s="177"/>
      <c r="AW24" s="177"/>
      <c r="AY24" s="177"/>
      <c r="AZ24" s="177"/>
      <c r="BB24" s="173"/>
    </row>
    <row r="25" customFormat="false" ht="12.75" hidden="false" customHeight="false" outlineLevel="0" collapsed="false">
      <c r="A25" s="169" t="n">
        <f aca="false">+BaseloadMarkets!A26</f>
        <v>36698</v>
      </c>
      <c r="B25" s="169"/>
      <c r="C25" s="170" t="n">
        <v>70000</v>
      </c>
      <c r="J25" s="148"/>
      <c r="K25" s="148"/>
      <c r="L25" s="148"/>
      <c r="M25" s="171" t="n">
        <f aca="false">+Border!AD24</f>
        <v>0</v>
      </c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 t="n">
        <v>4000</v>
      </c>
      <c r="AI25" s="172" t="n">
        <f aca="false">SUM(D25:AH25)</f>
        <v>4000</v>
      </c>
      <c r="AJ25" s="172" t="n">
        <f aca="false">C25</f>
        <v>70000</v>
      </c>
      <c r="AK25" s="170" t="n">
        <f aca="false">+AI25-AJ25</f>
        <v>-66000</v>
      </c>
      <c r="AL25" s="173"/>
      <c r="AM25" s="169" t="n">
        <f aca="false">A25</f>
        <v>36698</v>
      </c>
      <c r="AO25" s="175" t="n">
        <f aca="false">AO24+AK25</f>
        <v>137977</v>
      </c>
      <c r="AP25" s="176"/>
      <c r="AQ25" s="176" t="n">
        <f aca="false">+AI25-D25-E25-F25</f>
        <v>4000</v>
      </c>
      <c r="AS25" s="177"/>
      <c r="AT25" s="177"/>
      <c r="AV25" s="177"/>
      <c r="AW25" s="177"/>
      <c r="AY25" s="177"/>
      <c r="AZ25" s="177"/>
      <c r="BB25" s="173"/>
    </row>
    <row r="26" customFormat="false" ht="12.75" hidden="false" customHeight="false" outlineLevel="0" collapsed="false">
      <c r="A26" s="169" t="n">
        <f aca="false">+BaseloadMarkets!A27</f>
        <v>36699</v>
      </c>
      <c r="B26" s="169"/>
      <c r="C26" s="170" t="n">
        <v>70000</v>
      </c>
      <c r="G26" s="148" t="n">
        <v>2341</v>
      </c>
      <c r="J26" s="148"/>
      <c r="K26" s="148"/>
      <c r="L26" s="148"/>
      <c r="M26" s="171" t="n">
        <f aca="false">+Border!AD25</f>
        <v>0</v>
      </c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 t="n">
        <v>1446</v>
      </c>
      <c r="AC26" s="148"/>
      <c r="AD26" s="148"/>
      <c r="AE26" s="148"/>
      <c r="AF26" s="148"/>
      <c r="AG26" s="148"/>
      <c r="AH26" s="148" t="n">
        <v>4000</v>
      </c>
      <c r="AI26" s="178" t="n">
        <f aca="false">SUM(D26:AH26)</f>
        <v>7787</v>
      </c>
      <c r="AJ26" s="172" t="n">
        <f aca="false">C26</f>
        <v>70000</v>
      </c>
      <c r="AK26" s="170" t="n">
        <f aca="false">+AI26-AJ26</f>
        <v>-62213</v>
      </c>
      <c r="AL26" s="173"/>
      <c r="AM26" s="169" t="n">
        <f aca="false">A26</f>
        <v>36699</v>
      </c>
      <c r="AO26" s="175" t="n">
        <f aca="false">AO25+AK26</f>
        <v>75764</v>
      </c>
      <c r="AP26" s="176"/>
      <c r="AQ26" s="176" t="n">
        <f aca="false">+AI26-D26-E26-F26</f>
        <v>7787</v>
      </c>
      <c r="AS26" s="177"/>
      <c r="AT26" s="177"/>
      <c r="AV26" s="177"/>
      <c r="AW26" s="177"/>
      <c r="AY26" s="177"/>
      <c r="AZ26" s="177"/>
      <c r="BB26" s="173"/>
    </row>
    <row r="27" customFormat="false" ht="12.75" hidden="false" customHeight="false" outlineLevel="0" collapsed="false">
      <c r="A27" s="169" t="n">
        <f aca="false">+BaseloadMarkets!A28</f>
        <v>36700</v>
      </c>
      <c r="B27" s="169"/>
      <c r="C27" s="170" t="n">
        <v>70000</v>
      </c>
      <c r="D27" s="148" t="n">
        <v>20000</v>
      </c>
      <c r="J27" s="148"/>
      <c r="K27" s="148"/>
      <c r="L27" s="148"/>
      <c r="M27" s="171" t="n">
        <v>0</v>
      </c>
      <c r="N27" s="148"/>
      <c r="O27" s="148" t="n">
        <v>5000</v>
      </c>
      <c r="P27" s="148"/>
      <c r="Q27" s="148"/>
      <c r="R27" s="148"/>
      <c r="S27" s="148"/>
      <c r="T27" s="148"/>
      <c r="U27" s="148" t="n">
        <v>1340</v>
      </c>
      <c r="V27" s="148"/>
      <c r="W27" s="148"/>
      <c r="X27" s="148"/>
      <c r="Y27" s="148" t="n">
        <f aca="false">8989+4505</f>
        <v>13494</v>
      </c>
      <c r="Z27" s="148"/>
      <c r="AA27" s="148"/>
      <c r="AB27" s="148" t="n">
        <f aca="false">2061+1698+1698+4438</f>
        <v>9895</v>
      </c>
      <c r="AC27" s="148"/>
      <c r="AD27" s="148"/>
      <c r="AE27" s="148"/>
      <c r="AF27" s="148"/>
      <c r="AG27" s="148" t="n">
        <v>5325</v>
      </c>
      <c r="AH27" s="148" t="n">
        <v>4000</v>
      </c>
      <c r="AI27" s="178" t="n">
        <f aca="false">SUM(D27:AH27)</f>
        <v>59054</v>
      </c>
      <c r="AJ27" s="172" t="n">
        <f aca="false">C27</f>
        <v>70000</v>
      </c>
      <c r="AK27" s="170" t="n">
        <f aca="false">+AI27-AJ27</f>
        <v>-10946</v>
      </c>
      <c r="AL27" s="173"/>
      <c r="AM27" s="169" t="n">
        <f aca="false">A27</f>
        <v>36700</v>
      </c>
      <c r="AO27" s="175" t="n">
        <f aca="false">AO26+AK27</f>
        <v>64818</v>
      </c>
      <c r="AP27" s="176"/>
      <c r="AQ27" s="176" t="n">
        <f aca="false">+AI27-D27-E27-F27</f>
        <v>39054</v>
      </c>
      <c r="AS27" s="177"/>
      <c r="AT27" s="177"/>
      <c r="AV27" s="177"/>
      <c r="AW27" s="177"/>
      <c r="AY27" s="177"/>
      <c r="AZ27" s="177"/>
      <c r="BB27" s="173"/>
    </row>
    <row r="28" customFormat="false" ht="12.75" hidden="false" customHeight="false" outlineLevel="0" collapsed="false">
      <c r="A28" s="169" t="n">
        <f aca="false">+BaseloadMarkets!A29</f>
        <v>36701</v>
      </c>
      <c r="B28" s="169"/>
      <c r="C28" s="170" t="n">
        <v>70000</v>
      </c>
      <c r="D28" s="148" t="n">
        <v>8777</v>
      </c>
      <c r="J28" s="148"/>
      <c r="K28" s="148"/>
      <c r="L28" s="148"/>
      <c r="M28" s="171" t="n">
        <v>0</v>
      </c>
      <c r="N28" s="148"/>
      <c r="O28" s="148"/>
      <c r="P28" s="148"/>
      <c r="Q28" s="148"/>
      <c r="R28" s="148"/>
      <c r="S28" s="148"/>
      <c r="T28" s="148"/>
      <c r="U28" s="148" t="n">
        <v>252</v>
      </c>
      <c r="V28" s="148"/>
      <c r="W28" s="148"/>
      <c r="X28" s="148" t="n">
        <v>5000</v>
      </c>
      <c r="Y28" s="148" t="n">
        <v>3338</v>
      </c>
      <c r="Z28" s="148"/>
      <c r="AA28" s="148"/>
      <c r="AB28" s="148" t="n">
        <f aca="false">2362+2828+3010</f>
        <v>8200</v>
      </c>
      <c r="AC28" s="148"/>
      <c r="AD28" s="148" t="n">
        <v>21996</v>
      </c>
      <c r="AE28" s="148"/>
      <c r="AF28" s="148"/>
      <c r="AG28" s="148"/>
      <c r="AH28" s="148" t="n">
        <v>4000</v>
      </c>
      <c r="AI28" s="172" t="n">
        <f aca="false">SUM(D28:AH28)</f>
        <v>51563</v>
      </c>
      <c r="AJ28" s="172" t="n">
        <f aca="false">C28</f>
        <v>70000</v>
      </c>
      <c r="AK28" s="170" t="n">
        <f aca="false">+AI28-AJ28</f>
        <v>-18437</v>
      </c>
      <c r="AL28" s="173"/>
      <c r="AM28" s="169" t="n">
        <f aca="false">A28</f>
        <v>36701</v>
      </c>
      <c r="AO28" s="175" t="n">
        <f aca="false">AO27+AK28</f>
        <v>46381</v>
      </c>
      <c r="AP28" s="176"/>
      <c r="AQ28" s="176" t="n">
        <f aca="false">+AI28-D28-E28-F28</f>
        <v>42786</v>
      </c>
      <c r="AS28" s="177"/>
      <c r="AT28" s="177"/>
      <c r="AV28" s="177"/>
      <c r="AW28" s="177"/>
      <c r="AY28" s="177"/>
      <c r="AZ28" s="177"/>
      <c r="BB28" s="173"/>
    </row>
    <row r="29" customFormat="false" ht="12.75" hidden="false" customHeight="false" outlineLevel="0" collapsed="false">
      <c r="A29" s="169" t="n">
        <f aca="false">+BaseloadMarkets!A30</f>
        <v>36702</v>
      </c>
      <c r="B29" s="169"/>
      <c r="C29" s="170" t="n">
        <v>70000</v>
      </c>
      <c r="D29" s="148" t="n">
        <v>8495</v>
      </c>
      <c r="J29" s="148"/>
      <c r="K29" s="148"/>
      <c r="L29" s="148"/>
      <c r="M29" s="171" t="n">
        <v>0</v>
      </c>
      <c r="N29" s="148"/>
      <c r="O29" s="148"/>
      <c r="P29" s="148"/>
      <c r="Q29" s="148"/>
      <c r="R29" s="148"/>
      <c r="S29" s="148"/>
      <c r="T29" s="148"/>
      <c r="U29" s="148" t="n">
        <v>252</v>
      </c>
      <c r="V29" s="148"/>
      <c r="W29" s="148"/>
      <c r="X29" s="148" t="n">
        <v>5000</v>
      </c>
      <c r="Y29" s="148" t="n">
        <v>3228</v>
      </c>
      <c r="Z29" s="148"/>
      <c r="AA29" s="148"/>
      <c r="AB29" s="148" t="n">
        <f aca="false">2262+3129+3129+2926</f>
        <v>11446</v>
      </c>
      <c r="AC29" s="148"/>
      <c r="AD29" s="148" t="n">
        <v>21700</v>
      </c>
      <c r="AE29" s="148"/>
      <c r="AF29" s="148"/>
      <c r="AG29" s="148"/>
      <c r="AH29" s="148" t="n">
        <v>4000</v>
      </c>
      <c r="AI29" s="178" t="n">
        <f aca="false">SUM(D29:AH29)</f>
        <v>54121</v>
      </c>
      <c r="AJ29" s="172" t="n">
        <f aca="false">C29</f>
        <v>70000</v>
      </c>
      <c r="AK29" s="170" t="n">
        <f aca="false">+AI29-AJ29</f>
        <v>-15879</v>
      </c>
      <c r="AL29" s="173"/>
      <c r="AM29" s="169" t="n">
        <f aca="false">A29</f>
        <v>36702</v>
      </c>
      <c r="AO29" s="175" t="n">
        <f aca="false">AO28+AK29</f>
        <v>30502</v>
      </c>
      <c r="AP29" s="176"/>
      <c r="AQ29" s="176" t="n">
        <f aca="false">+AI29-D29-E29-F29</f>
        <v>45626</v>
      </c>
      <c r="AS29" s="177"/>
      <c r="AT29" s="177"/>
      <c r="AV29" s="177"/>
      <c r="AW29" s="177"/>
      <c r="AY29" s="177"/>
      <c r="AZ29" s="177"/>
      <c r="BB29" s="173"/>
    </row>
    <row r="30" customFormat="false" ht="12.75" hidden="false" customHeight="false" outlineLevel="0" collapsed="false">
      <c r="A30" s="169" t="n">
        <f aca="false">+BaseloadMarkets!A31</f>
        <v>36703</v>
      </c>
      <c r="B30" s="169"/>
      <c r="C30" s="170" t="n">
        <v>70000</v>
      </c>
      <c r="D30" s="148" t="n">
        <v>7811</v>
      </c>
      <c r="G30" s="148" t="n">
        <v>30000</v>
      </c>
      <c r="J30" s="148"/>
      <c r="K30" s="148"/>
      <c r="L30" s="148"/>
      <c r="M30" s="171" t="n">
        <v>0</v>
      </c>
      <c r="N30" s="148"/>
      <c r="O30" s="148"/>
      <c r="P30" s="148"/>
      <c r="Q30" s="148"/>
      <c r="R30" s="148"/>
      <c r="S30" s="148"/>
      <c r="T30" s="148"/>
      <c r="U30" s="148" t="n">
        <f aca="false">10333+252</f>
        <v>10585</v>
      </c>
      <c r="V30" s="148"/>
      <c r="W30" s="148"/>
      <c r="X30" s="148" t="n">
        <v>4640</v>
      </c>
      <c r="Y30" s="148" t="n">
        <v>3379</v>
      </c>
      <c r="Z30" s="148"/>
      <c r="AA30" s="148"/>
      <c r="AB30" s="148" t="n">
        <f aca="false">2261+3057+3057+3848</f>
        <v>12223</v>
      </c>
      <c r="AC30" s="148"/>
      <c r="AD30" s="148" t="n">
        <v>19815</v>
      </c>
      <c r="AE30" s="148"/>
      <c r="AF30" s="148"/>
      <c r="AG30" s="148"/>
      <c r="AH30" s="148" t="n">
        <v>4000</v>
      </c>
      <c r="AI30" s="172" t="n">
        <f aca="false">SUM(D30:AH30)</f>
        <v>92453</v>
      </c>
      <c r="AJ30" s="172" t="n">
        <f aca="false">C30</f>
        <v>70000</v>
      </c>
      <c r="AK30" s="170" t="n">
        <f aca="false">+AI30-AJ30</f>
        <v>22453</v>
      </c>
      <c r="AL30" s="173"/>
      <c r="AM30" s="169" t="n">
        <f aca="false">A30</f>
        <v>36703</v>
      </c>
      <c r="AO30" s="175" t="n">
        <f aca="false">AO29+AK30</f>
        <v>52955</v>
      </c>
      <c r="AP30" s="176"/>
      <c r="AQ30" s="176" t="n">
        <f aca="false">+AI30-D30-E30-F30</f>
        <v>84642</v>
      </c>
      <c r="AS30" s="177"/>
      <c r="AT30" s="177"/>
      <c r="AV30" s="177"/>
      <c r="AW30" s="177"/>
      <c r="AY30" s="177"/>
      <c r="AZ30" s="177"/>
      <c r="BB30" s="173"/>
    </row>
    <row r="31" customFormat="false" ht="12.75" hidden="false" customHeight="false" outlineLevel="0" collapsed="false">
      <c r="A31" s="169" t="n">
        <f aca="false">+BaseloadMarkets!A32</f>
        <v>36704</v>
      </c>
      <c r="B31" s="169"/>
      <c r="C31" s="170" t="n">
        <v>70000</v>
      </c>
      <c r="D31" s="148" t="n">
        <f aca="false">4981+1000+5000+766</f>
        <v>11747</v>
      </c>
      <c r="J31" s="148"/>
      <c r="K31" s="148"/>
      <c r="L31" s="148" t="n">
        <v>4015</v>
      </c>
      <c r="M31" s="171" t="n">
        <v>0</v>
      </c>
      <c r="N31" s="148"/>
      <c r="O31" s="148"/>
      <c r="P31" s="148"/>
      <c r="Q31" s="148" t="n">
        <v>389</v>
      </c>
      <c r="R31" s="148" t="n">
        <v>4649</v>
      </c>
      <c r="S31" s="148"/>
      <c r="T31" s="148"/>
      <c r="U31" s="148" t="n">
        <v>3585</v>
      </c>
      <c r="V31" s="148"/>
      <c r="W31" s="148"/>
      <c r="X31" s="148"/>
      <c r="Y31" s="148"/>
      <c r="Z31" s="148"/>
      <c r="AA31" s="148"/>
      <c r="AB31" s="148" t="n">
        <f aca="false">2678+1564+1357+4015</f>
        <v>9614</v>
      </c>
      <c r="AC31" s="148"/>
      <c r="AD31" s="148"/>
      <c r="AE31" s="148"/>
      <c r="AF31" s="148" t="n">
        <f aca="false">1969+10000</f>
        <v>11969</v>
      </c>
      <c r="AG31" s="148"/>
      <c r="AH31" s="148" t="n">
        <v>4000</v>
      </c>
      <c r="AI31" s="178" t="n">
        <f aca="false">SUM(D31:AH31)</f>
        <v>49968</v>
      </c>
      <c r="AJ31" s="172" t="n">
        <f aca="false">C31</f>
        <v>70000</v>
      </c>
      <c r="AK31" s="170" t="n">
        <f aca="false">+AI31-AJ31</f>
        <v>-20032</v>
      </c>
      <c r="AL31" s="173"/>
      <c r="AM31" s="169" t="n">
        <f aca="false">A31</f>
        <v>36704</v>
      </c>
      <c r="AO31" s="175" t="n">
        <f aca="false">AO30+AK31</f>
        <v>32923</v>
      </c>
      <c r="AP31" s="176"/>
      <c r="AQ31" s="176" t="n">
        <f aca="false">+AI31-D31-E31-F31</f>
        <v>38221</v>
      </c>
      <c r="AS31" s="177"/>
      <c r="AT31" s="177"/>
      <c r="AV31" s="177"/>
      <c r="AW31" s="177"/>
      <c r="AY31" s="177"/>
      <c r="AZ31" s="177"/>
      <c r="BB31" s="173"/>
    </row>
    <row r="32" customFormat="false" ht="12.75" hidden="false" customHeight="false" outlineLevel="0" collapsed="false">
      <c r="A32" s="169" t="n">
        <f aca="false">+BaseloadMarkets!A33</f>
        <v>36705</v>
      </c>
      <c r="B32" s="169"/>
      <c r="C32" s="170" t="n">
        <v>70000</v>
      </c>
      <c r="D32" s="148" t="n">
        <v>5000</v>
      </c>
      <c r="J32" s="148"/>
      <c r="K32" s="148"/>
      <c r="L32" s="148"/>
      <c r="M32" s="171" t="n">
        <f aca="false">+Border!AD31</f>
        <v>0</v>
      </c>
      <c r="N32" s="148"/>
      <c r="O32" s="148"/>
      <c r="P32" s="148"/>
      <c r="Q32" s="148" t="n">
        <f aca="false">500+25000+6247</f>
        <v>31747</v>
      </c>
      <c r="R32" s="148" t="n">
        <v>5000</v>
      </c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 t="n">
        <v>4000</v>
      </c>
      <c r="AI32" s="172" t="n">
        <f aca="false">SUM(D32:AH32)</f>
        <v>45747</v>
      </c>
      <c r="AJ32" s="172" t="n">
        <f aca="false">C32</f>
        <v>70000</v>
      </c>
      <c r="AK32" s="170" t="n">
        <f aca="false">+AI32-AJ32</f>
        <v>-24253</v>
      </c>
      <c r="AL32" s="173"/>
      <c r="AM32" s="169" t="n">
        <f aca="false">A32</f>
        <v>36705</v>
      </c>
      <c r="AO32" s="175" t="n">
        <f aca="false">AO31+AK32</f>
        <v>8670</v>
      </c>
      <c r="AP32" s="176"/>
      <c r="AQ32" s="176" t="n">
        <f aca="false">+AI32-D32-E32-F32</f>
        <v>40747</v>
      </c>
      <c r="AS32" s="177"/>
      <c r="AT32" s="177"/>
      <c r="AV32" s="177"/>
      <c r="AW32" s="177"/>
      <c r="AY32" s="177"/>
      <c r="AZ32" s="177"/>
      <c r="BB32" s="173"/>
    </row>
    <row r="33" customFormat="false" ht="12.75" hidden="false" customHeight="false" outlineLevel="0" collapsed="false">
      <c r="A33" s="169" t="n">
        <f aca="false">+BaseloadMarkets!A34</f>
        <v>36706</v>
      </c>
      <c r="B33" s="169"/>
      <c r="C33" s="170" t="n">
        <v>70000</v>
      </c>
      <c r="D33" s="148" t="n">
        <v>3495</v>
      </c>
      <c r="J33" s="148"/>
      <c r="K33" s="148"/>
      <c r="L33" s="148"/>
      <c r="M33" s="171" t="n">
        <f aca="false">+Border!AD32</f>
        <v>0</v>
      </c>
      <c r="N33" s="148"/>
      <c r="O33" s="148"/>
      <c r="P33" s="148"/>
      <c r="Q33" s="148"/>
      <c r="R33" s="148"/>
      <c r="S33" s="148"/>
      <c r="T33" s="148"/>
      <c r="U33" s="148" t="n">
        <v>585</v>
      </c>
      <c r="V33" s="148"/>
      <c r="W33" s="148"/>
      <c r="X33" s="148"/>
      <c r="Y33" s="148"/>
      <c r="Z33" s="148"/>
      <c r="AA33" s="148"/>
      <c r="AB33" s="148" t="n">
        <f aca="false">0+1744+1755+2227</f>
        <v>5726</v>
      </c>
      <c r="AC33" s="148"/>
      <c r="AD33" s="148"/>
      <c r="AE33" s="148" t="n">
        <v>2870</v>
      </c>
      <c r="AF33" s="148"/>
      <c r="AG33" s="148"/>
      <c r="AH33" s="148" t="n">
        <v>4000</v>
      </c>
      <c r="AI33" s="172" t="n">
        <f aca="false">SUM(D33:AH33)</f>
        <v>16676</v>
      </c>
      <c r="AJ33" s="172" t="n">
        <f aca="false">C33</f>
        <v>70000</v>
      </c>
      <c r="AK33" s="170" t="n">
        <f aca="false">+AI33-AJ33</f>
        <v>-53324</v>
      </c>
      <c r="AL33" s="173"/>
      <c r="AM33" s="169" t="n">
        <f aca="false">A33</f>
        <v>36706</v>
      </c>
      <c r="AO33" s="175" t="n">
        <f aca="false">AO32+AK33</f>
        <v>-44654</v>
      </c>
      <c r="AP33" s="176"/>
      <c r="AQ33" s="176" t="n">
        <f aca="false">+AI33-D33-E33-F33</f>
        <v>13181</v>
      </c>
      <c r="AS33" s="177"/>
      <c r="AT33" s="177"/>
      <c r="AV33" s="177"/>
      <c r="AW33" s="177"/>
      <c r="AY33" s="177"/>
      <c r="AZ33" s="177"/>
      <c r="BB33" s="173"/>
    </row>
    <row r="34" customFormat="false" ht="12.75" hidden="false" customHeight="false" outlineLevel="0" collapsed="false">
      <c r="A34" s="169" t="n">
        <f aca="false">+BaseloadMarkets!A35</f>
        <v>36707</v>
      </c>
      <c r="B34" s="169"/>
      <c r="C34" s="170" t="n">
        <v>70000</v>
      </c>
      <c r="J34" s="148"/>
      <c r="K34" s="148"/>
      <c r="L34" s="148"/>
      <c r="M34" s="171" t="n">
        <f aca="false">+Border!AD33</f>
        <v>0</v>
      </c>
      <c r="N34" s="148"/>
      <c r="O34" s="148"/>
      <c r="P34" s="148" t="n">
        <f aca="false">5931+5931+5931+2966</f>
        <v>20759</v>
      </c>
      <c r="Q34" s="148"/>
      <c r="R34" s="148"/>
      <c r="S34" s="148"/>
      <c r="T34" s="148"/>
      <c r="U34" s="148" t="n">
        <v>585</v>
      </c>
      <c r="V34" s="148" t="n">
        <f aca="false">6313+3209+5000</f>
        <v>14522</v>
      </c>
      <c r="W34" s="148"/>
      <c r="X34" s="148"/>
      <c r="Y34" s="148"/>
      <c r="Z34" s="148"/>
      <c r="AA34" s="148"/>
      <c r="AB34" s="148"/>
      <c r="AC34" s="148"/>
      <c r="AD34" s="148"/>
      <c r="AE34" s="148" t="n">
        <v>3157</v>
      </c>
      <c r="AF34" s="148"/>
      <c r="AG34" s="148" t="n">
        <v>13016</v>
      </c>
      <c r="AH34" s="148" t="n">
        <v>4000</v>
      </c>
      <c r="AI34" s="172" t="n">
        <f aca="false">SUM(D34:AH34)</f>
        <v>56039</v>
      </c>
      <c r="AJ34" s="172" t="n">
        <f aca="false">C34</f>
        <v>70000</v>
      </c>
      <c r="AK34" s="170" t="n">
        <f aca="false">+AI34-AJ34</f>
        <v>-13961</v>
      </c>
      <c r="AL34" s="173"/>
      <c r="AM34" s="169" t="n">
        <f aca="false">A34</f>
        <v>36707</v>
      </c>
      <c r="AO34" s="175" t="n">
        <f aca="false">AO33+AK34</f>
        <v>-58615</v>
      </c>
      <c r="AP34" s="176"/>
      <c r="AQ34" s="176" t="n">
        <f aca="false">+AI34-D34-E34-F34</f>
        <v>56039</v>
      </c>
      <c r="AS34" s="177"/>
      <c r="AT34" s="177"/>
      <c r="AV34" s="177"/>
      <c r="AW34" s="177"/>
      <c r="AY34" s="177"/>
      <c r="AZ34" s="177"/>
      <c r="BB34" s="173"/>
    </row>
    <row r="35" customFormat="false" ht="12.75" hidden="false" customHeight="false" outlineLevel="0" collapsed="false">
      <c r="A35" s="169"/>
      <c r="B35" s="169"/>
      <c r="C35" s="170"/>
      <c r="J35" s="148"/>
      <c r="K35" s="148"/>
      <c r="L35" s="148"/>
      <c r="M35" s="171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72"/>
      <c r="AJ35" s="172"/>
      <c r="AK35" s="170"/>
      <c r="AL35" s="173"/>
      <c r="AM35" s="169"/>
      <c r="AO35" s="175"/>
      <c r="AP35" s="176"/>
      <c r="AQ35" s="176"/>
      <c r="AS35" s="177"/>
      <c r="AT35" s="177"/>
      <c r="AV35" s="177"/>
      <c r="AW35" s="177"/>
      <c r="AY35" s="177"/>
      <c r="AZ35" s="177"/>
      <c r="BB35" s="173"/>
    </row>
    <row r="36" customFormat="false" ht="12.75" hidden="false" customHeight="false" outlineLevel="0" collapsed="false">
      <c r="A36" s="182" t="s">
        <v>72</v>
      </c>
      <c r="C36" s="183" t="n">
        <f aca="false">SUM(C5:C35)</f>
        <v>2100000</v>
      </c>
      <c r="D36" s="182" t="n">
        <f aca="false">SUM(D5:D35)</f>
        <v>164643</v>
      </c>
      <c r="E36" s="182" t="n">
        <f aca="false">SUM(E5:E35)</f>
        <v>64638</v>
      </c>
      <c r="F36" s="182" t="n">
        <f aca="false">SUM(F5:F35)</f>
        <v>9550</v>
      </c>
      <c r="G36" s="182" t="n">
        <f aca="false">SUM(G5:G35)</f>
        <v>289946</v>
      </c>
      <c r="H36" s="182" t="n">
        <f aca="false">SUM(H5:H35)</f>
        <v>82722</v>
      </c>
      <c r="I36" s="182" t="n">
        <f aca="false">SUM(I5:I35)</f>
        <v>61463</v>
      </c>
      <c r="J36" s="182" t="n">
        <f aca="false">SUM(J5:J35)</f>
        <v>313650</v>
      </c>
      <c r="K36" s="182" t="n">
        <f aca="false">SUM(K5:K35)</f>
        <v>78442</v>
      </c>
      <c r="L36" s="182" t="n">
        <f aca="false">SUM(L5:L35)</f>
        <v>44938</v>
      </c>
      <c r="M36" s="182" t="n">
        <f aca="false">SUM(M5:M35)</f>
        <v>0</v>
      </c>
      <c r="N36" s="182" t="n">
        <f aca="false">SUM(N5:N35)</f>
        <v>40017</v>
      </c>
      <c r="O36" s="182" t="n">
        <f aca="false">SUM(O5:O35)</f>
        <v>10000</v>
      </c>
      <c r="P36" s="182" t="n">
        <f aca="false">SUM(P5:P35)</f>
        <v>122962</v>
      </c>
      <c r="Q36" s="182" t="n">
        <f aca="false">SUM(Q5:Q35)</f>
        <v>45549</v>
      </c>
      <c r="R36" s="182" t="n">
        <f aca="false">SUM(R5:R35)</f>
        <v>20445</v>
      </c>
      <c r="S36" s="182" t="n">
        <f aca="false">SUM(S5:S35)</f>
        <v>18884</v>
      </c>
      <c r="T36" s="182" t="n">
        <f aca="false">SUM(T5:T35)</f>
        <v>15935</v>
      </c>
      <c r="U36" s="182" t="n">
        <f aca="false">SUM(U5:U35)</f>
        <v>93716</v>
      </c>
      <c r="V36" s="182" t="n">
        <f aca="false">SUM(V5:V35)</f>
        <v>118532</v>
      </c>
      <c r="W36" s="182" t="n">
        <f aca="false">SUM(W5:W35)</f>
        <v>22146</v>
      </c>
      <c r="X36" s="182" t="n">
        <f aca="false">SUM(X5:X35)</f>
        <v>57011</v>
      </c>
      <c r="Y36" s="182" t="n">
        <f aca="false">SUM(Y5:Y35)</f>
        <v>53963</v>
      </c>
      <c r="Z36" s="182" t="n">
        <f aca="false">SUM(Z5:Z35)</f>
        <v>5000</v>
      </c>
      <c r="AA36" s="182" t="n">
        <f aca="false">SUM(AA5:AA35)</f>
        <v>6270</v>
      </c>
      <c r="AB36" s="182" t="n">
        <f aca="false">SUM(AB5:AB35)</f>
        <v>104376</v>
      </c>
      <c r="AC36" s="182" t="n">
        <f aca="false">SUM(AC5:AC35)</f>
        <v>15370</v>
      </c>
      <c r="AD36" s="182" t="n">
        <f aca="false">SUM(AD5:AD35)</f>
        <v>63511</v>
      </c>
      <c r="AE36" s="182" t="n">
        <f aca="false">SUM(AE5:AE35)</f>
        <v>6027</v>
      </c>
      <c r="AF36" s="182" t="n">
        <f aca="false">SUM(AF5:AF35)</f>
        <v>11969</v>
      </c>
      <c r="AG36" s="182" t="n">
        <f aca="false">SUM(AG5:AG35)</f>
        <v>39710</v>
      </c>
      <c r="AH36" s="182" t="n">
        <f aca="false">SUM(AH5:AH35)</f>
        <v>60000</v>
      </c>
      <c r="AI36" s="182" t="n">
        <f aca="false">SUM(AI5:AI35)</f>
        <v>2041385</v>
      </c>
      <c r="AJ36" s="182" t="n">
        <f aca="false">SUM(AJ5:AJ35)</f>
        <v>2100000</v>
      </c>
      <c r="AK36" s="183" t="n">
        <f aca="false">SUM(AK5:AK35)</f>
        <v>-58615</v>
      </c>
      <c r="AN36" s="184"/>
      <c r="AO36" s="175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  <c r="FY36" s="184"/>
      <c r="FZ36" s="184"/>
      <c r="GA36" s="184"/>
      <c r="GB36" s="184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184"/>
      <c r="GP36" s="184"/>
      <c r="GQ36" s="184"/>
      <c r="GR36" s="184"/>
      <c r="GS36" s="184"/>
      <c r="GT36" s="184"/>
      <c r="GU36" s="184"/>
      <c r="GV36" s="184"/>
      <c r="GW36" s="184"/>
      <c r="GX36" s="184"/>
      <c r="GY36" s="184"/>
      <c r="GZ36" s="184"/>
      <c r="HA36" s="184"/>
      <c r="HB36" s="184"/>
      <c r="HC36" s="184"/>
      <c r="HD36" s="184"/>
      <c r="HE36" s="184"/>
      <c r="HF36" s="184"/>
      <c r="HG36" s="184"/>
      <c r="HH36" s="184"/>
      <c r="HI36" s="184"/>
      <c r="HJ36" s="184"/>
      <c r="HK36" s="184"/>
      <c r="HL36" s="184"/>
      <c r="HM36" s="184"/>
      <c r="HN36" s="184"/>
      <c r="HO36" s="184"/>
      <c r="HP36" s="184"/>
      <c r="HQ36" s="184"/>
      <c r="HR36" s="184"/>
      <c r="HS36" s="184"/>
      <c r="HT36" s="184"/>
      <c r="HU36" s="184"/>
      <c r="HV36" s="184"/>
      <c r="HW36" s="184"/>
      <c r="HX36" s="184"/>
      <c r="HY36" s="184"/>
      <c r="HZ36" s="184"/>
      <c r="IA36" s="184"/>
      <c r="IB36" s="184"/>
      <c r="IC36" s="184"/>
      <c r="ID36" s="184"/>
      <c r="IE36" s="184"/>
      <c r="IF36" s="184"/>
      <c r="IG36" s="184"/>
      <c r="IH36" s="184"/>
      <c r="II36" s="184"/>
      <c r="IJ36" s="184"/>
      <c r="IK36" s="184"/>
      <c r="IL36" s="184"/>
      <c r="IM36" s="184"/>
      <c r="IN36" s="184"/>
      <c r="IO36" s="184"/>
      <c r="IP36" s="184"/>
      <c r="IQ36" s="184"/>
      <c r="IR36" s="184"/>
      <c r="IS36" s="184"/>
      <c r="IT36" s="184"/>
      <c r="IU36" s="184"/>
      <c r="IV36" s="184"/>
      <c r="IW36" s="185"/>
    </row>
    <row r="37" customFormat="false" ht="12.75" hidden="false" customHeight="false" outlineLevel="0" collapsed="false">
      <c r="J37" s="172"/>
      <c r="K37" s="172"/>
      <c r="L37" s="172"/>
      <c r="M37" s="186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IQ37" s="174"/>
      <c r="IR37" s="174"/>
      <c r="IS37" s="174"/>
      <c r="IT37" s="174"/>
      <c r="IU37" s="174"/>
      <c r="IV37" s="174"/>
    </row>
    <row r="38" customFormat="false" ht="12.75" hidden="false" customHeight="false" outlineLevel="0" collapsed="false">
      <c r="A38" s="90" t="n">
        <v>1</v>
      </c>
      <c r="B38" s="38" t="n">
        <f aca="false">+A38+1</f>
        <v>2</v>
      </c>
      <c r="C38" s="38" t="n">
        <f aca="false">+B38+1</f>
        <v>3</v>
      </c>
      <c r="D38" s="38" t="n">
        <f aca="false">+C38+1</f>
        <v>4</v>
      </c>
      <c r="E38" s="38" t="n">
        <f aca="false">+D38+1</f>
        <v>5</v>
      </c>
      <c r="F38" s="38" t="n">
        <f aca="false">+E38+1</f>
        <v>6</v>
      </c>
      <c r="G38" s="38" t="n">
        <f aca="false">+F38+1</f>
        <v>7</v>
      </c>
      <c r="H38" s="38" t="n">
        <f aca="false">+G38+1</f>
        <v>8</v>
      </c>
      <c r="I38" s="38" t="n">
        <f aca="false">+H38+1</f>
        <v>9</v>
      </c>
      <c r="J38" s="38" t="n">
        <f aca="false">+I38+1</f>
        <v>10</v>
      </c>
      <c r="K38" s="38" t="n">
        <f aca="false">+J38+1</f>
        <v>11</v>
      </c>
      <c r="L38" s="38" t="n">
        <f aca="false">+K38+1</f>
        <v>12</v>
      </c>
      <c r="M38" s="38" t="n">
        <f aca="false">+L38+1</f>
        <v>13</v>
      </c>
      <c r="N38" s="38" t="n">
        <f aca="false">+M38+1</f>
        <v>14</v>
      </c>
      <c r="O38" s="38" t="n">
        <f aca="false">+N38+1</f>
        <v>15</v>
      </c>
      <c r="P38" s="38" t="n">
        <f aca="false">+O38+1</f>
        <v>16</v>
      </c>
      <c r="Q38" s="38" t="n">
        <f aca="false">+P38+1</f>
        <v>17</v>
      </c>
      <c r="R38" s="38" t="n">
        <f aca="false">+Q38+1</f>
        <v>18</v>
      </c>
      <c r="S38" s="38" t="n">
        <f aca="false">+R38+1</f>
        <v>19</v>
      </c>
      <c r="T38" s="38" t="n">
        <f aca="false">+S38+1</f>
        <v>20</v>
      </c>
      <c r="U38" s="38" t="n">
        <f aca="false">+T38+1</f>
        <v>21</v>
      </c>
      <c r="V38" s="38" t="n">
        <f aca="false">+U38+1</f>
        <v>22</v>
      </c>
      <c r="W38" s="38" t="n">
        <f aca="false">+V38+1</f>
        <v>23</v>
      </c>
      <c r="X38" s="38" t="n">
        <f aca="false">+W38+1</f>
        <v>24</v>
      </c>
      <c r="Y38" s="38" t="n">
        <f aca="false">+X38+1</f>
        <v>25</v>
      </c>
      <c r="Z38" s="38" t="n">
        <f aca="false">+Y38+1</f>
        <v>26</v>
      </c>
      <c r="AA38" s="38" t="n">
        <f aca="false">+Z38+1</f>
        <v>27</v>
      </c>
      <c r="AB38" s="38" t="n">
        <f aca="false">+AA38+1</f>
        <v>28</v>
      </c>
      <c r="AC38" s="38" t="n">
        <f aca="false">+AB38+1</f>
        <v>29</v>
      </c>
      <c r="AD38" s="38" t="n">
        <f aca="false">+AC38+1</f>
        <v>30</v>
      </c>
      <c r="AE38" s="38" t="n">
        <f aca="false">+AD38+1</f>
        <v>31</v>
      </c>
      <c r="AF38" s="38" t="n">
        <f aca="false">+AE38+1</f>
        <v>32</v>
      </c>
      <c r="AG38" s="38" t="n">
        <f aca="false">+AF38+1</f>
        <v>33</v>
      </c>
      <c r="AH38" s="38" t="n">
        <f aca="false">+AG38+1</f>
        <v>34</v>
      </c>
      <c r="AI38" s="38" t="n">
        <f aca="false">+AH38+1</f>
        <v>35</v>
      </c>
      <c r="AJ38" s="38" t="n">
        <f aca="false">+AI38+1</f>
        <v>36</v>
      </c>
      <c r="AK38" s="38" t="n">
        <f aca="false">+AJ38+1</f>
        <v>37</v>
      </c>
      <c r="AL38" s="38" t="n">
        <f aca="false">+AK38+1</f>
        <v>38</v>
      </c>
      <c r="AM38" s="38" t="n">
        <f aca="false">+AL38+1</f>
        <v>39</v>
      </c>
      <c r="AN38" s="38" t="n">
        <f aca="false">+AM38+1</f>
        <v>40</v>
      </c>
      <c r="AO38" s="38" t="n">
        <f aca="false">+AN38+1</f>
        <v>41</v>
      </c>
      <c r="AP38" s="38" t="n">
        <f aca="false">+AO38+1</f>
        <v>42</v>
      </c>
      <c r="AQ38" s="38" t="n">
        <f aca="false">+AP38+1</f>
        <v>43</v>
      </c>
      <c r="AR38" s="38" t="n">
        <f aca="false">+AQ38+1</f>
        <v>44</v>
      </c>
      <c r="AS38" s="38" t="n">
        <f aca="false">+AR38+1</f>
        <v>45</v>
      </c>
      <c r="AT38" s="38" t="n">
        <f aca="false">+AS38+1</f>
        <v>46</v>
      </c>
      <c r="AU38" s="38" t="n">
        <f aca="false">+AT38+1</f>
        <v>47</v>
      </c>
      <c r="AV38" s="38" t="n">
        <f aca="false">+AU38+1</f>
        <v>48</v>
      </c>
      <c r="AW38" s="38" t="n">
        <f aca="false">+AV38+1</f>
        <v>49</v>
      </c>
      <c r="AX38" s="38" t="n">
        <f aca="false">+AW38+1</f>
        <v>50</v>
      </c>
      <c r="AY38" s="38" t="n">
        <f aca="false">+AX38+1</f>
        <v>51</v>
      </c>
      <c r="AZ38" s="38" t="n">
        <f aca="false">+AY38+1</f>
        <v>52</v>
      </c>
      <c r="BA38" s="38" t="n">
        <f aca="false">+AZ38+1</f>
        <v>53</v>
      </c>
      <c r="BB38" s="38" t="n">
        <f aca="false">+BA38+1</f>
        <v>54</v>
      </c>
      <c r="BC38" s="38" t="n">
        <f aca="false">+BB38+1</f>
        <v>55</v>
      </c>
      <c r="BD38" s="38" t="n">
        <f aca="false">+BC38+1</f>
        <v>56</v>
      </c>
      <c r="BE38" s="38" t="n">
        <f aca="false">+BD38+1</f>
        <v>57</v>
      </c>
      <c r="BF38" s="38" t="n">
        <f aca="false">+BE38+1</f>
        <v>58</v>
      </c>
      <c r="BG38" s="38" t="n">
        <f aca="false">+BF38+1</f>
        <v>59</v>
      </c>
      <c r="BH38" s="38" t="n">
        <f aca="false">+BG38+1</f>
        <v>60</v>
      </c>
      <c r="BI38" s="38" t="n">
        <f aca="false">+BH38+1</f>
        <v>61</v>
      </c>
      <c r="BJ38" s="38" t="n">
        <f aca="false">+BI38+1</f>
        <v>62</v>
      </c>
      <c r="BK38" s="38" t="n">
        <f aca="false">+BJ38+1</f>
        <v>63</v>
      </c>
      <c r="BL38" s="38" t="n">
        <f aca="false">+BK38+1</f>
        <v>64</v>
      </c>
      <c r="IR38" s="174"/>
      <c r="IS38" s="174"/>
      <c r="IT38" s="174"/>
      <c r="IU38" s="174"/>
      <c r="IV38" s="174"/>
    </row>
  </sheetData>
  <printOptions headings="false" gridLines="tru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B4" activeCellId="0" sqref="B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47" width="16.99"/>
    <col collapsed="false" customWidth="true" hidden="false" outlineLevel="0" max="2" min="2" style="146" width="17.99"/>
    <col collapsed="false" customWidth="true" hidden="false" outlineLevel="0" max="3" min="3" style="146" width="13.99"/>
    <col collapsed="false" customWidth="true" hidden="false" outlineLevel="0" max="4" min="4" style="177" width="15.32"/>
    <col collapsed="false" customWidth="true" hidden="false" outlineLevel="0" max="5" min="5" style="146" width="13.65"/>
    <col collapsed="false" customWidth="true" hidden="false" outlineLevel="0" max="6" min="6" style="146" width="13.32"/>
    <col collapsed="false" customWidth="true" hidden="false" outlineLevel="0" max="7" min="7" style="146" width="13.65"/>
    <col collapsed="false" customWidth="true" hidden="false" outlineLevel="0" max="8" min="8" style="187" width="12.15"/>
    <col collapsed="false" customWidth="true" hidden="true" outlineLevel="0" max="9" min="9" style="0" width="13.32"/>
    <col collapsed="false" customWidth="true" hidden="false" outlineLevel="0" max="10" min="10" style="181" width="16.32"/>
    <col collapsed="false" customWidth="true" hidden="false" outlineLevel="0" max="11" min="11" style="73" width="14.49"/>
    <col collapsed="false" customWidth="true" hidden="false" outlineLevel="0" max="12" min="12" style="177" width="15.32"/>
    <col collapsed="false" customWidth="true" hidden="false" outlineLevel="0" max="13" min="13" style="187" width="15.32"/>
    <col collapsed="false" customWidth="true" hidden="true" outlineLevel="0" max="14" min="14" style="146" width="0.99"/>
    <col collapsed="false" customWidth="true" hidden="false" outlineLevel="0" max="15" min="15" style="146" width="13.82"/>
    <col collapsed="false" customWidth="true" hidden="false" outlineLevel="0" max="16" min="16" style="147" width="10.82"/>
    <col collapsed="false" customWidth="true" hidden="false" outlineLevel="0" max="17" min="17" style="188" width="2.65"/>
    <col collapsed="false" customWidth="true" hidden="false" outlineLevel="0" max="18" min="18" style="189" width="16.65"/>
    <col collapsed="false" customWidth="true" hidden="false" outlineLevel="0" max="19" min="19" style="173" width="16.65"/>
    <col collapsed="false" customWidth="true" hidden="false" outlineLevel="0" max="20" min="20" style="146" width="8.82"/>
    <col collapsed="false" customWidth="true" hidden="false" outlineLevel="0" max="21" min="21" style="146" width="2.82"/>
    <col collapsed="false" customWidth="true" hidden="false" outlineLevel="0" max="22" min="22" style="146" width="13.99"/>
    <col collapsed="false" customWidth="true" hidden="false" outlineLevel="0" max="23" min="23" style="146" width="11.15"/>
    <col collapsed="false" customWidth="true" hidden="false" outlineLevel="0" max="24" min="24" style="146" width="23.49"/>
    <col collapsed="false" customWidth="true" hidden="false" outlineLevel="0" max="25" min="25" style="146" width="13.49"/>
    <col collapsed="false" customWidth="true" hidden="false" outlineLevel="0" max="26" min="26" style="146" width="12.15"/>
    <col collapsed="false" customWidth="false" hidden="false" outlineLevel="0" max="257" min="27" style="146" width="9.32"/>
  </cols>
  <sheetData>
    <row r="1" customFormat="false" ht="24.95" hidden="false" customHeight="true" outlineLevel="0" collapsed="false">
      <c r="A1" s="190" t="s">
        <v>182</v>
      </c>
      <c r="B1" s="191"/>
      <c r="C1" s="191"/>
      <c r="D1" s="192"/>
      <c r="E1" s="193"/>
      <c r="F1" s="193"/>
      <c r="G1" s="0"/>
      <c r="H1" s="0"/>
      <c r="J1" s="0"/>
      <c r="K1" s="194"/>
      <c r="L1" s="195"/>
      <c r="M1" s="191"/>
      <c r="N1" s="193"/>
      <c r="O1" s="193"/>
      <c r="P1" s="195"/>
      <c r="Q1" s="196"/>
      <c r="R1" s="197"/>
      <c r="S1" s="198"/>
      <c r="T1" s="199"/>
      <c r="U1" s="198"/>
      <c r="V1" s="198"/>
      <c r="W1" s="198"/>
      <c r="X1" s="200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  <c r="IW1" s="193"/>
    </row>
    <row r="2" customFormat="false" ht="15" hidden="false" customHeight="true" outlineLevel="0" collapsed="false">
      <c r="A2" s="201" t="n">
        <f aca="true">NOW()</f>
        <v>45926.9866859837</v>
      </c>
      <c r="B2" s="202" t="s">
        <v>183</v>
      </c>
      <c r="C2" s="203"/>
      <c r="D2" s="204"/>
      <c r="E2" s="203"/>
      <c r="F2" s="203"/>
      <c r="G2" s="203"/>
      <c r="H2" s="205"/>
      <c r="J2" s="206" t="s">
        <v>184</v>
      </c>
      <c r="K2" s="205"/>
      <c r="L2" s="207"/>
      <c r="M2" s="205"/>
      <c r="N2" s="208"/>
      <c r="O2" s="203"/>
      <c r="P2" s="209"/>
      <c r="Q2" s="205"/>
      <c r="R2" s="210"/>
      <c r="S2" s="209"/>
      <c r="T2" s="203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  <c r="IW2" s="205"/>
    </row>
    <row r="3" customFormat="false" ht="57.95" hidden="false" customHeight="true" outlineLevel="0" collapsed="false">
      <c r="A3" s="211" t="s">
        <v>172</v>
      </c>
      <c r="B3" s="211" t="s">
        <v>185</v>
      </c>
      <c r="C3" s="211" t="s">
        <v>186</v>
      </c>
      <c r="D3" s="212" t="s">
        <v>187</v>
      </c>
      <c r="E3" s="213" t="s">
        <v>188</v>
      </c>
      <c r="F3" s="214" t="s">
        <v>189</v>
      </c>
      <c r="G3" s="211" t="s">
        <v>190</v>
      </c>
      <c r="H3" s="211" t="s">
        <v>191</v>
      </c>
      <c r="J3" s="212" t="s">
        <v>192</v>
      </c>
      <c r="K3" s="211" t="s">
        <v>193</v>
      </c>
      <c r="L3" s="212" t="s">
        <v>194</v>
      </c>
      <c r="M3" s="211" t="s">
        <v>195</v>
      </c>
      <c r="N3" s="211" t="s">
        <v>196</v>
      </c>
      <c r="O3" s="211" t="s">
        <v>197</v>
      </c>
      <c r="P3" s="211" t="s">
        <v>198</v>
      </c>
      <c r="Q3" s="215"/>
      <c r="R3" s="216" t="s">
        <v>199</v>
      </c>
      <c r="S3" s="216" t="s">
        <v>200</v>
      </c>
      <c r="T3" s="211" t="s">
        <v>201</v>
      </c>
      <c r="U3" s="217"/>
      <c r="V3" s="217"/>
      <c r="W3" s="217"/>
      <c r="X3" s="218" t="s">
        <v>202</v>
      </c>
      <c r="Y3" s="219" t="s">
        <v>203</v>
      </c>
      <c r="Z3" s="220" t="s">
        <v>204</v>
      </c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  <c r="GG3" s="217"/>
      <c r="GH3" s="217"/>
      <c r="GI3" s="217"/>
      <c r="GJ3" s="217"/>
      <c r="GK3" s="217"/>
      <c r="GL3" s="217"/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17"/>
      <c r="HI3" s="217"/>
      <c r="HJ3" s="217"/>
      <c r="HK3" s="217"/>
      <c r="HL3" s="217"/>
      <c r="HM3" s="217"/>
      <c r="HN3" s="217"/>
      <c r="HO3" s="217"/>
      <c r="HP3" s="217"/>
      <c r="HQ3" s="217"/>
      <c r="HR3" s="217"/>
      <c r="HS3" s="217"/>
      <c r="HT3" s="217"/>
      <c r="HU3" s="217"/>
      <c r="HV3" s="217"/>
      <c r="HW3" s="217"/>
      <c r="HX3" s="217"/>
      <c r="HY3" s="217"/>
      <c r="HZ3" s="217"/>
      <c r="IA3" s="217"/>
      <c r="IB3" s="217"/>
      <c r="IC3" s="217"/>
      <c r="ID3" s="217"/>
      <c r="IE3" s="217"/>
      <c r="IF3" s="217"/>
      <c r="IG3" s="217"/>
      <c r="IH3" s="217"/>
      <c r="II3" s="217"/>
      <c r="IJ3" s="217"/>
      <c r="IK3" s="217"/>
      <c r="IL3" s="217"/>
      <c r="IM3" s="217"/>
      <c r="IN3" s="217"/>
      <c r="IO3" s="217"/>
      <c r="IP3" s="217"/>
      <c r="IQ3" s="217"/>
      <c r="IR3" s="217"/>
      <c r="IS3" s="217"/>
      <c r="IT3" s="217"/>
      <c r="IU3" s="217"/>
      <c r="IV3" s="217"/>
      <c r="IW3" s="217"/>
    </row>
    <row r="4" customFormat="false" ht="13.5" hidden="false" customHeight="false" outlineLevel="0" collapsed="false">
      <c r="A4" s="221" t="n">
        <f aca="false">BaseloadMarkets!A6</f>
        <v>36678</v>
      </c>
      <c r="B4" s="222" t="n">
        <f aca="false">+EES!C5</f>
        <v>70000</v>
      </c>
      <c r="C4" s="223" t="n">
        <v>0</v>
      </c>
      <c r="D4" s="224" t="n">
        <v>0</v>
      </c>
      <c r="E4" s="224" t="n">
        <v>0</v>
      </c>
      <c r="F4" s="222" t="n">
        <v>0</v>
      </c>
      <c r="G4" s="222" t="n">
        <f aca="false">+BaseloadMarkets!DS6+OCCMarkets!CN6+SwingMarkets!DS6+EOLMarkets!ER6</f>
        <v>583177</v>
      </c>
      <c r="H4" s="225" t="n">
        <f aca="false">SUM(B4:G4)</f>
        <v>653177</v>
      </c>
      <c r="J4" s="224" t="n">
        <v>0</v>
      </c>
      <c r="K4" s="226" t="n">
        <v>0</v>
      </c>
      <c r="L4" s="224" t="n">
        <f aca="false">28904+15117</f>
        <v>44021</v>
      </c>
      <c r="M4" s="222" t="n">
        <f aca="false">Supplies!BD6+EOLSupplies!DT6</f>
        <v>678463</v>
      </c>
      <c r="N4" s="222" t="n">
        <v>0</v>
      </c>
      <c r="O4" s="225" t="n">
        <f aca="false">SUM(J4:N4)</f>
        <v>722484</v>
      </c>
      <c r="P4" s="227" t="n">
        <f aca="false">A4</f>
        <v>36678</v>
      </c>
      <c r="Q4" s="126"/>
      <c r="R4" s="228" t="n">
        <f aca="false">+O4-H4</f>
        <v>69307</v>
      </c>
      <c r="S4" s="228" t="n">
        <f aca="false">R4</f>
        <v>69307</v>
      </c>
      <c r="T4" s="229" t="n">
        <f aca="false">A4</f>
        <v>36678</v>
      </c>
      <c r="U4" s="175"/>
      <c r="V4" s="175" t="n">
        <f aca="false">M4+L4-B4-(+BaseloadMarkets!DT6+OCCMarkets!CO6+SwingMarkets!DT6+EOLMarkets!ER6)-EES!AK5</f>
        <v>0</v>
      </c>
      <c r="W4" s="175"/>
      <c r="X4" s="175" t="n">
        <f aca="false">+O4</f>
        <v>722484</v>
      </c>
      <c r="Y4" s="175"/>
      <c r="Z4" s="230" t="str">
        <f aca="false">IF(Y4="","",X4-Y4)</f>
        <v/>
      </c>
      <c r="AA4" s="174"/>
      <c r="AB4" s="1" t="n">
        <f aca="false">ROUND(+V4/2,0)</f>
        <v>0</v>
      </c>
      <c r="AC4" s="174"/>
      <c r="AD4" s="174" t="n">
        <v>0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  <c r="IW4" s="174"/>
    </row>
    <row r="5" customFormat="false" ht="13.5" hidden="false" customHeight="false" outlineLevel="0" collapsed="false">
      <c r="A5" s="221" t="n">
        <f aca="false">BaseloadMarkets!A7</f>
        <v>36679</v>
      </c>
      <c r="B5" s="222" t="n">
        <f aca="false">+EES!C6</f>
        <v>70000</v>
      </c>
      <c r="C5" s="223" t="n">
        <v>0</v>
      </c>
      <c r="D5" s="224" t="n">
        <v>0</v>
      </c>
      <c r="E5" s="224" t="n">
        <v>0</v>
      </c>
      <c r="F5" s="222" t="n">
        <v>0</v>
      </c>
      <c r="G5" s="222" t="n">
        <f aca="false">+BaseloadMarkets!DS7+OCCMarkets!CN7+SwingMarkets!DS7+EOLMarkets!ER7</f>
        <v>601714</v>
      </c>
      <c r="H5" s="225" t="n">
        <f aca="false">SUM(B5:G5)</f>
        <v>671714</v>
      </c>
      <c r="J5" s="224" t="n">
        <v>0</v>
      </c>
      <c r="K5" s="226" t="n">
        <v>0</v>
      </c>
      <c r="L5" s="224" t="n">
        <f aca="false">28071+19693</f>
        <v>47764</v>
      </c>
      <c r="M5" s="222" t="n">
        <f aca="false">Supplies!BD7+EOLSupplies!DT7</f>
        <v>660998</v>
      </c>
      <c r="N5" s="222" t="n">
        <v>0</v>
      </c>
      <c r="O5" s="225" t="n">
        <f aca="false">SUM(J5:N5)</f>
        <v>708762</v>
      </c>
      <c r="P5" s="227" t="n">
        <f aca="false">A5</f>
        <v>36679</v>
      </c>
      <c r="Q5" s="126"/>
      <c r="R5" s="228" t="n">
        <f aca="false">+O5-H5</f>
        <v>37048</v>
      </c>
      <c r="S5" s="228" t="n">
        <f aca="false">S4+R5</f>
        <v>106355</v>
      </c>
      <c r="T5" s="229" t="n">
        <f aca="false">A5</f>
        <v>36679</v>
      </c>
      <c r="U5" s="175"/>
      <c r="V5" s="175" t="n">
        <f aca="false">M5+L5-B5-(+BaseloadMarkets!DT7+OCCMarkets!CO7+SwingMarkets!DT7+EOLMarkets!ER7)-EES!AK6</f>
        <v>0</v>
      </c>
      <c r="W5" s="175"/>
      <c r="X5" s="175" t="n">
        <f aca="false">+X4+O5</f>
        <v>1431246</v>
      </c>
      <c r="Y5" s="176"/>
      <c r="Z5" s="230" t="str">
        <f aca="false">IF(Y5="","",X5-Y5)</f>
        <v/>
      </c>
      <c r="AA5" s="174"/>
      <c r="AB5" s="1" t="n">
        <f aca="false">ROUND(+V5/2,0)</f>
        <v>0</v>
      </c>
      <c r="AC5" s="174"/>
      <c r="AD5" s="174" t="n">
        <v>0</v>
      </c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</row>
    <row r="6" customFormat="false" ht="13.5" hidden="false" customHeight="false" outlineLevel="0" collapsed="false">
      <c r="A6" s="221" t="n">
        <f aca="false">BaseloadMarkets!A8</f>
        <v>36680</v>
      </c>
      <c r="B6" s="222" t="n">
        <f aca="false">+EES!C7</f>
        <v>70000</v>
      </c>
      <c r="C6" s="223" t="n">
        <v>0</v>
      </c>
      <c r="D6" s="224" t="n">
        <v>0</v>
      </c>
      <c r="E6" s="224" t="n">
        <v>0</v>
      </c>
      <c r="F6" s="222" t="n">
        <v>0</v>
      </c>
      <c r="G6" s="222" t="n">
        <f aca="false">+BaseloadMarkets!DS8+OCCMarkets!CN8+SwingMarkets!DS8+EOLMarkets!ER8</f>
        <v>414074</v>
      </c>
      <c r="H6" s="225" t="n">
        <f aca="false">SUM(B6:G6)</f>
        <v>484074</v>
      </c>
      <c r="J6" s="224" t="n">
        <v>0</v>
      </c>
      <c r="K6" s="226" t="n">
        <v>0</v>
      </c>
      <c r="L6" s="224" t="n">
        <f aca="false">20951+9576</f>
        <v>30527</v>
      </c>
      <c r="M6" s="222" t="n">
        <f aca="false">Supplies!BD8+EOLSupplies!DT8</f>
        <v>424656</v>
      </c>
      <c r="N6" s="222" t="n">
        <v>0</v>
      </c>
      <c r="O6" s="225" t="n">
        <f aca="false">SUM(J6:N6)</f>
        <v>455183</v>
      </c>
      <c r="P6" s="227" t="n">
        <f aca="false">A6</f>
        <v>36680</v>
      </c>
      <c r="Q6" s="126"/>
      <c r="R6" s="228" t="n">
        <f aca="false">+O6-H6</f>
        <v>-28891</v>
      </c>
      <c r="S6" s="228" t="n">
        <f aca="false">S5+R6</f>
        <v>77464</v>
      </c>
      <c r="T6" s="229" t="n">
        <f aca="false">A6</f>
        <v>36680</v>
      </c>
      <c r="U6" s="230"/>
      <c r="V6" s="175" t="n">
        <f aca="false">M6+L6-B6-(+BaseloadMarkets!DT8+OCCMarkets!CO8+SwingMarkets!DT8+EOLMarkets!ER8)-EES!AK7</f>
        <v>0</v>
      </c>
      <c r="W6" s="175"/>
      <c r="X6" s="175" t="n">
        <f aca="false">+X5+O6</f>
        <v>1886429</v>
      </c>
      <c r="Y6" s="230"/>
      <c r="Z6" s="230" t="str">
        <f aca="false">IF(Y6="","",X6-Y6)</f>
        <v/>
      </c>
      <c r="AB6" s="1" t="n">
        <f aca="false">ROUND(+V6/2,0)</f>
        <v>0</v>
      </c>
      <c r="AD6" s="174" t="n">
        <v>0</v>
      </c>
    </row>
    <row r="7" customFormat="false" ht="13.5" hidden="false" customHeight="false" outlineLevel="0" collapsed="false">
      <c r="A7" s="221" t="n">
        <f aca="false">BaseloadMarkets!A9</f>
        <v>36681</v>
      </c>
      <c r="B7" s="222" t="n">
        <f aca="false">+EES!C8</f>
        <v>70000</v>
      </c>
      <c r="C7" s="223" t="n">
        <v>0</v>
      </c>
      <c r="D7" s="224" t="n">
        <v>0</v>
      </c>
      <c r="E7" s="224" t="n">
        <v>0</v>
      </c>
      <c r="F7" s="222" t="n">
        <v>0</v>
      </c>
      <c r="G7" s="222" t="n">
        <f aca="false">+BaseloadMarkets!DS9+OCCMarkets!CN9+SwingMarkets!DS9+EOLMarkets!ER9</f>
        <v>399388</v>
      </c>
      <c r="H7" s="225" t="n">
        <f aca="false">SUM(B7:G7)</f>
        <v>469388</v>
      </c>
      <c r="J7" s="224" t="n">
        <v>0</v>
      </c>
      <c r="K7" s="226" t="n">
        <v>0</v>
      </c>
      <c r="L7" s="224" t="n">
        <f aca="false">9802+21738</f>
        <v>31540</v>
      </c>
      <c r="M7" s="222" t="n">
        <f aca="false">Supplies!BD9+EOLSupplies!DT9</f>
        <v>408658</v>
      </c>
      <c r="N7" s="222" t="n">
        <v>0</v>
      </c>
      <c r="O7" s="225" t="n">
        <f aca="false">SUM(J7:N7)</f>
        <v>440198</v>
      </c>
      <c r="P7" s="227" t="n">
        <f aca="false">A7</f>
        <v>36681</v>
      </c>
      <c r="Q7" s="126"/>
      <c r="R7" s="228" t="n">
        <f aca="false">+O7-H7</f>
        <v>-29190</v>
      </c>
      <c r="S7" s="228" t="n">
        <f aca="false">S6+R7</f>
        <v>48274</v>
      </c>
      <c r="T7" s="229" t="n">
        <f aca="false">A7</f>
        <v>36681</v>
      </c>
      <c r="U7" s="230"/>
      <c r="V7" s="175" t="n">
        <f aca="false">M7+L7-B7-(+BaseloadMarkets!DT9+OCCMarkets!CO9+SwingMarkets!DT9+EOLMarkets!ER9)-EES!AK8</f>
        <v>0</v>
      </c>
      <c r="W7" s="175"/>
      <c r="X7" s="175" t="n">
        <f aca="false">+X6+O7</f>
        <v>2326627</v>
      </c>
      <c r="Y7" s="230"/>
      <c r="Z7" s="230" t="str">
        <f aca="false">IF(Y7="","",X7-Y7)</f>
        <v/>
      </c>
      <c r="AB7" s="1" t="n">
        <f aca="false">ROUND(+V7/2,0)</f>
        <v>0</v>
      </c>
      <c r="AD7" s="174" t="n">
        <v>0</v>
      </c>
    </row>
    <row r="8" customFormat="false" ht="13.5" hidden="false" customHeight="false" outlineLevel="0" collapsed="false">
      <c r="A8" s="221" t="n">
        <f aca="false">BaseloadMarkets!A10</f>
        <v>36682</v>
      </c>
      <c r="B8" s="222" t="n">
        <f aca="false">+EES!C9</f>
        <v>70000</v>
      </c>
      <c r="C8" s="223" t="n">
        <v>0</v>
      </c>
      <c r="D8" s="224" t="n">
        <v>0</v>
      </c>
      <c r="E8" s="224" t="n">
        <v>0</v>
      </c>
      <c r="F8" s="222" t="n">
        <v>0</v>
      </c>
      <c r="G8" s="222" t="n">
        <f aca="false">+BaseloadMarkets!DS10+OCCMarkets!CN10+SwingMarkets!DS10+EOLMarkets!ER10</f>
        <v>407944</v>
      </c>
      <c r="H8" s="225" t="n">
        <f aca="false">SUM(B8:G8)</f>
        <v>477944</v>
      </c>
      <c r="J8" s="224" t="n">
        <v>0</v>
      </c>
      <c r="K8" s="226" t="n">
        <v>0</v>
      </c>
      <c r="L8" s="224" t="n">
        <f aca="false">16488+23522</f>
        <v>40010</v>
      </c>
      <c r="M8" s="222" t="n">
        <f aca="false">Supplies!BD10+EOLSupplies!DT10</f>
        <v>445230</v>
      </c>
      <c r="N8" s="222" t="n">
        <v>0</v>
      </c>
      <c r="O8" s="225" t="n">
        <f aca="false">SUM(J8:N8)</f>
        <v>485240</v>
      </c>
      <c r="P8" s="227" t="n">
        <f aca="false">A8</f>
        <v>36682</v>
      </c>
      <c r="Q8" s="129"/>
      <c r="R8" s="228" t="n">
        <f aca="false">+O8-H8</f>
        <v>7296</v>
      </c>
      <c r="S8" s="228" t="n">
        <f aca="false">S7+R8</f>
        <v>55570</v>
      </c>
      <c r="T8" s="229" t="n">
        <f aca="false">A8</f>
        <v>36682</v>
      </c>
      <c r="U8" s="129"/>
      <c r="V8" s="175" t="n">
        <f aca="false">M8+L8-B8-(+BaseloadMarkets!DT10+OCCMarkets!CO10+SwingMarkets!DT10+EOLMarkets!ER10)-EES!AK9</f>
        <v>0</v>
      </c>
      <c r="W8" s="175"/>
      <c r="X8" s="175" t="n">
        <f aca="false">+X7+O8</f>
        <v>2811867</v>
      </c>
      <c r="Y8" s="129"/>
      <c r="Z8" s="230" t="str">
        <f aca="false">IF(Y8="","",X8-Y8)</f>
        <v/>
      </c>
      <c r="AA8" s="73"/>
      <c r="AB8" s="1" t="n">
        <f aca="false">ROUND(+V8/2,0)</f>
        <v>0</v>
      </c>
      <c r="AC8" s="73"/>
      <c r="AD8" s="174" t="n">
        <v>0</v>
      </c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</row>
    <row r="9" customFormat="false" ht="13.5" hidden="false" customHeight="false" outlineLevel="0" collapsed="false">
      <c r="A9" s="221" t="n">
        <f aca="false">BaseloadMarkets!A11</f>
        <v>36683</v>
      </c>
      <c r="B9" s="222" t="n">
        <f aca="false">+EES!C10</f>
        <v>70000</v>
      </c>
      <c r="C9" s="223" t="n">
        <v>0</v>
      </c>
      <c r="D9" s="224" t="n">
        <v>0</v>
      </c>
      <c r="E9" s="224" t="n">
        <v>0</v>
      </c>
      <c r="F9" s="222" t="n">
        <v>0</v>
      </c>
      <c r="G9" s="222" t="n">
        <f aca="false">+BaseloadMarkets!DS11+OCCMarkets!CN11+SwingMarkets!DS11+EOLMarkets!ER11</f>
        <v>774336</v>
      </c>
      <c r="H9" s="225" t="n">
        <f aca="false">SUM(B9:G9)</f>
        <v>844336</v>
      </c>
      <c r="J9" s="224" t="n">
        <v>0</v>
      </c>
      <c r="K9" s="226" t="n">
        <v>0</v>
      </c>
      <c r="L9" s="224" t="n">
        <f aca="false">17310+20093</f>
        <v>37403</v>
      </c>
      <c r="M9" s="222" t="n">
        <f aca="false">Supplies!BD11+EOLSupplies!DT11</f>
        <v>836655</v>
      </c>
      <c r="N9" s="222" t="n">
        <v>0</v>
      </c>
      <c r="O9" s="225" t="n">
        <f aca="false">SUM(J9:N9)</f>
        <v>874058</v>
      </c>
      <c r="P9" s="227" t="n">
        <f aca="false">A9</f>
        <v>36683</v>
      </c>
      <c r="Q9" s="129"/>
      <c r="R9" s="228" t="n">
        <f aca="false">+O9-H9</f>
        <v>29722</v>
      </c>
      <c r="S9" s="228" t="n">
        <f aca="false">S8+R9</f>
        <v>85292</v>
      </c>
      <c r="T9" s="229" t="n">
        <f aca="false">A9</f>
        <v>36683</v>
      </c>
      <c r="U9" s="129"/>
      <c r="V9" s="175" t="n">
        <f aca="false">M9+L9-B9-(+BaseloadMarkets!DT11+OCCMarkets!CO11+SwingMarkets!DT11+EOLMarkets!ER11)-EES!AK10</f>
        <v>0</v>
      </c>
      <c r="W9" s="175"/>
      <c r="X9" s="175" t="n">
        <f aca="false">+X8+O9</f>
        <v>3685925</v>
      </c>
      <c r="Y9" s="129"/>
      <c r="Z9" s="230" t="str">
        <f aca="false">IF(Y9="","",X9-Y9)</f>
        <v/>
      </c>
      <c r="AA9" s="73"/>
      <c r="AB9" s="1" t="n">
        <f aca="false">ROUND(+V9/2,0)</f>
        <v>0</v>
      </c>
      <c r="AC9" s="73"/>
      <c r="AD9" s="174" t="n">
        <v>0</v>
      </c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</row>
    <row r="10" customFormat="false" ht="13.5" hidden="false" customHeight="false" outlineLevel="0" collapsed="false">
      <c r="A10" s="221" t="n">
        <f aca="false">BaseloadMarkets!A12</f>
        <v>36684</v>
      </c>
      <c r="B10" s="222" t="n">
        <f aca="false">+EES!C11</f>
        <v>70000</v>
      </c>
      <c r="C10" s="223" t="n">
        <v>0</v>
      </c>
      <c r="D10" s="224" t="n">
        <v>0</v>
      </c>
      <c r="E10" s="224" t="n">
        <v>0</v>
      </c>
      <c r="F10" s="222" t="n">
        <v>0</v>
      </c>
      <c r="G10" s="222" t="n">
        <f aca="false">+BaseloadMarkets!DS12+OCCMarkets!CN12+SwingMarkets!DS12+EOLMarkets!ER12</f>
        <v>412582</v>
      </c>
      <c r="H10" s="225" t="n">
        <f aca="false">SUM(B10:G10)</f>
        <v>482582</v>
      </c>
      <c r="J10" s="224" t="n">
        <v>0</v>
      </c>
      <c r="K10" s="226" t="n">
        <v>0</v>
      </c>
      <c r="L10" s="224" t="n">
        <f aca="false">19721+20000</f>
        <v>39721</v>
      </c>
      <c r="M10" s="222" t="n">
        <f aca="false">Supplies!BD12+EOLSupplies!DT12</f>
        <v>536879</v>
      </c>
      <c r="N10" s="222" t="n">
        <v>0</v>
      </c>
      <c r="O10" s="225" t="n">
        <f aca="false">SUM(J10:N10)</f>
        <v>576600</v>
      </c>
      <c r="P10" s="227" t="n">
        <f aca="false">A10</f>
        <v>36684</v>
      </c>
      <c r="Q10" s="129"/>
      <c r="R10" s="228" t="n">
        <f aca="false">+O10-H10</f>
        <v>94018</v>
      </c>
      <c r="S10" s="228" t="n">
        <f aca="false">S9+R10</f>
        <v>179310</v>
      </c>
      <c r="T10" s="229" t="n">
        <f aca="false">A10</f>
        <v>36684</v>
      </c>
      <c r="U10" s="129"/>
      <c r="V10" s="175" t="n">
        <f aca="false">M10+L10-B10-(+BaseloadMarkets!DT12+OCCMarkets!CO12+SwingMarkets!DT12+EOLMarkets!ER12)-EES!AK11</f>
        <v>0</v>
      </c>
      <c r="W10" s="175"/>
      <c r="X10" s="175" t="n">
        <f aca="false">+X9+O10</f>
        <v>4262525</v>
      </c>
      <c r="Y10" s="73"/>
      <c r="Z10" s="230" t="str">
        <f aca="false">IF(Y10="","",X10-Y10)</f>
        <v/>
      </c>
      <c r="AA10" s="73"/>
      <c r="AB10" s="1" t="n">
        <f aca="false">ROUND(+V10/2,0)</f>
        <v>0</v>
      </c>
      <c r="AC10" s="73"/>
      <c r="AD10" s="174" t="n">
        <v>0</v>
      </c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customFormat="false" ht="13.5" hidden="false" customHeight="false" outlineLevel="0" collapsed="false">
      <c r="A11" s="221" t="n">
        <f aca="false">BaseloadMarkets!A13</f>
        <v>36685</v>
      </c>
      <c r="B11" s="222" t="n">
        <f aca="false">+EES!C12</f>
        <v>70000</v>
      </c>
      <c r="C11" s="223" t="n">
        <v>0</v>
      </c>
      <c r="D11" s="224" t="n">
        <v>0</v>
      </c>
      <c r="E11" s="224" t="n">
        <v>0</v>
      </c>
      <c r="F11" s="222" t="n">
        <v>0</v>
      </c>
      <c r="G11" s="222" t="n">
        <f aca="false">+BaseloadMarkets!DS13+OCCMarkets!CN13+SwingMarkets!DS13+EOLMarkets!ER13</f>
        <v>462731</v>
      </c>
      <c r="H11" s="225" t="n">
        <f aca="false">SUM(B11:G11)</f>
        <v>532731</v>
      </c>
      <c r="J11" s="224" t="n">
        <v>0</v>
      </c>
      <c r="K11" s="226" t="n">
        <v>0</v>
      </c>
      <c r="L11" s="224" t="n">
        <f aca="false">20155+16726</f>
        <v>36881</v>
      </c>
      <c r="M11" s="222" t="n">
        <f aca="false">Supplies!BD13+EOLSupplies!DT13</f>
        <v>641223</v>
      </c>
      <c r="N11" s="222" t="n">
        <v>0</v>
      </c>
      <c r="O11" s="225" t="n">
        <f aca="false">SUM(J11:N11)</f>
        <v>678104</v>
      </c>
      <c r="P11" s="227" t="n">
        <f aca="false">A11</f>
        <v>36685</v>
      </c>
      <c r="Q11" s="129"/>
      <c r="R11" s="228" t="n">
        <f aca="false">+O11-H11</f>
        <v>145373</v>
      </c>
      <c r="S11" s="228" t="n">
        <f aca="false">S10+R11</f>
        <v>324683</v>
      </c>
      <c r="T11" s="229" t="n">
        <f aca="false">A11</f>
        <v>36685</v>
      </c>
      <c r="U11" s="129"/>
      <c r="V11" s="175" t="n">
        <f aca="false">M11+L11-B11-(+BaseloadMarkets!DT13+OCCMarkets!CO13+SwingMarkets!DT13+EOLMarkets!ER13)-EES!AK12</f>
        <v>0</v>
      </c>
      <c r="W11" s="175"/>
      <c r="X11" s="175" t="n">
        <f aca="false">+X10+O11</f>
        <v>4940629</v>
      </c>
      <c r="Y11" s="73"/>
      <c r="Z11" s="230" t="str">
        <f aca="false">IF(Y11="","",X11-Y11)</f>
        <v/>
      </c>
      <c r="AA11" s="73"/>
      <c r="AB11" s="1" t="n">
        <f aca="false">ROUND(+V11/2,0)</f>
        <v>0</v>
      </c>
      <c r="AC11" s="73"/>
      <c r="AD11" s="174" t="n">
        <v>0</v>
      </c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3.5" hidden="false" customHeight="false" outlineLevel="0" collapsed="false">
      <c r="A12" s="221" t="n">
        <f aca="false">BaseloadMarkets!A14</f>
        <v>36686</v>
      </c>
      <c r="B12" s="222" t="n">
        <f aca="false">+EES!C13</f>
        <v>70000</v>
      </c>
      <c r="C12" s="223" t="n">
        <v>0</v>
      </c>
      <c r="D12" s="224" t="n">
        <v>0</v>
      </c>
      <c r="E12" s="224" t="n">
        <v>0</v>
      </c>
      <c r="F12" s="222" t="n">
        <v>0</v>
      </c>
      <c r="G12" s="222" t="n">
        <f aca="false">+BaseloadMarkets!DS14+OCCMarkets!CN14+SwingMarkets!DS14+EOLMarkets!ER14</f>
        <v>596182</v>
      </c>
      <c r="H12" s="225" t="n">
        <f aca="false">SUM(B12:G12)</f>
        <v>666182</v>
      </c>
      <c r="J12" s="224" t="n">
        <v>0</v>
      </c>
      <c r="K12" s="226" t="n">
        <v>0</v>
      </c>
      <c r="L12" s="224" t="n">
        <f aca="false">18806+19999+1</f>
        <v>38806</v>
      </c>
      <c r="M12" s="222" t="n">
        <f aca="false">Supplies!BD14+EOLSupplies!DT14</f>
        <v>736053</v>
      </c>
      <c r="N12" s="222" t="n">
        <v>0</v>
      </c>
      <c r="O12" s="225" t="n">
        <f aca="false">SUM(J12:N12)</f>
        <v>774859</v>
      </c>
      <c r="P12" s="227" t="n">
        <f aca="false">A12</f>
        <v>36686</v>
      </c>
      <c r="Q12" s="126"/>
      <c r="R12" s="228" t="n">
        <f aca="false">+O12-H12</f>
        <v>108677</v>
      </c>
      <c r="S12" s="228" t="n">
        <f aca="false">S11+R12</f>
        <v>433360</v>
      </c>
      <c r="T12" s="229" t="n">
        <f aca="false">A12</f>
        <v>36686</v>
      </c>
      <c r="U12" s="230"/>
      <c r="V12" s="175" t="n">
        <f aca="false">M12+L12-B12-(+BaseloadMarkets!DT14+OCCMarkets!CO14+SwingMarkets!DT14+EOLMarkets!ER14)-EES!AK13</f>
        <v>0</v>
      </c>
      <c r="W12" s="175"/>
      <c r="X12" s="175" t="n">
        <f aca="false">+X11+O12</f>
        <v>5715488</v>
      </c>
      <c r="Z12" s="230" t="str">
        <f aca="false">IF(Y12="","",X12-Y12)</f>
        <v/>
      </c>
      <c r="AB12" s="1" t="n">
        <f aca="false">ROUND(+V12/2,0)</f>
        <v>0</v>
      </c>
      <c r="AD12" s="174" t="n">
        <v>0</v>
      </c>
    </row>
    <row r="13" customFormat="false" ht="13.5" hidden="false" customHeight="false" outlineLevel="0" collapsed="false">
      <c r="A13" s="221" t="n">
        <f aca="false">BaseloadMarkets!A15</f>
        <v>36687</v>
      </c>
      <c r="B13" s="222" t="n">
        <f aca="false">+EES!C14</f>
        <v>70000</v>
      </c>
      <c r="C13" s="223" t="n">
        <v>0</v>
      </c>
      <c r="D13" s="224" t="n">
        <v>0</v>
      </c>
      <c r="E13" s="224" t="n">
        <v>0</v>
      </c>
      <c r="F13" s="222" t="n">
        <v>0</v>
      </c>
      <c r="G13" s="222" t="n">
        <f aca="false">+BaseloadMarkets!DS15+OCCMarkets!CN15+SwingMarkets!DS15+EOLMarkets!ER15</f>
        <v>417026</v>
      </c>
      <c r="H13" s="225" t="n">
        <f aca="false">SUM(B13:G13)</f>
        <v>487026</v>
      </c>
      <c r="J13" s="224" t="n">
        <v>0</v>
      </c>
      <c r="K13" s="226" t="n">
        <v>0</v>
      </c>
      <c r="L13" s="224" t="n">
        <f aca="false">15146+22378</f>
        <v>37524</v>
      </c>
      <c r="M13" s="222" t="n">
        <f aca="false">Supplies!BD15+EOLSupplies!DT15</f>
        <v>520887</v>
      </c>
      <c r="N13" s="222" t="n">
        <v>0</v>
      </c>
      <c r="O13" s="225" t="n">
        <f aca="false">SUM(J13:N13)</f>
        <v>558411</v>
      </c>
      <c r="P13" s="227" t="n">
        <f aca="false">A13</f>
        <v>36687</v>
      </c>
      <c r="Q13" s="126"/>
      <c r="R13" s="228" t="n">
        <f aca="false">+O13-H13</f>
        <v>71385</v>
      </c>
      <c r="S13" s="228" t="n">
        <f aca="false">S12+R13</f>
        <v>504745</v>
      </c>
      <c r="T13" s="229" t="n">
        <f aca="false">A13</f>
        <v>36687</v>
      </c>
      <c r="U13" s="230"/>
      <c r="V13" s="175" t="n">
        <f aca="false">M13+L13-B13-(+BaseloadMarkets!DT15+OCCMarkets!CO15+SwingMarkets!DT15+EOLMarkets!ER15)-EES!AK14</f>
        <v>0</v>
      </c>
      <c r="W13" s="175"/>
      <c r="X13" s="175" t="n">
        <f aca="false">+X12+O13</f>
        <v>6273899</v>
      </c>
      <c r="Z13" s="230" t="str">
        <f aca="false">IF(Y13="","",X13-Y13)</f>
        <v/>
      </c>
      <c r="AB13" s="1" t="n">
        <f aca="false">ROUND(+V13/2,0)</f>
        <v>0</v>
      </c>
      <c r="AD13" s="174" t="n">
        <v>0</v>
      </c>
    </row>
    <row r="14" customFormat="false" ht="13.5" hidden="false" customHeight="false" outlineLevel="0" collapsed="false">
      <c r="A14" s="221" t="n">
        <f aca="false">BaseloadMarkets!A16</f>
        <v>36688</v>
      </c>
      <c r="B14" s="222" t="n">
        <f aca="false">+EES!C15</f>
        <v>70000</v>
      </c>
      <c r="C14" s="223" t="n">
        <v>0</v>
      </c>
      <c r="D14" s="224" t="n">
        <v>0</v>
      </c>
      <c r="E14" s="224" t="n">
        <v>0</v>
      </c>
      <c r="F14" s="222" t="n">
        <v>0</v>
      </c>
      <c r="G14" s="222" t="n">
        <f aca="false">+BaseloadMarkets!DS16+OCCMarkets!CN16+SwingMarkets!DS16+EOLMarkets!ER16</f>
        <v>418317</v>
      </c>
      <c r="H14" s="225" t="n">
        <f aca="false">SUM(B14:G14)</f>
        <v>488317</v>
      </c>
      <c r="J14" s="224" t="n">
        <v>0</v>
      </c>
      <c r="K14" s="226" t="n">
        <v>0</v>
      </c>
      <c r="L14" s="224" t="n">
        <f aca="false">14970+19788</f>
        <v>34758</v>
      </c>
      <c r="M14" s="222" t="n">
        <f aca="false">Supplies!BD16+EOLSupplies!DT16</f>
        <v>517647</v>
      </c>
      <c r="N14" s="222" t="n">
        <v>0</v>
      </c>
      <c r="O14" s="225" t="n">
        <f aca="false">SUM(J14:N14)</f>
        <v>552405</v>
      </c>
      <c r="P14" s="227" t="n">
        <f aca="false">A14</f>
        <v>36688</v>
      </c>
      <c r="Q14" s="126"/>
      <c r="R14" s="228" t="n">
        <f aca="false">+O14-H14</f>
        <v>64088</v>
      </c>
      <c r="S14" s="228" t="n">
        <f aca="false">S13+R14</f>
        <v>568833</v>
      </c>
      <c r="T14" s="229" t="n">
        <f aca="false">A14</f>
        <v>36688</v>
      </c>
      <c r="U14" s="230"/>
      <c r="V14" s="175" t="n">
        <f aca="false">M14+L14-B14-(+BaseloadMarkets!DT16+OCCMarkets!CO16+SwingMarkets!DT16+EOLMarkets!ER16)-EES!AK15</f>
        <v>0</v>
      </c>
      <c r="W14" s="175"/>
      <c r="X14" s="175" t="n">
        <f aca="false">+X13+O14</f>
        <v>6826304</v>
      </c>
      <c r="Z14" s="230" t="str">
        <f aca="false">IF(Y14="","",X14-Y14)</f>
        <v/>
      </c>
      <c r="AB14" s="1" t="n">
        <f aca="false">ROUND(+V14/2,0)</f>
        <v>0</v>
      </c>
      <c r="AD14" s="174" t="n">
        <v>0</v>
      </c>
    </row>
    <row r="15" customFormat="false" ht="13.5" hidden="false" customHeight="false" outlineLevel="0" collapsed="false">
      <c r="A15" s="221" t="n">
        <f aca="false">BaseloadMarkets!A17</f>
        <v>36689</v>
      </c>
      <c r="B15" s="222" t="n">
        <f aca="false">+EES!C16</f>
        <v>70000</v>
      </c>
      <c r="C15" s="223" t="n">
        <v>0</v>
      </c>
      <c r="D15" s="224" t="n">
        <v>0</v>
      </c>
      <c r="E15" s="224" t="n">
        <v>0</v>
      </c>
      <c r="F15" s="222" t="n">
        <v>0</v>
      </c>
      <c r="G15" s="222" t="n">
        <f aca="false">+BaseloadMarkets!DS17+OCCMarkets!CN17+SwingMarkets!DS17+EOLMarkets!ER17</f>
        <v>422185</v>
      </c>
      <c r="H15" s="225" t="n">
        <f aca="false">SUM(B15:G15)</f>
        <v>492185</v>
      </c>
      <c r="J15" s="224" t="n">
        <v>0</v>
      </c>
      <c r="K15" s="226" t="n">
        <v>0</v>
      </c>
      <c r="L15" s="224" t="n">
        <f aca="false">13220+22829</f>
        <v>36049</v>
      </c>
      <c r="M15" s="222" t="n">
        <f aca="false">Supplies!BD17+EOLSupplies!DT17</f>
        <v>559473</v>
      </c>
      <c r="N15" s="222" t="n">
        <v>0</v>
      </c>
      <c r="O15" s="225" t="n">
        <f aca="false">SUM(J15:N15)</f>
        <v>595522</v>
      </c>
      <c r="P15" s="227" t="n">
        <f aca="false">A15</f>
        <v>36689</v>
      </c>
      <c r="Q15" s="129"/>
      <c r="R15" s="228" t="n">
        <f aca="false">+O15-H15</f>
        <v>103337</v>
      </c>
      <c r="S15" s="231" t="n">
        <f aca="false">S14+R15</f>
        <v>672170</v>
      </c>
      <c r="T15" s="229" t="n">
        <f aca="false">A15</f>
        <v>36689</v>
      </c>
      <c r="U15" s="25"/>
      <c r="V15" s="175" t="n">
        <f aca="false">M15+L15-B15-(+BaseloadMarkets!DT17+OCCMarkets!CO17+SwingMarkets!DT17+EOLMarkets!ER17)-EES!AK16</f>
        <v>0</v>
      </c>
      <c r="W15" s="175"/>
      <c r="X15" s="175" t="n">
        <f aca="false">+X14+O15</f>
        <v>7421826</v>
      </c>
      <c r="Y15" s="232"/>
      <c r="Z15" s="230" t="str">
        <f aca="false">IF(Y15="","",X15-Y15)</f>
        <v/>
      </c>
      <c r="AA15" s="1"/>
      <c r="AB15" s="1" t="n">
        <f aca="false">ROUND(+V15/2,0)</f>
        <v>0</v>
      </c>
      <c r="AC15" s="1"/>
      <c r="AD15" s="174" t="n">
        <v>0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3.5" hidden="false" customHeight="false" outlineLevel="0" collapsed="false">
      <c r="A16" s="221" t="n">
        <f aca="false">BaseloadMarkets!A18</f>
        <v>36690</v>
      </c>
      <c r="B16" s="222" t="n">
        <f aca="false">+EES!C17</f>
        <v>70000</v>
      </c>
      <c r="C16" s="223" t="n">
        <v>0</v>
      </c>
      <c r="D16" s="224" t="n">
        <v>0</v>
      </c>
      <c r="E16" s="224" t="n">
        <v>0</v>
      </c>
      <c r="F16" s="222" t="n">
        <v>0</v>
      </c>
      <c r="G16" s="222" t="n">
        <f aca="false">+BaseloadMarkets!DS18+OCCMarkets!CN18+SwingMarkets!DS18+EOLMarkets!ER18</f>
        <v>968142</v>
      </c>
      <c r="H16" s="225" t="n">
        <f aca="false">SUM(B16:G16)</f>
        <v>1038142</v>
      </c>
      <c r="J16" s="224" t="n">
        <v>0</v>
      </c>
      <c r="K16" s="226" t="n">
        <v>0</v>
      </c>
      <c r="L16" s="224" t="n">
        <f aca="false">20000+20443</f>
        <v>40443</v>
      </c>
      <c r="M16" s="222" t="n">
        <f aca="false">Supplies!BD18+EOLSupplies!DT18</f>
        <v>955237</v>
      </c>
      <c r="N16" s="222" t="n">
        <v>0</v>
      </c>
      <c r="O16" s="225" t="n">
        <f aca="false">SUM(J16:N16)</f>
        <v>995680</v>
      </c>
      <c r="P16" s="227" t="n">
        <f aca="false">A16</f>
        <v>36690</v>
      </c>
      <c r="Q16" s="126"/>
      <c r="R16" s="228" t="n">
        <f aca="false">+O16-H16</f>
        <v>-42462</v>
      </c>
      <c r="S16" s="228" t="n">
        <f aca="false">S15+R16</f>
        <v>629708</v>
      </c>
      <c r="T16" s="229" t="n">
        <f aca="false">A16</f>
        <v>36690</v>
      </c>
      <c r="U16" s="25"/>
      <c r="V16" s="175" t="n">
        <f aca="false">M16+L16-B16-(+BaseloadMarkets!DT18+OCCMarkets!CO18+SwingMarkets!DT18+EOLMarkets!ER18)-EES!AK17</f>
        <v>0</v>
      </c>
      <c r="W16" s="175"/>
      <c r="X16" s="175" t="n">
        <f aca="false">+X15+O16</f>
        <v>8417506</v>
      </c>
      <c r="Y16" s="1"/>
      <c r="Z16" s="230" t="str">
        <f aca="false">IF(Y16="","",X16-Y16)</f>
        <v/>
      </c>
      <c r="AA16" s="1"/>
      <c r="AB16" s="1" t="n">
        <f aca="false">ROUND(+V16/2,0)</f>
        <v>0</v>
      </c>
      <c r="AC16" s="1"/>
      <c r="AD16" s="174" t="n">
        <v>0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4.25" hidden="false" customHeight="true" outlineLevel="0" collapsed="false">
      <c r="A17" s="221" t="n">
        <f aca="false">BaseloadMarkets!A19</f>
        <v>36691</v>
      </c>
      <c r="B17" s="222" t="n">
        <f aca="false">+EES!C18</f>
        <v>70000</v>
      </c>
      <c r="C17" s="223" t="n">
        <v>0</v>
      </c>
      <c r="D17" s="224" t="n">
        <v>0</v>
      </c>
      <c r="E17" s="224" t="n">
        <v>0</v>
      </c>
      <c r="F17" s="222" t="n">
        <v>0</v>
      </c>
      <c r="G17" s="222" t="n">
        <f aca="false">+BaseloadMarkets!DS19+OCCMarkets!CN19+SwingMarkets!DS19+EOLMarkets!ER19</f>
        <v>782651</v>
      </c>
      <c r="H17" s="225" t="n">
        <f aca="false">SUM(B17:G17)</f>
        <v>852651</v>
      </c>
      <c r="J17" s="224" t="n">
        <v>0</v>
      </c>
      <c r="K17" s="226" t="n">
        <v>0</v>
      </c>
      <c r="L17" s="224" t="n">
        <f aca="false">29428+12642+11029+20000</f>
        <v>73099</v>
      </c>
      <c r="M17" s="222" t="n">
        <f aca="false">Supplies!BD19+EOLSupplies!DT19</f>
        <v>738048</v>
      </c>
      <c r="N17" s="222" t="n">
        <v>0</v>
      </c>
      <c r="O17" s="225" t="n">
        <f aca="false">SUM(J17:N17)</f>
        <v>811147</v>
      </c>
      <c r="P17" s="227" t="n">
        <f aca="false">A17</f>
        <v>36691</v>
      </c>
      <c r="Q17" s="129"/>
      <c r="R17" s="228" t="n">
        <f aca="false">+O17-H17</f>
        <v>-41504</v>
      </c>
      <c r="S17" s="231" t="n">
        <f aca="false">S16+R17</f>
        <v>588204</v>
      </c>
      <c r="T17" s="229" t="n">
        <f aca="false">A17</f>
        <v>36691</v>
      </c>
      <c r="U17" s="25"/>
      <c r="V17" s="175" t="n">
        <f aca="false">M17+L17-B17-(+BaseloadMarkets!DT19+OCCMarkets!CO19+SwingMarkets!DT19+EOLMarkets!ER19)-EES!AK18</f>
        <v>1</v>
      </c>
      <c r="W17" s="175"/>
      <c r="X17" s="175" t="n">
        <f aca="false">+X16+O17</f>
        <v>9228653</v>
      </c>
      <c r="Y17" s="1"/>
      <c r="Z17" s="230" t="str">
        <f aca="false">IF(Y17="","",X17-Y17)</f>
        <v/>
      </c>
      <c r="AA17" s="1"/>
      <c r="AB17" s="1" t="n">
        <f aca="false">ROUND(+V17/2,0)</f>
        <v>1</v>
      </c>
      <c r="AC17" s="1"/>
      <c r="AD17" s="174" t="n">
        <v>0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3.5" hidden="false" customHeight="false" outlineLevel="0" collapsed="false">
      <c r="A18" s="221" t="n">
        <f aca="false">BaseloadMarkets!A20</f>
        <v>36692</v>
      </c>
      <c r="B18" s="222" t="n">
        <f aca="false">+EES!C19</f>
        <v>70000</v>
      </c>
      <c r="C18" s="223" t="n">
        <v>0</v>
      </c>
      <c r="D18" s="224" t="n">
        <v>0</v>
      </c>
      <c r="E18" s="224" t="n">
        <v>0</v>
      </c>
      <c r="F18" s="222" t="n">
        <v>0</v>
      </c>
      <c r="G18" s="222" t="n">
        <f aca="false">+BaseloadMarkets!DS20+OCCMarkets!CN20+SwingMarkets!DS20+EOLMarkets!ER20</f>
        <v>636993</v>
      </c>
      <c r="H18" s="225" t="n">
        <f aca="false">SUM(B18:G18)</f>
        <v>706993</v>
      </c>
      <c r="J18" s="224" t="n">
        <v>0</v>
      </c>
      <c r="K18" s="226" t="n">
        <v>0</v>
      </c>
      <c r="L18" s="224" t="n">
        <f aca="false">22456+19019</f>
        <v>41475</v>
      </c>
      <c r="M18" s="222" t="n">
        <f aca="false">Supplies!BD20+EOLSupplies!DT20</f>
        <v>627908</v>
      </c>
      <c r="N18" s="222" t="n">
        <v>0</v>
      </c>
      <c r="O18" s="225" t="n">
        <f aca="false">SUM(J18:N18)</f>
        <v>669383</v>
      </c>
      <c r="P18" s="227" t="n">
        <f aca="false">A18</f>
        <v>36692</v>
      </c>
      <c r="Q18" s="129"/>
      <c r="R18" s="228" t="n">
        <f aca="false">+O18-H18</f>
        <v>-37610</v>
      </c>
      <c r="S18" s="231" t="n">
        <f aca="false">S17+R18</f>
        <v>550594</v>
      </c>
      <c r="T18" s="229" t="n">
        <f aca="false">A18</f>
        <v>36692</v>
      </c>
      <c r="U18" s="25"/>
      <c r="V18" s="175" t="n">
        <f aca="false">M18+L18-B18-(+BaseloadMarkets!DT20+OCCMarkets!CO20+SwingMarkets!DT20+EOLMarkets!ER20)-EES!AK19</f>
        <v>0</v>
      </c>
      <c r="W18" s="175"/>
      <c r="X18" s="175" t="n">
        <f aca="false">+X17+O18</f>
        <v>9898036</v>
      </c>
      <c r="Y18" s="25"/>
      <c r="Z18" s="230" t="str">
        <f aca="false">IF(Y18="","",X18-Y18)</f>
        <v/>
      </c>
      <c r="AA18" s="1"/>
      <c r="AB18" s="1" t="n">
        <f aca="false">ROUND(+V18/2,0)</f>
        <v>0</v>
      </c>
      <c r="AC18" s="1"/>
      <c r="AD18" s="174" t="n">
        <v>0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3.5" hidden="false" customHeight="false" outlineLevel="0" collapsed="false">
      <c r="A19" s="221" t="n">
        <f aca="false">BaseloadMarkets!A21</f>
        <v>36693</v>
      </c>
      <c r="B19" s="222" t="n">
        <f aca="false">+EES!C20</f>
        <v>70000</v>
      </c>
      <c r="C19" s="223" t="n">
        <v>0</v>
      </c>
      <c r="D19" s="224" t="n">
        <v>0</v>
      </c>
      <c r="E19" s="224" t="n">
        <v>0</v>
      </c>
      <c r="F19" s="222" t="n">
        <v>0</v>
      </c>
      <c r="G19" s="222" t="n">
        <f aca="false">+BaseloadMarkets!DS21+OCCMarkets!CN21+SwingMarkets!DS21+EOLMarkets!ER21</f>
        <v>618686</v>
      </c>
      <c r="H19" s="225" t="n">
        <f aca="false">SUM(B19:G19)</f>
        <v>688686</v>
      </c>
      <c r="J19" s="224" t="n">
        <v>0</v>
      </c>
      <c r="K19" s="226" t="n">
        <v>0</v>
      </c>
      <c r="L19" s="224" t="n">
        <f aca="false">24988+11779</f>
        <v>36767</v>
      </c>
      <c r="M19" s="222" t="n">
        <f aca="false">Supplies!BD21+EOLSupplies!DT21</f>
        <v>573087</v>
      </c>
      <c r="N19" s="222" t="n">
        <v>0</v>
      </c>
      <c r="O19" s="225" t="n">
        <f aca="false">SUM(J19:N19)</f>
        <v>609854</v>
      </c>
      <c r="P19" s="227" t="n">
        <f aca="false">A19</f>
        <v>36693</v>
      </c>
      <c r="Q19" s="129"/>
      <c r="R19" s="228" t="n">
        <f aca="false">+O19-H19</f>
        <v>-78832</v>
      </c>
      <c r="S19" s="231" t="n">
        <f aca="false">S18+R19</f>
        <v>471762</v>
      </c>
      <c r="T19" s="229" t="n">
        <f aca="false">A19</f>
        <v>36693</v>
      </c>
      <c r="U19" s="29"/>
      <c r="V19" s="175" t="n">
        <f aca="false">M19+L19-B19-(+BaseloadMarkets!DT21+OCCMarkets!CO21+SwingMarkets!DT21+EOLMarkets!ER21)-EES!AK20</f>
        <v>0</v>
      </c>
      <c r="W19" s="175"/>
      <c r="X19" s="175" t="n">
        <f aca="false">+X18+O19</f>
        <v>10507890</v>
      </c>
      <c r="Y19" s="25"/>
      <c r="Z19" s="230" t="str">
        <f aca="false">IF(Y19="","",X19-Y19)</f>
        <v/>
      </c>
      <c r="AA19" s="1"/>
      <c r="AB19" s="1" t="n">
        <f aca="false">ROUND(+V19/2,0)</f>
        <v>0</v>
      </c>
      <c r="AC19" s="1"/>
      <c r="AD19" s="174" t="n">
        <v>0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3.5" hidden="false" customHeight="false" outlineLevel="0" collapsed="false">
      <c r="A20" s="221" t="n">
        <f aca="false">BaseloadMarkets!A22</f>
        <v>36694</v>
      </c>
      <c r="B20" s="222" t="n">
        <f aca="false">+EES!C21</f>
        <v>70000</v>
      </c>
      <c r="C20" s="223" t="n">
        <v>0</v>
      </c>
      <c r="D20" s="224" t="n">
        <v>0</v>
      </c>
      <c r="E20" s="224" t="n">
        <v>0</v>
      </c>
      <c r="F20" s="222" t="n">
        <v>0</v>
      </c>
      <c r="G20" s="222" t="n">
        <f aca="false">+BaseloadMarkets!DS22+OCCMarkets!CN22+SwingMarkets!DS22+EOLMarkets!ER22</f>
        <v>476871</v>
      </c>
      <c r="H20" s="225" t="n">
        <f aca="false">SUM(B20:G20)</f>
        <v>546871</v>
      </c>
      <c r="J20" s="224" t="n">
        <v>0</v>
      </c>
      <c r="K20" s="226" t="n">
        <v>0</v>
      </c>
      <c r="L20" s="224" t="n">
        <f aca="false">8914+16048</f>
        <v>24962</v>
      </c>
      <c r="M20" s="222" t="n">
        <f aca="false">Supplies!BD22+EOLSupplies!DT22</f>
        <v>480810</v>
      </c>
      <c r="N20" s="222" t="n">
        <v>0</v>
      </c>
      <c r="O20" s="225" t="n">
        <f aca="false">SUM(J20:N20)</f>
        <v>505772</v>
      </c>
      <c r="P20" s="227" t="n">
        <f aca="false">A20</f>
        <v>36694</v>
      </c>
      <c r="Q20" s="126"/>
      <c r="R20" s="228" t="n">
        <f aca="false">+O20-H20</f>
        <v>-41099</v>
      </c>
      <c r="S20" s="228" t="n">
        <f aca="false">S19+R20</f>
        <v>430663</v>
      </c>
      <c r="T20" s="229" t="n">
        <f aca="false">A20</f>
        <v>36694</v>
      </c>
      <c r="U20" s="230"/>
      <c r="V20" s="175" t="n">
        <f aca="false">M20+L20-B20-(+BaseloadMarkets!DT22+OCCMarkets!CO22+SwingMarkets!DT22+EOLMarkets!ER22)-EES!AK21</f>
        <v>0</v>
      </c>
      <c r="W20" s="175"/>
      <c r="X20" s="175" t="n">
        <f aca="false">+X19+O20</f>
        <v>11013662</v>
      </c>
      <c r="Y20" s="25"/>
      <c r="Z20" s="230" t="str">
        <f aca="false">IF(Y20="","",X20-Y20)</f>
        <v/>
      </c>
      <c r="AA20" s="1"/>
      <c r="AB20" s="1" t="n">
        <f aca="false">ROUND(+V20/2,0)</f>
        <v>0</v>
      </c>
      <c r="AD20" s="174" t="n">
        <v>0</v>
      </c>
    </row>
    <row r="21" customFormat="false" ht="13.5" hidden="false" customHeight="false" outlineLevel="0" collapsed="false">
      <c r="A21" s="221" t="n">
        <f aca="false">BaseloadMarkets!A23</f>
        <v>36695</v>
      </c>
      <c r="B21" s="222" t="n">
        <f aca="false">+EES!C22</f>
        <v>70000</v>
      </c>
      <c r="C21" s="223" t="n">
        <v>0</v>
      </c>
      <c r="D21" s="224" t="n">
        <v>0</v>
      </c>
      <c r="E21" s="224" t="n">
        <v>0</v>
      </c>
      <c r="F21" s="222" t="n">
        <v>0</v>
      </c>
      <c r="G21" s="222" t="n">
        <f aca="false">+BaseloadMarkets!DS23+OCCMarkets!CN23+SwingMarkets!DS23+EOLMarkets!ER23</f>
        <v>498297</v>
      </c>
      <c r="H21" s="225" t="n">
        <f aca="false">SUM(B21:G21)</f>
        <v>568297</v>
      </c>
      <c r="J21" s="224" t="n">
        <v>0</v>
      </c>
      <c r="K21" s="226" t="n">
        <v>0</v>
      </c>
      <c r="L21" s="224" t="n">
        <f aca="false">14989+28117</f>
        <v>43106</v>
      </c>
      <c r="M21" s="222" t="n">
        <f aca="false">Supplies!BD23+EOLSupplies!DT23</f>
        <v>479967</v>
      </c>
      <c r="N21" s="222" t="n">
        <v>0</v>
      </c>
      <c r="O21" s="225" t="n">
        <f aca="false">SUM(J21:N21)</f>
        <v>523073</v>
      </c>
      <c r="P21" s="227" t="n">
        <f aca="false">A21</f>
        <v>36695</v>
      </c>
      <c r="Q21" s="129"/>
      <c r="R21" s="228" t="n">
        <f aca="false">+O21-H21</f>
        <v>-45224</v>
      </c>
      <c r="S21" s="231" t="n">
        <f aca="false">S20+R21</f>
        <v>385439</v>
      </c>
      <c r="T21" s="229" t="n">
        <f aca="false">A21</f>
        <v>36695</v>
      </c>
      <c r="U21" s="230"/>
      <c r="V21" s="175" t="n">
        <f aca="false">M21+L21-B21-(+BaseloadMarkets!DT23+OCCMarkets!CO23+SwingMarkets!DT23+EOLMarkets!ER23)-EES!AK22</f>
        <v>0</v>
      </c>
      <c r="W21" s="175"/>
      <c r="X21" s="175" t="n">
        <f aca="false">+X20+O21</f>
        <v>11536735</v>
      </c>
      <c r="Y21" s="25"/>
      <c r="Z21" s="230" t="str">
        <f aca="false">IF(Y21="","",X21-Y21)</f>
        <v/>
      </c>
      <c r="AA21" s="1"/>
      <c r="AB21" s="1" t="n">
        <f aca="false">ROUND(+V21/2,0)</f>
        <v>0</v>
      </c>
      <c r="AD21" s="174" t="n">
        <v>0</v>
      </c>
    </row>
    <row r="22" customFormat="false" ht="13.5" hidden="false" customHeight="false" outlineLevel="0" collapsed="false">
      <c r="A22" s="221" t="n">
        <f aca="false">BaseloadMarkets!A24</f>
        <v>36696</v>
      </c>
      <c r="B22" s="222" t="n">
        <f aca="false">+EES!C23</f>
        <v>70000</v>
      </c>
      <c r="C22" s="223" t="n">
        <v>0</v>
      </c>
      <c r="D22" s="224" t="n">
        <v>0</v>
      </c>
      <c r="E22" s="224" t="n">
        <v>0</v>
      </c>
      <c r="F22" s="222" t="n">
        <v>0</v>
      </c>
      <c r="G22" s="222" t="n">
        <f aca="false">+BaseloadMarkets!DS24+OCCMarkets!CN24+SwingMarkets!DS24+EOLMarkets!ER24</f>
        <v>498763</v>
      </c>
      <c r="H22" s="225" t="n">
        <f aca="false">SUM(B22:G22)</f>
        <v>568763</v>
      </c>
      <c r="J22" s="224" t="n">
        <v>0</v>
      </c>
      <c r="K22" s="226" t="n">
        <v>0</v>
      </c>
      <c r="L22" s="224" t="n">
        <f aca="false">14581+30591</f>
        <v>45172</v>
      </c>
      <c r="M22" s="222" t="n">
        <f aca="false">Supplies!BD24+EOLSupplies!DT24</f>
        <v>517251</v>
      </c>
      <c r="N22" s="222" t="n">
        <v>0</v>
      </c>
      <c r="O22" s="225" t="n">
        <f aca="false">SUM(J22:N22)</f>
        <v>562423</v>
      </c>
      <c r="P22" s="227" t="n">
        <f aca="false">A22</f>
        <v>36696</v>
      </c>
      <c r="Q22" s="126"/>
      <c r="R22" s="228" t="n">
        <f aca="false">+O22-H22</f>
        <v>-6340</v>
      </c>
      <c r="S22" s="228" t="n">
        <f aca="false">S21+R22</f>
        <v>379099</v>
      </c>
      <c r="T22" s="229" t="n">
        <f aca="false">A22</f>
        <v>36696</v>
      </c>
      <c r="U22" s="25"/>
      <c r="V22" s="175" t="n">
        <f aca="false">M22+L22-B22-(+BaseloadMarkets!DT24+OCCMarkets!CO24+SwingMarkets!DT24+EOLMarkets!ER24)-EES!AK23</f>
        <v>0</v>
      </c>
      <c r="W22" s="175"/>
      <c r="X22" s="175" t="n">
        <f aca="false">+X21+O22</f>
        <v>12099158</v>
      </c>
      <c r="Y22" s="25"/>
      <c r="Z22" s="230" t="str">
        <f aca="false">IF(Y22="","",X22-Y22)</f>
        <v/>
      </c>
      <c r="AA22" s="1"/>
      <c r="AB22" s="1" t="n">
        <f aca="false">ROUND(+V22/2,0)</f>
        <v>0</v>
      </c>
      <c r="AC22" s="1"/>
      <c r="AD22" s="174" t="n">
        <v>0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3.5" hidden="false" customHeight="false" outlineLevel="0" collapsed="false">
      <c r="A23" s="221" t="n">
        <f aca="false">BaseloadMarkets!A25</f>
        <v>36697</v>
      </c>
      <c r="B23" s="222" t="n">
        <f aca="false">+EES!C24</f>
        <v>70000</v>
      </c>
      <c r="C23" s="223" t="n">
        <v>0</v>
      </c>
      <c r="D23" s="224" t="n">
        <v>0</v>
      </c>
      <c r="E23" s="224" t="n">
        <v>0</v>
      </c>
      <c r="F23" s="222" t="n">
        <v>0</v>
      </c>
      <c r="G23" s="222" t="n">
        <f aca="false">+BaseloadMarkets!DS25+OCCMarkets!CN25+SwingMarkets!DS25+EOLMarkets!ER25</f>
        <v>653380</v>
      </c>
      <c r="H23" s="225" t="n">
        <f aca="false">SUM(B23:G23)</f>
        <v>723380</v>
      </c>
      <c r="J23" s="224" t="n">
        <v>0</v>
      </c>
      <c r="K23" s="226" t="n">
        <v>0</v>
      </c>
      <c r="L23" s="224" t="n">
        <f aca="false">18455+30050</f>
        <v>48505</v>
      </c>
      <c r="M23" s="222" t="n">
        <f aca="false">Supplies!BD25+EOLSupplies!DT25</f>
        <v>601167</v>
      </c>
      <c r="N23" s="222" t="n">
        <v>0</v>
      </c>
      <c r="O23" s="225" t="n">
        <f aca="false">SUM(J23:N23)</f>
        <v>649672</v>
      </c>
      <c r="P23" s="227" t="n">
        <f aca="false">A23</f>
        <v>36697</v>
      </c>
      <c r="Q23" s="129"/>
      <c r="R23" s="228" t="n">
        <f aca="false">+O23-H23</f>
        <v>-73708</v>
      </c>
      <c r="S23" s="231" t="n">
        <f aca="false">S22+R23</f>
        <v>305391</v>
      </c>
      <c r="T23" s="229" t="n">
        <f aca="false">A23</f>
        <v>36697</v>
      </c>
      <c r="U23" s="25"/>
      <c r="V23" s="175" t="n">
        <f aca="false">M23+L23-B23-(+BaseloadMarkets!DT25+OCCMarkets!CO25+SwingMarkets!DT25+EOLMarkets!ER25)-EES!AK24</f>
        <v>0</v>
      </c>
      <c r="W23" s="175"/>
      <c r="X23" s="175" t="n">
        <f aca="false">+X22+O23</f>
        <v>12748830</v>
      </c>
      <c r="Y23" s="25"/>
      <c r="Z23" s="230" t="str">
        <f aca="false">IF(Y23="","",X23-Y23)</f>
        <v/>
      </c>
      <c r="AA23" s="1"/>
      <c r="AB23" s="1" t="n">
        <f aca="false">ROUND(+V23/2,0)</f>
        <v>0</v>
      </c>
      <c r="AC23" s="1"/>
      <c r="AD23" s="174" t="n">
        <v>0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3.5" hidden="false" customHeight="false" outlineLevel="0" collapsed="false">
      <c r="A24" s="221" t="n">
        <f aca="false">BaseloadMarkets!A26</f>
        <v>36698</v>
      </c>
      <c r="B24" s="222" t="n">
        <f aca="false">+EES!C25</f>
        <v>70000</v>
      </c>
      <c r="C24" s="223" t="n">
        <v>0</v>
      </c>
      <c r="D24" s="224" t="n">
        <v>0</v>
      </c>
      <c r="E24" s="224" t="n">
        <v>0</v>
      </c>
      <c r="F24" s="222" t="n">
        <v>0</v>
      </c>
      <c r="G24" s="222" t="n">
        <f aca="false">+BaseloadMarkets!DS26+OCCMarkets!CN26+SwingMarkets!DS26+EOLMarkets!ER26</f>
        <v>667905</v>
      </c>
      <c r="H24" s="225" t="n">
        <f aca="false">SUM(B24:G24)</f>
        <v>737905</v>
      </c>
      <c r="J24" s="224" t="n">
        <v>0</v>
      </c>
      <c r="K24" s="226" t="n">
        <v>0</v>
      </c>
      <c r="L24" s="224" t="n">
        <f aca="false">1000+14679</f>
        <v>15679</v>
      </c>
      <c r="M24" s="222" t="n">
        <f aca="false">Supplies!BD26+EOLSupplies!DT26</f>
        <v>628045</v>
      </c>
      <c r="N24" s="222" t="n">
        <v>0</v>
      </c>
      <c r="O24" s="225" t="n">
        <f aca="false">SUM(J24:N24)</f>
        <v>643724</v>
      </c>
      <c r="P24" s="227" t="n">
        <f aca="false">A24</f>
        <v>36698</v>
      </c>
      <c r="Q24" s="126"/>
      <c r="R24" s="228" t="n">
        <f aca="false">+O24-H24</f>
        <v>-94181</v>
      </c>
      <c r="S24" s="228" t="n">
        <f aca="false">S23+R24</f>
        <v>211210</v>
      </c>
      <c r="T24" s="229" t="n">
        <f aca="false">A24</f>
        <v>36698</v>
      </c>
      <c r="U24" s="25"/>
      <c r="V24" s="175" t="n">
        <f aca="false">M24+L24-B24-(+BaseloadMarkets!DT26+OCCMarkets!CO26+SwingMarkets!DT26+EOLMarkets!ER26)-EES!AK25</f>
        <v>0</v>
      </c>
      <c r="W24" s="175"/>
      <c r="X24" s="175" t="n">
        <f aca="false">+X23+O24</f>
        <v>13392554</v>
      </c>
      <c r="Y24" s="25"/>
      <c r="Z24" s="230" t="str">
        <f aca="false">IF(Y24="","",X24-Y24)</f>
        <v/>
      </c>
      <c r="AA24" s="1"/>
      <c r="AB24" s="1" t="n">
        <f aca="false">ROUND(+V24/2,0)</f>
        <v>0</v>
      </c>
      <c r="AC24" s="1"/>
      <c r="AD24" s="174" t="n">
        <v>0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221" t="n">
        <f aca="false">BaseloadMarkets!A27</f>
        <v>36699</v>
      </c>
      <c r="B25" s="222" t="n">
        <f aca="false">+EES!C26</f>
        <v>70000</v>
      </c>
      <c r="C25" s="223" t="n">
        <v>0</v>
      </c>
      <c r="D25" s="224" t="n">
        <v>0</v>
      </c>
      <c r="E25" s="224" t="n">
        <v>0</v>
      </c>
      <c r="F25" s="222" t="n">
        <v>0</v>
      </c>
      <c r="G25" s="222" t="n">
        <f aca="false">+BaseloadMarkets!DS27+OCCMarkets!CN27+SwingMarkets!DS27+EOLMarkets!ER27</f>
        <v>752805</v>
      </c>
      <c r="H25" s="225" t="n">
        <f aca="false">SUM(B25:G25)</f>
        <v>822805</v>
      </c>
      <c r="J25" s="224" t="n">
        <v>0</v>
      </c>
      <c r="K25" s="226" t="n">
        <v>0</v>
      </c>
      <c r="L25" s="224" t="n">
        <f aca="false">13406+20289</f>
        <v>33695</v>
      </c>
      <c r="M25" s="222" t="n">
        <f aca="false">Supplies!BD27+EOLSupplies!DT27</f>
        <v>702298</v>
      </c>
      <c r="N25" s="222" t="n">
        <v>0</v>
      </c>
      <c r="O25" s="225" t="n">
        <f aca="false">SUM(J25:N25)</f>
        <v>735993</v>
      </c>
      <c r="P25" s="227" t="n">
        <f aca="false">A25</f>
        <v>36699</v>
      </c>
      <c r="Q25" s="129"/>
      <c r="R25" s="228" t="n">
        <f aca="false">+O25-H25</f>
        <v>-86812</v>
      </c>
      <c r="S25" s="231" t="n">
        <f aca="false">S24+R25</f>
        <v>124398</v>
      </c>
      <c r="T25" s="229" t="n">
        <f aca="false">A25</f>
        <v>36699</v>
      </c>
      <c r="U25" s="25"/>
      <c r="V25" s="175" t="n">
        <f aca="false">M25+L25-B25-(+BaseloadMarkets!DT27+OCCMarkets!CO27+SwingMarkets!DT27+EOLMarkets!ER27)-EES!AK26</f>
        <v>1</v>
      </c>
      <c r="W25" s="175"/>
      <c r="X25" s="175" t="n">
        <f aca="false">+X24+O25</f>
        <v>14128547</v>
      </c>
      <c r="Y25" s="25"/>
      <c r="Z25" s="230" t="str">
        <f aca="false">IF(Y25="","",X25-Y25)</f>
        <v/>
      </c>
      <c r="AA25" s="1"/>
      <c r="AB25" s="1" t="n">
        <f aca="false">ROUND(+V25/2,0)</f>
        <v>1</v>
      </c>
      <c r="AC25" s="1"/>
      <c r="AD25" s="174" t="n">
        <v>0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3.5" hidden="false" customHeight="false" outlineLevel="0" collapsed="false">
      <c r="A26" s="221" t="n">
        <f aca="false">BaseloadMarkets!A28</f>
        <v>36700</v>
      </c>
      <c r="B26" s="222" t="n">
        <f aca="false">+EES!C27</f>
        <v>70000</v>
      </c>
      <c r="C26" s="223" t="n">
        <v>0</v>
      </c>
      <c r="D26" s="224" t="n">
        <v>0</v>
      </c>
      <c r="E26" s="224" t="n">
        <v>0</v>
      </c>
      <c r="F26" s="222" t="n">
        <v>0</v>
      </c>
      <c r="G26" s="222" t="n">
        <f aca="false">+BaseloadMarkets!DS28+OCCMarkets!CN28+SwingMarkets!DS28+EOLMarkets!ER28</f>
        <v>1079650</v>
      </c>
      <c r="H26" s="225" t="n">
        <f aca="false">SUM(B26:G26)</f>
        <v>1149650</v>
      </c>
      <c r="J26" s="224" t="n">
        <v>0</v>
      </c>
      <c r="K26" s="226" t="n">
        <v>0</v>
      </c>
      <c r="L26" s="224" t="n">
        <f aca="false">13911+20237</f>
        <v>34148</v>
      </c>
      <c r="M26" s="222" t="n">
        <f aca="false">Supplies!BD28+EOLSupplies!DT28</f>
        <v>1079882</v>
      </c>
      <c r="N26" s="222" t="n">
        <v>0</v>
      </c>
      <c r="O26" s="225" t="n">
        <f aca="false">SUM(J26:N26)</f>
        <v>1114030</v>
      </c>
      <c r="P26" s="227" t="n">
        <f aca="false">A26</f>
        <v>36700</v>
      </c>
      <c r="Q26" s="126"/>
      <c r="R26" s="228" t="n">
        <f aca="false">+O26-H26</f>
        <v>-35620</v>
      </c>
      <c r="S26" s="228" t="n">
        <f aca="false">S25+R26</f>
        <v>88778</v>
      </c>
      <c r="T26" s="229" t="n">
        <f aca="false">A26</f>
        <v>36700</v>
      </c>
      <c r="U26" s="230"/>
      <c r="V26" s="175" t="n">
        <f aca="false">M26+L26-B26-(+BaseloadMarkets!DT28+OCCMarkets!CO28+SwingMarkets!DT28+EOLMarkets!ER28)-EES!AK27</f>
        <v>0</v>
      </c>
      <c r="W26" s="175"/>
      <c r="X26" s="175" t="n">
        <f aca="false">+X25+O26</f>
        <v>15242577</v>
      </c>
      <c r="Y26" s="25"/>
      <c r="Z26" s="230" t="str">
        <f aca="false">IF(Y26="","",X26-Y26)</f>
        <v/>
      </c>
      <c r="AA26" s="1"/>
      <c r="AB26" s="1" t="n">
        <f aca="false">ROUND(+V26/2,0)</f>
        <v>0</v>
      </c>
      <c r="AD26" s="174" t="n">
        <v>0</v>
      </c>
    </row>
    <row r="27" customFormat="false" ht="13.5" hidden="false" customHeight="false" outlineLevel="0" collapsed="false">
      <c r="A27" s="221" t="n">
        <f aca="false">BaseloadMarkets!A29</f>
        <v>36701</v>
      </c>
      <c r="B27" s="222" t="n">
        <f aca="false">+EES!C28</f>
        <v>70000</v>
      </c>
      <c r="C27" s="223" t="n">
        <v>0</v>
      </c>
      <c r="D27" s="224" t="n">
        <v>0</v>
      </c>
      <c r="E27" s="224" t="n">
        <v>0</v>
      </c>
      <c r="F27" s="222" t="n">
        <v>0</v>
      </c>
      <c r="G27" s="222" t="n">
        <f aca="false">+BaseloadMarkets!DS29+OCCMarkets!CN29+SwingMarkets!DS29+EOLMarkets!ER29</f>
        <v>574266</v>
      </c>
      <c r="H27" s="225" t="n">
        <f aca="false">SUM(B27:G27)</f>
        <v>644266</v>
      </c>
      <c r="J27" s="224" t="n">
        <v>0</v>
      </c>
      <c r="K27" s="226" t="n">
        <v>0</v>
      </c>
      <c r="L27" s="224" t="n">
        <f aca="false">12223+23995</f>
        <v>36218</v>
      </c>
      <c r="M27" s="222" t="n">
        <f aca="false">Supplies!BD29+EOLSupplies!DT29</f>
        <v>567369</v>
      </c>
      <c r="N27" s="222" t="n">
        <v>0</v>
      </c>
      <c r="O27" s="225" t="n">
        <f aca="false">SUM(J27:N27)</f>
        <v>603587</v>
      </c>
      <c r="P27" s="227" t="n">
        <f aca="false">A27</f>
        <v>36701</v>
      </c>
      <c r="Q27" s="129"/>
      <c r="R27" s="228" t="n">
        <f aca="false">+O27-H27</f>
        <v>-40679</v>
      </c>
      <c r="S27" s="231" t="n">
        <f aca="false">S26+R27</f>
        <v>48099</v>
      </c>
      <c r="T27" s="229" t="n">
        <f aca="false">A27</f>
        <v>36701</v>
      </c>
      <c r="U27" s="230"/>
      <c r="V27" s="175" t="n">
        <f aca="false">M27+L27-B27-(+BaseloadMarkets!DT29+OCCMarkets!CO29+SwingMarkets!DT29+EOLMarkets!ER29)-EES!AK28</f>
        <v>0</v>
      </c>
      <c r="W27" s="175"/>
      <c r="X27" s="175" t="n">
        <f aca="false">+X26+O27</f>
        <v>15846164</v>
      </c>
      <c r="Y27" s="25"/>
      <c r="Z27" s="230" t="str">
        <f aca="false">IF(Y27="","",X27-Y27)</f>
        <v/>
      </c>
      <c r="AA27" s="1"/>
      <c r="AB27" s="1" t="n">
        <f aca="false">ROUND(+V27/2,0)</f>
        <v>0</v>
      </c>
      <c r="AD27" s="174" t="n">
        <v>0</v>
      </c>
    </row>
    <row r="28" customFormat="false" ht="13.5" hidden="false" customHeight="false" outlineLevel="0" collapsed="false">
      <c r="A28" s="221" t="n">
        <f aca="false">BaseloadMarkets!A30</f>
        <v>36702</v>
      </c>
      <c r="B28" s="222" t="n">
        <f aca="false">+EES!C29</f>
        <v>70000</v>
      </c>
      <c r="C28" s="223" t="n">
        <v>0</v>
      </c>
      <c r="D28" s="224" t="n">
        <v>0</v>
      </c>
      <c r="E28" s="224" t="n">
        <v>0</v>
      </c>
      <c r="F28" s="222" t="n">
        <v>0</v>
      </c>
      <c r="G28" s="222" t="n">
        <f aca="false">+BaseloadMarkets!DS30+OCCMarkets!CN30+SwingMarkets!DS30+EOLMarkets!ER30</f>
        <v>573813</v>
      </c>
      <c r="H28" s="225" t="n">
        <f aca="false">SUM(B28:G28)</f>
        <v>643813</v>
      </c>
      <c r="J28" s="233" t="n">
        <v>0</v>
      </c>
      <c r="K28" s="226" t="n">
        <v>0</v>
      </c>
      <c r="L28" s="224" t="n">
        <f aca="false">11998+22895</f>
        <v>34893</v>
      </c>
      <c r="M28" s="222" t="n">
        <f aca="false">Supplies!BD30+EOLSupplies!DT30</f>
        <v>570209</v>
      </c>
      <c r="N28" s="222" t="n">
        <v>0</v>
      </c>
      <c r="O28" s="225" t="n">
        <f aca="false">SUM(J28:N28)</f>
        <v>605102</v>
      </c>
      <c r="P28" s="227" t="n">
        <f aca="false">A28</f>
        <v>36702</v>
      </c>
      <c r="Q28" s="126"/>
      <c r="R28" s="228" t="n">
        <f aca="false">+O28-H28</f>
        <v>-38711</v>
      </c>
      <c r="S28" s="228" t="n">
        <f aca="false">S27+R28</f>
        <v>9388</v>
      </c>
      <c r="T28" s="229" t="n">
        <f aca="false">A28</f>
        <v>36702</v>
      </c>
      <c r="U28" s="230"/>
      <c r="V28" s="175" t="n">
        <f aca="false">M28+L28-B28-(+BaseloadMarkets!DT30+OCCMarkets!CO30+SwingMarkets!DT30+EOLMarkets!ER30)-EES!AK29</f>
        <v>0</v>
      </c>
      <c r="W28" s="175"/>
      <c r="X28" s="175" t="n">
        <f aca="false">+X27+O28</f>
        <v>16451266</v>
      </c>
      <c r="Y28" s="25"/>
      <c r="Z28" s="230" t="str">
        <f aca="false">IF(Y28="","",X28-Y28)</f>
        <v/>
      </c>
      <c r="AA28" s="1"/>
      <c r="AB28" s="1" t="n">
        <f aca="false">ROUND(+V28/2,0)</f>
        <v>0</v>
      </c>
      <c r="AD28" s="174" t="n">
        <v>0</v>
      </c>
    </row>
    <row r="29" customFormat="false" ht="13.5" hidden="false" customHeight="false" outlineLevel="0" collapsed="false">
      <c r="A29" s="221" t="n">
        <f aca="false">BaseloadMarkets!A31</f>
        <v>36703</v>
      </c>
      <c r="B29" s="222" t="n">
        <f aca="false">+EES!C30</f>
        <v>70000</v>
      </c>
      <c r="C29" s="223" t="n">
        <v>0</v>
      </c>
      <c r="D29" s="224" t="n">
        <v>0</v>
      </c>
      <c r="E29" s="224" t="n">
        <v>0</v>
      </c>
      <c r="F29" s="222" t="n">
        <v>0</v>
      </c>
      <c r="G29" s="222" t="n">
        <f aca="false">+BaseloadMarkets!DS31+OCCMarkets!CN31+SwingMarkets!DS31+EOLMarkets!ER31</f>
        <v>580683</v>
      </c>
      <c r="H29" s="225" t="n">
        <f aca="false">SUM(B29:G29)</f>
        <v>650683</v>
      </c>
      <c r="J29" s="224" t="n">
        <v>0</v>
      </c>
      <c r="K29" s="226" t="n">
        <v>0</v>
      </c>
      <c r="L29" s="224" t="n">
        <f aca="false">11266+21194</f>
        <v>32460</v>
      </c>
      <c r="M29" s="222" t="n">
        <f aca="false">Supplies!BD31+EOLSupplies!DT31</f>
        <v>609225</v>
      </c>
      <c r="N29" s="222" t="n">
        <v>0</v>
      </c>
      <c r="O29" s="225" t="n">
        <f aca="false">SUM(J29:N29)</f>
        <v>641685</v>
      </c>
      <c r="P29" s="227" t="n">
        <f aca="false">A29</f>
        <v>36703</v>
      </c>
      <c r="Q29" s="129"/>
      <c r="R29" s="228" t="n">
        <f aca="false">+O29-H29</f>
        <v>-8998</v>
      </c>
      <c r="S29" s="231" t="n">
        <f aca="false">S28+R29</f>
        <v>390</v>
      </c>
      <c r="T29" s="229" t="n">
        <f aca="false">A29</f>
        <v>36703</v>
      </c>
      <c r="U29" s="230"/>
      <c r="V29" s="175" t="n">
        <f aca="false">M29+L29-B29-(+BaseloadMarkets!DT31+OCCMarkets!CO31+SwingMarkets!DT31+EOLMarkets!ER31)-EES!AK30</f>
        <v>0</v>
      </c>
      <c r="W29" s="175"/>
      <c r="X29" s="175" t="n">
        <f aca="false">+X28+O29</f>
        <v>17092951</v>
      </c>
      <c r="Y29" s="25"/>
      <c r="Z29" s="230" t="str">
        <f aca="false">IF(Y29="","",X29-Y29)</f>
        <v/>
      </c>
      <c r="AA29" s="1"/>
      <c r="AB29" s="1" t="n">
        <f aca="false">ROUND(+V29/2,0)</f>
        <v>0</v>
      </c>
      <c r="AD29" s="174" t="n">
        <v>0</v>
      </c>
    </row>
    <row r="30" customFormat="false" ht="13.5" hidden="false" customHeight="false" outlineLevel="0" collapsed="false">
      <c r="A30" s="221" t="n">
        <f aca="false">BaseloadMarkets!A32</f>
        <v>36704</v>
      </c>
      <c r="B30" s="222" t="n">
        <f aca="false">+EES!C31</f>
        <v>70000</v>
      </c>
      <c r="C30" s="223" t="n">
        <v>0</v>
      </c>
      <c r="D30" s="224" t="n">
        <v>0</v>
      </c>
      <c r="E30" s="224" t="n">
        <v>0</v>
      </c>
      <c r="F30" s="222" t="n">
        <v>0</v>
      </c>
      <c r="G30" s="222" t="n">
        <f aca="false">+BaseloadMarkets!DS32+OCCMarkets!CN32+SwingMarkets!DS32+EOLMarkets!ER32</f>
        <v>1069134</v>
      </c>
      <c r="H30" s="225" t="n">
        <f aca="false">SUM(B30:G30)</f>
        <v>1139134</v>
      </c>
      <c r="J30" s="224" t="n">
        <v>0</v>
      </c>
      <c r="K30" s="226" t="n">
        <v>0</v>
      </c>
      <c r="L30" s="224" t="n">
        <f aca="false">20000+26600</f>
        <v>46600</v>
      </c>
      <c r="M30" s="222" t="n">
        <f aca="false">Supplies!BD32+EOLSupplies!DT32</f>
        <v>1056804</v>
      </c>
      <c r="N30" s="222" t="n">
        <v>0</v>
      </c>
      <c r="O30" s="225" t="n">
        <f aca="false">SUM(J30:N30)</f>
        <v>1103404</v>
      </c>
      <c r="P30" s="227" t="n">
        <f aca="false">A30</f>
        <v>36704</v>
      </c>
      <c r="Q30" s="129"/>
      <c r="R30" s="228" t="n">
        <f aca="false">+O30-H30</f>
        <v>-35730</v>
      </c>
      <c r="S30" s="231" t="n">
        <f aca="false">S29+R30</f>
        <v>-35340</v>
      </c>
      <c r="T30" s="229" t="n">
        <f aca="false">A30</f>
        <v>36704</v>
      </c>
      <c r="U30" s="230"/>
      <c r="V30" s="175" t="n">
        <f aca="false">M30+L30-B30-(+BaseloadMarkets!DT32+OCCMarkets!CO32+SwingMarkets!DT32+EOLMarkets!ER32)-EES!AK31</f>
        <v>-1</v>
      </c>
      <c r="W30" s="175"/>
      <c r="X30" s="175" t="n">
        <f aca="false">+X29+O30</f>
        <v>18196355</v>
      </c>
      <c r="Y30" s="25"/>
      <c r="Z30" s="230" t="str">
        <f aca="false">IF(Y30="","",X30-Y30)</f>
        <v/>
      </c>
      <c r="AA30" s="1"/>
      <c r="AB30" s="1" t="n">
        <f aca="false">ROUND(+V30/2,0)</f>
        <v>-1</v>
      </c>
      <c r="AC30" s="1"/>
      <c r="AD30" s="174" t="n">
        <v>0</v>
      </c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3.5" hidden="false" customHeight="false" outlineLevel="0" collapsed="false">
      <c r="A31" s="221" t="n">
        <f aca="false">BaseloadMarkets!A33</f>
        <v>36705</v>
      </c>
      <c r="B31" s="222" t="n">
        <f aca="false">+EES!C32</f>
        <v>70000</v>
      </c>
      <c r="C31" s="223" t="n">
        <v>0</v>
      </c>
      <c r="D31" s="224" t="n">
        <v>0</v>
      </c>
      <c r="E31" s="224" t="n">
        <v>0</v>
      </c>
      <c r="F31" s="222" t="n">
        <v>0</v>
      </c>
      <c r="G31" s="222" t="n">
        <f aca="false">+BaseloadMarkets!DS33+OCCMarkets!CN33+SwingMarkets!DS33+EOLMarkets!ER33</f>
        <v>916227</v>
      </c>
      <c r="H31" s="225" t="n">
        <f aca="false">SUM(B31:G31)</f>
        <v>986227</v>
      </c>
      <c r="J31" s="224" t="n">
        <v>0</v>
      </c>
      <c r="K31" s="226" t="n">
        <v>0</v>
      </c>
      <c r="L31" s="224" t="n">
        <f aca="false">17651+28606</f>
        <v>46257</v>
      </c>
      <c r="M31" s="222" t="n">
        <f aca="false">Supplies!BD33+EOLSupplies!DT33</f>
        <v>1001362</v>
      </c>
      <c r="N31" s="222" t="n">
        <v>0</v>
      </c>
      <c r="O31" s="225" t="n">
        <f aca="false">SUM(J31:N31)</f>
        <v>1047619</v>
      </c>
      <c r="P31" s="227" t="n">
        <f aca="false">A31</f>
        <v>36705</v>
      </c>
      <c r="Q31" s="129"/>
      <c r="R31" s="228" t="n">
        <f aca="false">+O31-H31</f>
        <v>61392</v>
      </c>
      <c r="S31" s="231" t="n">
        <f aca="false">S30+R31</f>
        <v>26052</v>
      </c>
      <c r="T31" s="229" t="n">
        <f aca="false">A31</f>
        <v>36705</v>
      </c>
      <c r="U31" s="230"/>
      <c r="V31" s="175" t="n">
        <f aca="false">M31+L31-B31-(+BaseloadMarkets!DT33+OCCMarkets!CO33+SwingMarkets!DT33+EOLMarkets!ER33)-EES!AK32</f>
        <v>0</v>
      </c>
      <c r="W31" s="175"/>
      <c r="X31" s="175" t="n">
        <f aca="false">+X30+O31</f>
        <v>19243974</v>
      </c>
      <c r="Y31" s="25"/>
      <c r="Z31" s="230" t="str">
        <f aca="false">IF(Y31="","",X31-Y31)</f>
        <v/>
      </c>
      <c r="AA31" s="1"/>
      <c r="AB31" s="1" t="n">
        <f aca="false">ROUND(+V31/2,0)</f>
        <v>0</v>
      </c>
      <c r="AC31" s="1"/>
      <c r="AD31" s="174" t="n">
        <v>0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3.5" hidden="false" customHeight="false" outlineLevel="0" collapsed="false">
      <c r="A32" s="221" t="n">
        <f aca="false">BaseloadMarkets!A34</f>
        <v>36706</v>
      </c>
      <c r="B32" s="222" t="n">
        <f aca="false">+EES!C33</f>
        <v>70000</v>
      </c>
      <c r="C32" s="223" t="n">
        <v>0</v>
      </c>
      <c r="D32" s="224" t="n">
        <v>0</v>
      </c>
      <c r="E32" s="224" t="n">
        <v>0</v>
      </c>
      <c r="F32" s="222" t="n">
        <v>0</v>
      </c>
      <c r="G32" s="222" t="n">
        <f aca="false">+BaseloadMarkets!DS34+OCCMarkets!CN34+SwingMarkets!DS34+EOLMarkets!ER34</f>
        <v>1001548</v>
      </c>
      <c r="H32" s="225" t="n">
        <f aca="false">SUM(B32:G32)</f>
        <v>1071548</v>
      </c>
      <c r="J32" s="224" t="n">
        <v>0</v>
      </c>
      <c r="K32" s="226" t="n">
        <v>0</v>
      </c>
      <c r="L32" s="224" t="n">
        <f aca="false">20000+15519</f>
        <v>35519</v>
      </c>
      <c r="M32" s="222" t="n">
        <f aca="false">Supplies!BD34+EOLSupplies!DT34</f>
        <v>971764</v>
      </c>
      <c r="N32" s="222" t="n">
        <v>0</v>
      </c>
      <c r="O32" s="225" t="n">
        <f aca="false">SUM(J32:N32)</f>
        <v>1007283</v>
      </c>
      <c r="P32" s="227" t="n">
        <f aca="false">A32</f>
        <v>36706</v>
      </c>
      <c r="Q32" s="129"/>
      <c r="R32" s="228" t="n">
        <f aca="false">+O32-H32</f>
        <v>-64265</v>
      </c>
      <c r="S32" s="231" t="n">
        <f aca="false">S31+R32</f>
        <v>-38213</v>
      </c>
      <c r="T32" s="229" t="n">
        <f aca="false">A32</f>
        <v>36706</v>
      </c>
      <c r="U32" s="230"/>
      <c r="V32" s="175" t="n">
        <f aca="false">M32+L32-B32-(+BaseloadMarkets!DT34+OCCMarkets!CO34+SwingMarkets!DT34+EOLMarkets!ER34)-EES!AK33</f>
        <v>0</v>
      </c>
      <c r="W32" s="175"/>
      <c r="X32" s="175" t="n">
        <f aca="false">+X31+O32</f>
        <v>20251257</v>
      </c>
      <c r="Y32" s="25"/>
      <c r="Z32" s="230" t="str">
        <f aca="false">IF(Y32="","",X32-Y32)</f>
        <v/>
      </c>
      <c r="AA32" s="1"/>
      <c r="AB32" s="1" t="n">
        <f aca="false">ROUND(+V32/2,0)</f>
        <v>0</v>
      </c>
      <c r="AC32" s="1"/>
      <c r="AD32" s="174" t="n">
        <v>0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3.5" hidden="false" customHeight="false" outlineLevel="0" collapsed="false">
      <c r="A33" s="221" t="n">
        <f aca="false">BaseloadMarkets!A35</f>
        <v>36707</v>
      </c>
      <c r="B33" s="222" t="n">
        <f aca="false">+EES!C34</f>
        <v>70000</v>
      </c>
      <c r="C33" s="223" t="n">
        <v>0</v>
      </c>
      <c r="D33" s="224" t="n">
        <v>0</v>
      </c>
      <c r="E33" s="224" t="n">
        <v>0</v>
      </c>
      <c r="F33" s="222" t="n">
        <v>0</v>
      </c>
      <c r="G33" s="222" t="n">
        <f aca="false">+BaseloadMarkets!DS35+OCCMarkets!CN35+SwingMarkets!DS35+EOLMarkets!ER35</f>
        <v>534137</v>
      </c>
      <c r="H33" s="225" t="n">
        <f aca="false">SUM(B33:G33)</f>
        <v>604137</v>
      </c>
      <c r="J33" s="224" t="n">
        <v>0</v>
      </c>
      <c r="K33" s="226" t="n">
        <v>0</v>
      </c>
      <c r="L33" s="224" t="n">
        <f aca="false">20734+12640</f>
        <v>33374</v>
      </c>
      <c r="M33" s="222" t="n">
        <f aca="false">Supplies!BD35+EOLSupplies!DT35</f>
        <v>598981</v>
      </c>
      <c r="N33" s="222" t="n">
        <v>0</v>
      </c>
      <c r="O33" s="225" t="n">
        <f aca="false">SUM(J33:N33)</f>
        <v>632355</v>
      </c>
      <c r="P33" s="227" t="n">
        <f aca="false">A33</f>
        <v>36707</v>
      </c>
      <c r="Q33" s="129"/>
      <c r="R33" s="228" t="n">
        <f aca="false">+O33-H33</f>
        <v>28218</v>
      </c>
      <c r="S33" s="231" t="n">
        <f aca="false">S32+R33</f>
        <v>-9995</v>
      </c>
      <c r="T33" s="229" t="n">
        <f aca="false">A33</f>
        <v>36707</v>
      </c>
      <c r="U33" s="230"/>
      <c r="V33" s="175" t="n">
        <f aca="false">M33+L33-B33-(+BaseloadMarkets!DT35+OCCMarkets!CO35+SwingMarkets!DT35+EOLMarkets!ER35)-EES!AK34</f>
        <v>0</v>
      </c>
      <c r="W33" s="175"/>
      <c r="X33" s="175" t="n">
        <f aca="false">+X32+O33</f>
        <v>20883612</v>
      </c>
      <c r="Y33" s="25" t="n">
        <v>20883618</v>
      </c>
      <c r="Z33" s="230" t="n">
        <f aca="false">IF(Y33="","",X33-Y33)</f>
        <v>-6</v>
      </c>
      <c r="AA33" s="1"/>
      <c r="AB33" s="1" t="n">
        <f aca="false">ROUND(+V33/2,0)</f>
        <v>0</v>
      </c>
      <c r="AC33" s="1"/>
      <c r="AD33" s="174" t="n">
        <v>0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3.5" hidden="false" customHeight="false" outlineLevel="0" collapsed="false">
      <c r="A34" s="221"/>
      <c r="B34" s="222"/>
      <c r="C34" s="223"/>
      <c r="D34" s="224"/>
      <c r="E34" s="224"/>
      <c r="F34" s="222"/>
      <c r="G34" s="222"/>
      <c r="H34" s="225"/>
      <c r="J34" s="224"/>
      <c r="K34" s="226"/>
      <c r="L34" s="224"/>
      <c r="M34" s="222"/>
      <c r="N34" s="222"/>
      <c r="O34" s="225"/>
      <c r="P34" s="227"/>
      <c r="Q34" s="129"/>
      <c r="R34" s="228"/>
      <c r="S34" s="231"/>
      <c r="T34" s="229"/>
      <c r="U34" s="230"/>
      <c r="V34" s="175"/>
      <c r="W34" s="175"/>
      <c r="X34" s="175"/>
      <c r="Y34" s="25"/>
      <c r="Z34" s="1"/>
      <c r="AA34" s="1"/>
      <c r="AB34" s="174"/>
      <c r="AC34" s="1"/>
      <c r="AD34" s="174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3.5" hidden="false" customHeight="false" outlineLevel="0" collapsed="false">
      <c r="A35" s="234" t="s">
        <v>72</v>
      </c>
      <c r="B35" s="235" t="n">
        <f aca="false">SUM(B4:B34)</f>
        <v>2100000</v>
      </c>
      <c r="C35" s="236" t="n">
        <f aca="false">SUM(C4:C34)</f>
        <v>0</v>
      </c>
      <c r="D35" s="237" t="n">
        <f aca="false">SUM(D4:D34)</f>
        <v>0</v>
      </c>
      <c r="E35" s="236" t="n">
        <f aca="false">SUM(E4:E34)</f>
        <v>0</v>
      </c>
      <c r="F35" s="236" t="n">
        <f aca="false">SUM(F4:F34)</f>
        <v>0</v>
      </c>
      <c r="G35" s="238" t="n">
        <f aca="false">SUM(G4:G34)</f>
        <v>18793607</v>
      </c>
      <c r="H35" s="239" t="n">
        <f aca="false">SUM(H4:H34)</f>
        <v>20893607</v>
      </c>
      <c r="J35" s="240" t="n">
        <f aca="false">SUM(J4:J34)</f>
        <v>0</v>
      </c>
      <c r="K35" s="238" t="n">
        <f aca="false">SUM(K4:K34)</f>
        <v>0</v>
      </c>
      <c r="L35" s="241" t="n">
        <f aca="false">SUM(L4:L34)</f>
        <v>1157376</v>
      </c>
      <c r="M35" s="238" t="n">
        <f aca="false">SUM(M4:M34)</f>
        <v>19726236</v>
      </c>
      <c r="N35" s="238" t="n">
        <f aca="false">SUM(N4:N34)</f>
        <v>0</v>
      </c>
      <c r="O35" s="238" t="n">
        <f aca="false">SUM(O4:O34)</f>
        <v>20883612</v>
      </c>
      <c r="P35" s="29" t="s">
        <v>42</v>
      </c>
      <c r="Q35" s="29" t="s">
        <v>42</v>
      </c>
      <c r="R35" s="242" t="n">
        <f aca="false">SUM(R4:R34)</f>
        <v>-9995</v>
      </c>
      <c r="S35" s="29"/>
      <c r="T35" s="29"/>
      <c r="U35" s="29"/>
      <c r="V35" s="236" t="n">
        <f aca="false">SUM(V4:V34)</f>
        <v>1</v>
      </c>
      <c r="W35" s="29"/>
      <c r="X35" s="29"/>
      <c r="Y35" s="29"/>
      <c r="Z35" s="29"/>
      <c r="AA35" s="29"/>
      <c r="AB35" s="146" t="n">
        <f aca="false">SUM(AB26:AB33)</f>
        <v>-1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</row>
    <row r="36" customFormat="false" ht="12.75" hidden="false" customHeight="false" outlineLevel="0" collapsed="false">
      <c r="B36" s="230"/>
      <c r="C36" s="230" t="s">
        <v>42</v>
      </c>
      <c r="F36" s="230" t="s">
        <v>42</v>
      </c>
      <c r="G36" s="243"/>
      <c r="H36" s="243"/>
      <c r="K36" s="129"/>
      <c r="M36" s="243"/>
      <c r="N36" s="230"/>
      <c r="O36" s="230"/>
      <c r="P36" s="148"/>
      <c r="Q36" s="126"/>
      <c r="R36" s="146"/>
      <c r="S36" s="230"/>
      <c r="T36" s="230"/>
      <c r="U36" s="230"/>
      <c r="V36" s="175" t="s">
        <v>42</v>
      </c>
      <c r="W36" s="230"/>
      <c r="X36" s="230"/>
    </row>
    <row r="37" customFormat="false" ht="12.75" hidden="false" customHeight="false" outlineLevel="0" collapsed="false">
      <c r="B37" s="230" t="s">
        <v>42</v>
      </c>
      <c r="C37" s="230"/>
      <c r="D37" s="244"/>
      <c r="F37" s="230" t="s">
        <v>42</v>
      </c>
      <c r="G37" s="243"/>
      <c r="H37" s="243" t="s">
        <v>42</v>
      </c>
      <c r="K37" s="129"/>
      <c r="M37" s="243"/>
      <c r="N37" s="230"/>
      <c r="O37" s="230"/>
      <c r="P37" s="148"/>
      <c r="Q37" s="126"/>
      <c r="R37" s="245"/>
      <c r="S37" s="230"/>
      <c r="T37" s="230"/>
      <c r="U37" s="230"/>
      <c r="V37" s="175" t="s">
        <v>205</v>
      </c>
      <c r="W37" s="230"/>
      <c r="X37" s="230"/>
    </row>
    <row r="38" customFormat="false" ht="12.75" hidden="false" customHeight="false" outlineLevel="0" collapsed="false">
      <c r="B38" s="230"/>
      <c r="D38" s="246"/>
      <c r="F38" s="230"/>
      <c r="G38" s="243"/>
      <c r="H38" s="243"/>
      <c r="K38" s="129"/>
      <c r="M38" s="243"/>
      <c r="N38" s="230"/>
      <c r="O38" s="230"/>
      <c r="P38" s="148"/>
      <c r="Q38" s="126"/>
      <c r="R38" s="245"/>
      <c r="S38" s="230"/>
      <c r="T38" s="230"/>
      <c r="U38" s="230"/>
      <c r="V38" s="175" t="s">
        <v>206</v>
      </c>
      <c r="W38" s="230"/>
      <c r="X38" s="230"/>
    </row>
    <row r="39" customFormat="false" ht="12.75" hidden="false" customHeight="false" outlineLevel="0" collapsed="false">
      <c r="B39" s="230"/>
      <c r="C39" s="230"/>
      <c r="D39" s="244" t="s">
        <v>42</v>
      </c>
      <c r="F39" s="230"/>
      <c r="G39" s="243"/>
      <c r="H39" s="243" t="s">
        <v>42</v>
      </c>
      <c r="K39" s="129"/>
      <c r="M39" s="243"/>
      <c r="N39" s="230"/>
      <c r="O39" s="230"/>
      <c r="P39" s="148"/>
      <c r="Q39" s="126"/>
      <c r="R39" s="245"/>
      <c r="S39" s="230"/>
      <c r="T39" s="230"/>
      <c r="U39" s="230"/>
      <c r="V39" s="230"/>
      <c r="W39" s="230"/>
      <c r="X39" s="230"/>
    </row>
    <row r="40" customFormat="false" ht="12.75" hidden="false" customHeight="false" outlineLevel="0" collapsed="false">
      <c r="B40" s="230"/>
      <c r="C40" s="230"/>
      <c r="D40" s="244" t="s">
        <v>42</v>
      </c>
      <c r="F40" s="230"/>
      <c r="G40" s="243"/>
      <c r="H40" s="243"/>
      <c r="K40" s="129"/>
      <c r="M40" s="243"/>
      <c r="N40" s="230"/>
      <c r="O40" s="230"/>
      <c r="P40" s="148"/>
      <c r="Q40" s="126"/>
      <c r="R40" s="245"/>
      <c r="S40" s="230"/>
      <c r="T40" s="230"/>
      <c r="U40" s="230"/>
      <c r="V40" s="230"/>
      <c r="W40" s="230"/>
      <c r="X40" s="230"/>
    </row>
    <row r="41" customFormat="false" ht="12.75" hidden="false" customHeight="false" outlineLevel="0" collapsed="false">
      <c r="B41" s="230"/>
      <c r="D41" s="244" t="s">
        <v>42</v>
      </c>
      <c r="G41" s="243"/>
    </row>
    <row r="42" customFormat="false" ht="12.75" hidden="false" customHeight="false" outlineLevel="0" collapsed="false">
      <c r="D42" s="244" t="s">
        <v>42</v>
      </c>
      <c r="G42" s="243"/>
    </row>
    <row r="43" customFormat="false" ht="12.75" hidden="false" customHeight="false" outlineLevel="0" collapsed="false">
      <c r="D43" s="244" t="s">
        <v>42</v>
      </c>
      <c r="G43" s="243"/>
    </row>
    <row r="44" customFormat="false" ht="12.75" hidden="false" customHeight="false" outlineLevel="0" collapsed="false">
      <c r="D44" s="244" t="s">
        <v>42</v>
      </c>
      <c r="G44" s="243"/>
    </row>
    <row r="45" customFormat="false" ht="12.75" hidden="false" customHeight="false" outlineLevel="0" collapsed="false">
      <c r="D45" s="244" t="s">
        <v>42</v>
      </c>
      <c r="G45" s="243"/>
    </row>
    <row r="46" customFormat="false" ht="12.75" hidden="false" customHeight="false" outlineLevel="0" collapsed="false">
      <c r="D46" s="244" t="s">
        <v>42</v>
      </c>
      <c r="G46" s="243"/>
    </row>
    <row r="47" customFormat="false" ht="12.75" hidden="false" customHeight="false" outlineLevel="0" collapsed="false">
      <c r="D47" s="244" t="s">
        <v>42</v>
      </c>
      <c r="G47" s="243"/>
    </row>
    <row r="48" customFormat="false" ht="12.75" hidden="false" customHeight="false" outlineLevel="0" collapsed="false">
      <c r="G48" s="243"/>
    </row>
  </sheetData>
  <printOptions headings="false" gridLines="true" gridLinesSet="true" horizontalCentered="true" verticalCentered="true"/>
  <pageMargins left="0.25" right="0.24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25.15234375" defaultRowHeight="12.95" customHeight="true" zeroHeight="false" outlineLevelRow="0" outlineLevelCol="0"/>
  <cols>
    <col collapsed="false" customWidth="true" hidden="false" outlineLevel="0" max="1" min="1" style="247" width="37.32"/>
    <col collapsed="false" customWidth="true" hidden="false" outlineLevel="0" max="2" min="2" style="248" width="16.82"/>
    <col collapsed="false" customWidth="true" hidden="false" outlineLevel="0" max="3" min="3" style="248" width="11.82"/>
    <col collapsed="false" customWidth="false" hidden="false" outlineLevel="0" max="4" min="4" style="249" width="25.15"/>
    <col collapsed="false" customWidth="true" hidden="false" outlineLevel="0" max="5" min="5" style="249" width="1.82"/>
    <col collapsed="false" customWidth="true" hidden="false" outlineLevel="0" max="6" min="6" style="249" width="18.82"/>
    <col collapsed="false" customWidth="true" hidden="false" outlineLevel="0" max="7" min="7" style="248" width="1.82"/>
    <col collapsed="false" customWidth="true" hidden="false" outlineLevel="0" max="8" min="8" style="248" width="30.65"/>
    <col collapsed="false" customWidth="true" hidden="false" outlineLevel="0" max="9" min="9" style="250" width="4.49"/>
    <col collapsed="false" customWidth="true" hidden="false" outlineLevel="0" max="10" min="10" style="248" width="23.82"/>
    <col collapsed="false" customWidth="true" hidden="false" outlineLevel="0" max="11" min="11" style="248" width="12.82"/>
    <col collapsed="false" customWidth="true" hidden="false" outlineLevel="0" max="12" min="12" style="248" width="18.82"/>
    <col collapsed="false" customWidth="true" hidden="false" outlineLevel="0" max="13" min="13" style="248" width="12.99"/>
    <col collapsed="false" customWidth="true" hidden="false" outlineLevel="0" max="14" min="14" style="251" width="12.32"/>
    <col collapsed="false" customWidth="true" hidden="false" outlineLevel="0" max="15" min="15" style="248" width="13.15"/>
    <col collapsed="false" customWidth="true" hidden="false" outlineLevel="0" max="16" min="16" style="248" width="12.15"/>
    <col collapsed="false" customWidth="false" hidden="false" outlineLevel="0" max="257" min="17" style="248" width="25.15"/>
  </cols>
  <sheetData>
    <row r="1" customFormat="false" ht="27" hidden="false" customHeight="true" outlineLevel="0" collapsed="false">
      <c r="A1" s="252" t="s">
        <v>207</v>
      </c>
      <c r="B1" s="253"/>
      <c r="C1" s="254" t="n">
        <v>36707</v>
      </c>
      <c r="D1" s="254"/>
      <c r="E1" s="255"/>
      <c r="F1" s="255"/>
      <c r="G1" s="256"/>
      <c r="H1" s="256"/>
      <c r="I1" s="257"/>
      <c r="J1" s="258"/>
      <c r="L1" s="247"/>
      <c r="M1" s="247"/>
    </row>
    <row r="2" customFormat="false" ht="18" hidden="false" customHeight="true" outlineLevel="0" collapsed="false">
      <c r="B2" s="253"/>
      <c r="C2" s="259"/>
      <c r="E2" s="255"/>
      <c r="F2" s="260"/>
      <c r="G2" s="256"/>
      <c r="H2" s="261"/>
      <c r="I2" s="261"/>
      <c r="J2" s="261"/>
      <c r="K2" s="261"/>
      <c r="L2" s="261"/>
      <c r="M2" s="261"/>
    </row>
    <row r="3" customFormat="false" ht="18" hidden="false" customHeight="true" outlineLevel="0" collapsed="false">
      <c r="B3" s="261"/>
      <c r="C3" s="261"/>
      <c r="D3" s="256"/>
      <c r="E3" s="262"/>
      <c r="F3" s="263" t="s">
        <v>208</v>
      </c>
      <c r="G3" s="264"/>
      <c r="H3" s="251" t="s">
        <v>209</v>
      </c>
      <c r="I3" s="251"/>
      <c r="J3" s="251" t="s">
        <v>210</v>
      </c>
      <c r="K3" s="251"/>
      <c r="L3" s="251"/>
      <c r="M3" s="251"/>
    </row>
    <row r="4" customFormat="false" ht="18" hidden="false" customHeight="true" outlineLevel="0" collapsed="false">
      <c r="A4" s="265" t="s">
        <v>211</v>
      </c>
      <c r="F4" s="266" t="s">
        <v>94</v>
      </c>
      <c r="G4" s="264"/>
      <c r="H4" s="266" t="s">
        <v>94</v>
      </c>
      <c r="I4" s="266"/>
      <c r="J4" s="266" t="s">
        <v>212</v>
      </c>
      <c r="K4" s="266"/>
      <c r="L4" s="267"/>
      <c r="M4" s="267"/>
    </row>
    <row r="5" customFormat="false" ht="18" hidden="false" customHeight="true" outlineLevel="0" collapsed="false">
      <c r="A5" s="268" t="str">
        <f aca="false">+OCCMarkets!C4</f>
        <v>Pasadena</v>
      </c>
      <c r="B5" s="269" t="n">
        <f aca="false">VLOOKUP(+$C$1,Pasadena,3)</f>
        <v>10517</v>
      </c>
      <c r="D5" s="270"/>
      <c r="F5" s="271" t="n">
        <f aca="false">+OCCMarkets!M37</f>
        <v>40648</v>
      </c>
      <c r="G5" s="272"/>
      <c r="H5" s="271" t="n">
        <f aca="false">VLOOKUP(+$C$1,Pasadena,13)</f>
        <v>19284</v>
      </c>
      <c r="I5" s="271"/>
      <c r="J5" s="271" t="n">
        <f aca="false">+VLOOKUP($C$1,Pasadena,14)</f>
        <v>40648</v>
      </c>
      <c r="K5" s="267"/>
      <c r="L5" s="267"/>
      <c r="M5" s="267"/>
    </row>
    <row r="6" customFormat="false" ht="18" hidden="false" customHeight="true" outlineLevel="0" collapsed="false">
      <c r="A6" s="273" t="str">
        <f aca="false">+OCCMarkets!O4</f>
        <v>Akzo/Filtrol</v>
      </c>
      <c r="B6" s="269" t="n">
        <f aca="false">VLOOKUP(+$C$1,Filtrol,15)</f>
        <v>1729</v>
      </c>
      <c r="D6" s="270"/>
      <c r="F6" s="271" t="n">
        <f aca="false">+OCCMarkets!T37</f>
        <v>3370</v>
      </c>
      <c r="G6" s="272"/>
      <c r="H6" s="271" t="n">
        <f aca="false">VLOOKUP(+C1,Filtrol,20)</f>
        <v>12214</v>
      </c>
      <c r="I6" s="271"/>
      <c r="J6" s="271" t="n">
        <f aca="false">+VLOOKUP($C$1,Filtrol,21)</f>
        <v>3370</v>
      </c>
      <c r="K6" s="267"/>
      <c r="L6" s="267"/>
      <c r="M6" s="267"/>
    </row>
    <row r="7" customFormat="false" ht="18" hidden="false" customHeight="true" outlineLevel="0" collapsed="false">
      <c r="A7" s="273" t="str">
        <f aca="false">+OCCMarkets!V4</f>
        <v>CanFibre</v>
      </c>
      <c r="B7" s="269" t="n">
        <f aca="false">VLOOKUP(+$C$1,CanFibre,22)</f>
        <v>1465</v>
      </c>
      <c r="D7" s="270"/>
      <c r="F7" s="271" t="n">
        <f aca="false">+OCCMarkets!AA37</f>
        <v>3674</v>
      </c>
      <c r="G7" s="272"/>
      <c r="H7" s="271" t="n">
        <f aca="false">VLOOKUP($C$1,CanFibre,27)</f>
        <v>2020</v>
      </c>
      <c r="I7" s="271"/>
      <c r="J7" s="271" t="n">
        <f aca="false">VLOOKUP($C$1,CanFibre,28)</f>
        <v>3674</v>
      </c>
      <c r="K7" s="267"/>
      <c r="L7" s="267"/>
      <c r="M7" s="267"/>
    </row>
    <row r="8" customFormat="false" ht="18" hidden="false" customHeight="true" outlineLevel="0" collapsed="false">
      <c r="A8" s="273" t="s">
        <v>213</v>
      </c>
      <c r="B8" s="269" t="n">
        <f aca="false">VLOOKUP(+$C$1,Smurfit,38)</f>
        <v>10582</v>
      </c>
      <c r="D8" s="270"/>
      <c r="F8" s="271" t="n">
        <f aca="false">+Smurfit!AN38</f>
        <v>79433</v>
      </c>
      <c r="G8" s="274"/>
      <c r="H8" s="271" t="n">
        <f aca="false">VLOOKUP($C$1,Smurfit,40)</f>
        <v>15959</v>
      </c>
      <c r="I8" s="275"/>
      <c r="J8" s="271" t="n">
        <f aca="false">VLOOKUP($C$1,Smurfit,41)</f>
        <v>79433</v>
      </c>
      <c r="K8" s="276"/>
      <c r="L8" s="276"/>
      <c r="M8" s="276"/>
    </row>
    <row r="9" customFormat="false" ht="18" hidden="false" customHeight="true" outlineLevel="0" collapsed="false">
      <c r="A9" s="247" t="s">
        <v>214</v>
      </c>
      <c r="B9" s="277" t="n">
        <v>4178</v>
      </c>
      <c r="C9" s="249"/>
      <c r="D9" s="256"/>
      <c r="E9" s="248"/>
      <c r="F9" s="267"/>
      <c r="H9" s="267"/>
      <c r="I9" s="276"/>
      <c r="J9" s="276"/>
      <c r="K9" s="276"/>
      <c r="L9" s="276"/>
      <c r="M9" s="276"/>
    </row>
    <row r="10" customFormat="false" ht="18" hidden="false" customHeight="true" outlineLevel="0" collapsed="false">
      <c r="A10" s="278" t="s">
        <v>20</v>
      </c>
      <c r="B10" s="277" t="n">
        <v>23421</v>
      </c>
      <c r="C10" s="249"/>
      <c r="D10" s="256"/>
      <c r="F10" s="267"/>
      <c r="G10" s="249"/>
      <c r="H10" s="267"/>
      <c r="I10" s="276"/>
      <c r="J10" s="276"/>
      <c r="K10" s="276"/>
      <c r="L10" s="276"/>
      <c r="M10" s="276"/>
    </row>
    <row r="11" customFormat="false" ht="18" hidden="false" customHeight="true" outlineLevel="0" collapsed="false">
      <c r="A11" s="278" t="s">
        <v>23</v>
      </c>
      <c r="B11" s="277" t="n">
        <v>15000</v>
      </c>
      <c r="C11" s="249"/>
      <c r="D11" s="256"/>
      <c r="F11" s="267"/>
      <c r="G11" s="249"/>
      <c r="H11" s="267"/>
      <c r="I11" s="276"/>
      <c r="J11" s="276"/>
      <c r="K11" s="276"/>
      <c r="L11" s="276"/>
      <c r="M11" s="276"/>
    </row>
    <row r="12" customFormat="false" ht="18" hidden="false" customHeight="true" outlineLevel="0" collapsed="false">
      <c r="A12" s="278" t="s">
        <v>24</v>
      </c>
      <c r="B12" s="277" t="n">
        <v>30000</v>
      </c>
      <c r="C12" s="249"/>
      <c r="D12" s="256"/>
      <c r="F12" s="267"/>
      <c r="G12" s="249"/>
      <c r="H12" s="276"/>
      <c r="I12" s="276"/>
      <c r="J12" s="276"/>
      <c r="K12" s="276"/>
      <c r="L12" s="276"/>
      <c r="M12" s="276"/>
    </row>
    <row r="13" customFormat="false" ht="18" hidden="false" customHeight="true" outlineLevel="0" collapsed="false">
      <c r="A13" s="247" t="s">
        <v>162</v>
      </c>
      <c r="B13" s="277" t="n">
        <v>5000</v>
      </c>
      <c r="D13" s="256"/>
      <c r="F13" s="267"/>
      <c r="G13" s="249"/>
      <c r="H13" s="276"/>
      <c r="I13" s="276"/>
      <c r="J13" s="276"/>
      <c r="K13" s="276"/>
      <c r="L13" s="276"/>
      <c r="M13" s="276"/>
    </row>
    <row r="14" customFormat="false" ht="18" hidden="false" customHeight="true" outlineLevel="0" collapsed="false">
      <c r="A14" s="278" t="s">
        <v>36</v>
      </c>
      <c r="B14" s="277" t="n">
        <f aca="false">5000+15000+2740+2740</f>
        <v>25480</v>
      </c>
      <c r="C14" s="249"/>
      <c r="D14" s="256"/>
      <c r="G14" s="249"/>
      <c r="H14" s="276"/>
      <c r="I14" s="276"/>
      <c r="J14" s="276"/>
      <c r="K14" s="276"/>
      <c r="L14" s="276"/>
      <c r="M14" s="276"/>
    </row>
    <row r="15" customFormat="false" ht="18" hidden="false" customHeight="true" outlineLevel="0" collapsed="false">
      <c r="A15" s="278" t="s">
        <v>215</v>
      </c>
      <c r="B15" s="277" t="n">
        <v>20000</v>
      </c>
      <c r="C15" s="249"/>
      <c r="D15" s="256"/>
      <c r="F15" s="267"/>
      <c r="G15" s="249"/>
      <c r="H15" s="276"/>
      <c r="I15" s="276"/>
      <c r="J15" s="276"/>
      <c r="K15" s="276"/>
      <c r="L15" s="276"/>
      <c r="M15" s="276"/>
    </row>
    <row r="16" customFormat="false" ht="18" hidden="false" customHeight="true" outlineLevel="0" collapsed="false">
      <c r="A16" s="278" t="s">
        <v>107</v>
      </c>
      <c r="B16" s="277" t="n">
        <v>10000</v>
      </c>
      <c r="D16" s="256"/>
      <c r="F16" s="267"/>
      <c r="G16" s="249"/>
      <c r="H16" s="276"/>
      <c r="I16" s="276"/>
      <c r="J16" s="276"/>
      <c r="K16" s="276"/>
      <c r="L16" s="276"/>
      <c r="M16" s="276"/>
    </row>
    <row r="17" customFormat="false" ht="18" hidden="false" customHeight="true" outlineLevel="0" collapsed="false">
      <c r="A17" s="278" t="s">
        <v>28</v>
      </c>
      <c r="B17" s="277" t="n">
        <v>5000</v>
      </c>
      <c r="C17" s="249"/>
      <c r="D17" s="256"/>
      <c r="F17" s="267"/>
      <c r="G17" s="249"/>
      <c r="H17" s="276"/>
      <c r="I17" s="276"/>
      <c r="J17" s="276"/>
      <c r="K17" s="276"/>
      <c r="L17" s="276"/>
      <c r="M17" s="276"/>
    </row>
    <row r="18" customFormat="false" ht="18" hidden="false" customHeight="true" outlineLevel="0" collapsed="false">
      <c r="A18" s="278" t="s">
        <v>30</v>
      </c>
      <c r="B18" s="277" t="n">
        <v>20000</v>
      </c>
      <c r="C18" s="249"/>
      <c r="D18" s="256"/>
      <c r="F18" s="276"/>
      <c r="G18" s="249"/>
      <c r="H18" s="276"/>
      <c r="I18" s="276"/>
      <c r="J18" s="276"/>
      <c r="K18" s="276"/>
      <c r="L18" s="276"/>
      <c r="M18" s="276"/>
    </row>
    <row r="19" customFormat="false" ht="18" hidden="false" customHeight="true" outlineLevel="0" collapsed="false">
      <c r="A19" s="278" t="s">
        <v>108</v>
      </c>
      <c r="B19" s="277" t="n">
        <v>20000</v>
      </c>
      <c r="C19" s="249"/>
      <c r="D19" s="256"/>
      <c r="F19" s="267"/>
      <c r="G19" s="249"/>
      <c r="H19" s="276"/>
      <c r="I19" s="276"/>
      <c r="J19" s="276"/>
      <c r="K19" s="276"/>
      <c r="L19" s="276"/>
      <c r="M19" s="276"/>
    </row>
    <row r="20" customFormat="false" ht="18" hidden="false" customHeight="true" outlineLevel="0" collapsed="false">
      <c r="A20" s="247" t="s">
        <v>109</v>
      </c>
      <c r="B20" s="277" t="n">
        <f aca="false">2205+1102</f>
        <v>3307</v>
      </c>
      <c r="C20" s="249"/>
      <c r="D20" s="256"/>
      <c r="F20" s="267"/>
      <c r="G20" s="249"/>
      <c r="H20" s="276"/>
      <c r="I20" s="276"/>
      <c r="J20" s="276"/>
      <c r="K20" s="276"/>
      <c r="L20" s="276"/>
      <c r="M20" s="276"/>
    </row>
    <row r="21" customFormat="false" ht="18" hidden="false" customHeight="true" outlineLevel="0" collapsed="false">
      <c r="A21" s="278"/>
      <c r="B21" s="279"/>
      <c r="C21" s="249"/>
      <c r="D21" s="256"/>
      <c r="F21" s="267"/>
      <c r="G21" s="249"/>
      <c r="H21" s="276"/>
      <c r="I21" s="276"/>
      <c r="J21" s="276"/>
      <c r="K21" s="276"/>
      <c r="L21" s="276"/>
      <c r="M21" s="276"/>
    </row>
    <row r="22" customFormat="false" ht="18" hidden="false" customHeight="true" outlineLevel="0" collapsed="false">
      <c r="A22" s="280" t="s">
        <v>216</v>
      </c>
      <c r="D22" s="281" t="n">
        <f aca="false">SUM(B5:B21)</f>
        <v>205679</v>
      </c>
      <c r="F22" s="267"/>
      <c r="G22" s="249"/>
      <c r="H22" s="276"/>
      <c r="I22" s="276"/>
      <c r="J22" s="276"/>
      <c r="K22" s="276"/>
      <c r="L22" s="276"/>
      <c r="M22" s="276"/>
    </row>
    <row r="23" customFormat="false" ht="18" hidden="false" customHeight="true" outlineLevel="0" collapsed="false">
      <c r="A23" s="282" t="s">
        <v>217</v>
      </c>
      <c r="B23" s="249"/>
      <c r="F23" s="267"/>
      <c r="G23" s="249"/>
      <c r="H23" s="276"/>
      <c r="I23" s="276"/>
      <c r="J23" s="276"/>
      <c r="K23" s="276"/>
      <c r="L23" s="276"/>
      <c r="M23" s="276"/>
    </row>
    <row r="24" customFormat="false" ht="18" hidden="false" customHeight="true" outlineLevel="0" collapsed="false">
      <c r="A24" s="247" t="s">
        <v>218</v>
      </c>
      <c r="B24" s="283" t="n">
        <f aca="false">VLOOKUP(+$C$1,EOLMarkets,153)</f>
        <v>65000</v>
      </c>
      <c r="C24" s="261"/>
      <c r="D24" s="256"/>
      <c r="F24" s="267"/>
      <c r="G24" s="249"/>
      <c r="H24" s="271" t="n">
        <f aca="false">VLOOKUP(+$C$1,EOLMarkets,154)</f>
        <v>0</v>
      </c>
      <c r="I24" s="276"/>
      <c r="J24" s="271" t="n">
        <f aca="false">VLOOKUP(+$C$1,EOLMarkets,155)</f>
        <v>-68773</v>
      </c>
      <c r="K24" s="276"/>
      <c r="L24" s="276"/>
      <c r="M24" s="276"/>
    </row>
    <row r="25" customFormat="false" ht="18" hidden="false" customHeight="true" outlineLevel="0" collapsed="false">
      <c r="A25" s="247" t="s">
        <v>219</v>
      </c>
      <c r="B25" s="283" t="n">
        <f aca="false">VLOOKUP(+$C$1,EOLMarkets,34)</f>
        <v>140000</v>
      </c>
      <c r="C25" s="261"/>
      <c r="D25" s="256"/>
      <c r="F25" s="267"/>
      <c r="G25" s="249"/>
      <c r="H25" s="271" t="n">
        <f aca="false">VLOOKUP(+$C$1,EOLMarkets,157)</f>
        <v>0</v>
      </c>
      <c r="I25" s="276"/>
      <c r="J25" s="271" t="n">
        <f aca="false">VLOOKUP(+$C$1,EOLMarkets,158)</f>
        <v>-88701</v>
      </c>
      <c r="K25" s="276"/>
      <c r="L25" s="276"/>
      <c r="M25" s="276"/>
    </row>
    <row r="26" customFormat="false" ht="18" hidden="false" customHeight="true" outlineLevel="0" collapsed="false">
      <c r="A26" s="280" t="s">
        <v>89</v>
      </c>
      <c r="B26" s="277" t="n">
        <v>20000</v>
      </c>
      <c r="D26" s="256"/>
      <c r="F26" s="267"/>
      <c r="G26" s="249"/>
      <c r="H26" s="276"/>
      <c r="I26" s="276"/>
      <c r="J26" s="276"/>
      <c r="K26" s="276"/>
      <c r="L26" s="276"/>
      <c r="M26" s="276"/>
    </row>
    <row r="27" customFormat="false" ht="18" hidden="false" customHeight="true" outlineLevel="0" collapsed="false">
      <c r="A27" s="284" t="s">
        <v>108</v>
      </c>
      <c r="B27" s="248" t="n">
        <f aca="false">50000+19000+15000-10000+3715+3445</f>
        <v>81160</v>
      </c>
      <c r="D27" s="256"/>
      <c r="F27" s="267"/>
      <c r="G27" s="249"/>
      <c r="H27" s="276"/>
      <c r="I27" s="276"/>
      <c r="J27" s="276"/>
      <c r="K27" s="276"/>
      <c r="L27" s="285" t="s">
        <v>220</v>
      </c>
      <c r="M27" s="285"/>
      <c r="N27" s="285"/>
      <c r="O27" s="285"/>
      <c r="P27" s="285"/>
      <c r="Q27" s="285"/>
      <c r="R27" s="285"/>
    </row>
    <row r="28" customFormat="false" ht="18" hidden="false" customHeight="true" outlineLevel="0" collapsed="false">
      <c r="A28" s="284" t="s">
        <v>124</v>
      </c>
      <c r="B28" s="248" t="n">
        <v>15000</v>
      </c>
      <c r="C28" s="261"/>
      <c r="D28" s="256"/>
      <c r="F28" s="267"/>
      <c r="G28" s="249"/>
      <c r="H28" s="276"/>
      <c r="I28" s="276"/>
      <c r="J28" s="276"/>
      <c r="K28" s="276"/>
      <c r="L28" s="286"/>
      <c r="M28" s="287"/>
      <c r="N28" s="288" t="s">
        <v>221</v>
      </c>
      <c r="O28" s="289" t="n">
        <v>20000</v>
      </c>
      <c r="P28" s="289"/>
      <c r="Q28" s="287"/>
      <c r="R28" s="287"/>
    </row>
    <row r="29" customFormat="false" ht="18" hidden="false" customHeight="true" outlineLevel="0" collapsed="false">
      <c r="D29" s="256"/>
      <c r="F29" s="267"/>
      <c r="G29" s="249"/>
      <c r="H29" s="276"/>
      <c r="I29" s="276"/>
      <c r="J29" s="276"/>
      <c r="K29" s="276"/>
      <c r="L29" s="287"/>
      <c r="M29" s="287"/>
      <c r="N29" s="288" t="s">
        <v>222</v>
      </c>
      <c r="O29" s="289" t="n">
        <f aca="false">+O28*30</f>
        <v>600000</v>
      </c>
      <c r="P29" s="289"/>
      <c r="Q29" s="287"/>
      <c r="R29" s="290"/>
    </row>
    <row r="30" customFormat="false" ht="18" hidden="false" customHeight="true" outlineLevel="0" collapsed="false">
      <c r="A30" s="284"/>
      <c r="D30" s="256"/>
      <c r="F30" s="267"/>
      <c r="G30" s="249"/>
      <c r="H30" s="276"/>
      <c r="I30" s="276"/>
      <c r="J30" s="276"/>
      <c r="K30" s="276"/>
      <c r="L30" s="287"/>
      <c r="M30" s="287"/>
      <c r="N30" s="291"/>
      <c r="O30" s="291"/>
      <c r="P30" s="291"/>
      <c r="Q30" s="287"/>
      <c r="R30" s="290"/>
    </row>
    <row r="31" customFormat="false" ht="18" hidden="false" customHeight="true" outlineLevel="0" collapsed="false">
      <c r="C31" s="261"/>
      <c r="D31" s="256"/>
      <c r="F31" s="267"/>
      <c r="G31" s="249"/>
      <c r="H31" s="276"/>
      <c r="I31" s="276"/>
      <c r="J31" s="276"/>
      <c r="K31" s="276"/>
      <c r="L31" s="292"/>
      <c r="M31" s="293" t="s">
        <v>223</v>
      </c>
      <c r="N31" s="294" t="n">
        <f aca="false">+O28</f>
        <v>20000</v>
      </c>
      <c r="O31" s="291"/>
      <c r="P31" s="295"/>
      <c r="Q31" s="288" t="s">
        <v>224</v>
      </c>
      <c r="R31" s="295" t="n">
        <f aca="false">+VLOOKUP($C$1,Oxy,5)</f>
        <v>600000</v>
      </c>
    </row>
    <row r="32" customFormat="false" ht="18" hidden="false" customHeight="true" outlineLevel="0" collapsed="false">
      <c r="A32" s="284" t="s">
        <v>225</v>
      </c>
      <c r="B32" s="296"/>
      <c r="C32" s="261"/>
      <c r="D32" s="281" t="n">
        <f aca="false">SUM(B24:B31)</f>
        <v>321160</v>
      </c>
      <c r="F32" s="297"/>
      <c r="G32" s="249"/>
      <c r="H32" s="297"/>
      <c r="I32" s="297"/>
      <c r="J32" s="297"/>
      <c r="K32" s="0"/>
      <c r="L32" s="292"/>
      <c r="M32" s="293" t="s">
        <v>226</v>
      </c>
      <c r="N32" s="295" t="n">
        <f aca="false">+VLOOKUP($C$1,Oxy,3)</f>
        <v>0</v>
      </c>
      <c r="O32" s="291"/>
      <c r="P32" s="295"/>
      <c r="Q32" s="288" t="s">
        <v>227</v>
      </c>
      <c r="R32" s="295" t="n">
        <f aca="false">+VLOOKUP($C$1,Oxy,6)</f>
        <v>600000</v>
      </c>
    </row>
    <row r="33" customFormat="false" ht="23.25" hidden="false" customHeight="true" outlineLevel="0" collapsed="false">
      <c r="A33" s="284"/>
      <c r="B33" s="298" t="n">
        <f aca="false">SUM(B5:B32)</f>
        <v>526839</v>
      </c>
      <c r="C33" s="261"/>
      <c r="D33" s="261"/>
      <c r="E33" s="261"/>
      <c r="F33" s="297" t="n">
        <f aca="false">SUM(F5:F21)</f>
        <v>127125</v>
      </c>
      <c r="G33" s="299"/>
      <c r="H33" s="297" t="n">
        <f aca="false">SUM(H5:H31)</f>
        <v>49477</v>
      </c>
      <c r="I33" s="297"/>
      <c r="J33" s="297" t="n">
        <f aca="false">SUM(J5:J31)</f>
        <v>-30349</v>
      </c>
      <c r="K33" s="0"/>
      <c r="L33" s="293"/>
      <c r="M33" s="293" t="s">
        <v>228</v>
      </c>
      <c r="N33" s="300" t="n">
        <f aca="false">+N32-N31</f>
        <v>-20000</v>
      </c>
      <c r="O33" s="291"/>
      <c r="P33" s="295"/>
      <c r="Q33" s="301" t="s">
        <v>229</v>
      </c>
      <c r="R33" s="300" t="n">
        <f aca="false">+VLOOKUP($C$1,Oxy,7)</f>
        <v>0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  <c r="CS33" s="261"/>
      <c r="CT33" s="261"/>
      <c r="CU33" s="261"/>
      <c r="CV33" s="261"/>
      <c r="CW33" s="261"/>
      <c r="CX33" s="261"/>
      <c r="CY33" s="261"/>
      <c r="CZ33" s="261"/>
      <c r="DA33" s="261"/>
      <c r="DB33" s="261"/>
      <c r="DC33" s="261"/>
      <c r="DD33" s="261"/>
      <c r="DE33" s="261"/>
      <c r="DF33" s="261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1"/>
      <c r="DR33" s="261"/>
      <c r="DS33" s="261"/>
      <c r="DT33" s="261"/>
      <c r="DU33" s="261"/>
      <c r="DV33" s="261"/>
      <c r="DW33" s="261"/>
      <c r="DX33" s="261"/>
      <c r="DY33" s="261"/>
      <c r="DZ33" s="261"/>
      <c r="EA33" s="261"/>
      <c r="EB33" s="261"/>
      <c r="EC33" s="261"/>
      <c r="ED33" s="261"/>
      <c r="EE33" s="261"/>
      <c r="EF33" s="261"/>
      <c r="EG33" s="261"/>
      <c r="EH33" s="261"/>
      <c r="EI33" s="261"/>
      <c r="EJ33" s="261"/>
      <c r="EK33" s="261"/>
      <c r="EL33" s="261"/>
      <c r="EM33" s="261"/>
      <c r="EN33" s="261"/>
      <c r="EO33" s="261"/>
      <c r="EP33" s="261"/>
      <c r="EQ33" s="261"/>
      <c r="ER33" s="261"/>
      <c r="ES33" s="261"/>
      <c r="ET33" s="261"/>
      <c r="EU33" s="261"/>
      <c r="EV33" s="261"/>
      <c r="EW33" s="261"/>
      <c r="EX33" s="261"/>
      <c r="EY33" s="261"/>
      <c r="EZ33" s="261"/>
      <c r="FA33" s="261"/>
      <c r="FB33" s="261"/>
      <c r="FC33" s="261"/>
      <c r="FD33" s="261"/>
      <c r="FE33" s="261"/>
      <c r="FF33" s="261"/>
      <c r="FG33" s="261"/>
      <c r="FH33" s="261"/>
      <c r="FI33" s="261"/>
      <c r="FJ33" s="261"/>
      <c r="FK33" s="261"/>
      <c r="FL33" s="261"/>
      <c r="FM33" s="261"/>
      <c r="FN33" s="261"/>
      <c r="FO33" s="261"/>
      <c r="FP33" s="261"/>
      <c r="FQ33" s="261"/>
      <c r="FR33" s="261"/>
      <c r="FS33" s="261"/>
      <c r="FT33" s="261"/>
      <c r="FU33" s="261"/>
      <c r="FV33" s="261"/>
      <c r="FW33" s="261"/>
      <c r="FX33" s="261"/>
      <c r="FY33" s="261"/>
      <c r="FZ33" s="261"/>
      <c r="GA33" s="261"/>
      <c r="GB33" s="261"/>
      <c r="GC33" s="261"/>
      <c r="GD33" s="261"/>
      <c r="GE33" s="261"/>
      <c r="GF33" s="261"/>
      <c r="GG33" s="261"/>
      <c r="GH33" s="261"/>
      <c r="GI33" s="261"/>
      <c r="GJ33" s="261"/>
      <c r="GK33" s="261"/>
      <c r="GL33" s="261"/>
      <c r="GM33" s="261"/>
      <c r="GN33" s="261"/>
      <c r="GO33" s="261"/>
      <c r="GP33" s="261"/>
      <c r="GQ33" s="261"/>
      <c r="GR33" s="261"/>
      <c r="GS33" s="261"/>
      <c r="GT33" s="261"/>
      <c r="GU33" s="261"/>
      <c r="GV33" s="261"/>
      <c r="GW33" s="261"/>
      <c r="GX33" s="261"/>
      <c r="GY33" s="261"/>
      <c r="GZ33" s="261"/>
      <c r="HA33" s="261"/>
      <c r="HB33" s="261"/>
      <c r="HC33" s="261"/>
      <c r="HD33" s="261"/>
      <c r="HE33" s="261"/>
      <c r="HF33" s="261"/>
      <c r="HG33" s="261"/>
      <c r="HH33" s="261"/>
      <c r="HI33" s="261"/>
      <c r="HJ33" s="261"/>
      <c r="HK33" s="261"/>
      <c r="HL33" s="261"/>
      <c r="HM33" s="261"/>
      <c r="HN33" s="261"/>
      <c r="HO33" s="261"/>
      <c r="HP33" s="261"/>
      <c r="HQ33" s="261"/>
      <c r="HR33" s="261"/>
      <c r="HS33" s="261"/>
      <c r="HT33" s="261"/>
      <c r="HU33" s="261"/>
      <c r="HV33" s="261"/>
      <c r="HW33" s="261"/>
      <c r="HX33" s="261"/>
      <c r="HY33" s="261"/>
      <c r="HZ33" s="261"/>
      <c r="IA33" s="261"/>
      <c r="IB33" s="261"/>
      <c r="IC33" s="261"/>
      <c r="ID33" s="261"/>
      <c r="IE33" s="261"/>
      <c r="IF33" s="261"/>
      <c r="IG33" s="261"/>
      <c r="IH33" s="261"/>
      <c r="II33" s="261"/>
      <c r="IJ33" s="261"/>
      <c r="IK33" s="261"/>
      <c r="IL33" s="261"/>
      <c r="IM33" s="261"/>
      <c r="IN33" s="261"/>
      <c r="IO33" s="261"/>
      <c r="IP33" s="261"/>
      <c r="IQ33" s="261"/>
      <c r="IR33" s="261"/>
      <c r="IS33" s="261"/>
      <c r="IT33" s="261"/>
      <c r="IU33" s="261"/>
      <c r="IV33" s="261"/>
      <c r="IW33" s="261"/>
    </row>
    <row r="34" customFormat="false" ht="18" hidden="false" customHeight="true" outlineLevel="0" collapsed="false">
      <c r="B34" s="261"/>
      <c r="F34" s="276"/>
      <c r="G34" s="276"/>
      <c r="H34" s="276"/>
      <c r="I34" s="302"/>
      <c r="J34" s="276"/>
      <c r="K34" s="276"/>
    </row>
    <row r="35" customFormat="false" ht="18" hidden="false" customHeight="true" outlineLevel="0" collapsed="false">
      <c r="B35" s="298"/>
      <c r="F35" s="303"/>
      <c r="H35" s="276"/>
      <c r="L35" s="304" t="s">
        <v>230</v>
      </c>
      <c r="M35" s="304"/>
      <c r="N35" s="304"/>
      <c r="O35" s="304"/>
      <c r="P35" s="304"/>
      <c r="Q35" s="304"/>
      <c r="R35" s="304"/>
    </row>
    <row r="36" customFormat="false" ht="18" hidden="false" customHeight="true" outlineLevel="0" collapsed="false">
      <c r="A36" s="247" t="s">
        <v>231</v>
      </c>
      <c r="B36" s="305"/>
      <c r="F36" s="261"/>
      <c r="H36" s="276"/>
      <c r="L36" s="286"/>
      <c r="M36" s="287"/>
      <c r="N36" s="288" t="s">
        <v>221</v>
      </c>
      <c r="O36" s="289" t="n">
        <f aca="false">4666+16000</f>
        <v>20666</v>
      </c>
      <c r="P36" s="289"/>
      <c r="Q36" s="287"/>
      <c r="R36" s="287"/>
    </row>
    <row r="37" customFormat="false" ht="18" hidden="false" customHeight="true" outlineLevel="0" collapsed="false">
      <c r="A37" s="247" t="s">
        <v>232</v>
      </c>
      <c r="B37" s="306" t="n">
        <v>70000</v>
      </c>
      <c r="F37" s="307"/>
      <c r="H37" s="276"/>
      <c r="L37" s="287"/>
      <c r="M37" s="287"/>
      <c r="N37" s="288" t="s">
        <v>222</v>
      </c>
      <c r="O37" s="289" t="n">
        <f aca="false">+Hub!V37</f>
        <v>619980</v>
      </c>
      <c r="P37" s="289"/>
      <c r="Q37" s="287"/>
      <c r="R37" s="290"/>
    </row>
    <row r="38" customFormat="false" ht="18" hidden="false" customHeight="true" outlineLevel="0" collapsed="false">
      <c r="A38" s="247" t="s">
        <v>233</v>
      </c>
      <c r="B38" s="248" t="n">
        <f aca="false">SUM(B33:B37)</f>
        <v>596839</v>
      </c>
      <c r="F38" s="303"/>
      <c r="H38" s="276"/>
      <c r="L38" s="287"/>
      <c r="M38" s="287"/>
      <c r="N38" s="291"/>
      <c r="O38" s="291"/>
      <c r="P38" s="291"/>
      <c r="Q38" s="287"/>
      <c r="R38" s="290"/>
    </row>
    <row r="39" customFormat="false" ht="18" hidden="false" customHeight="true" outlineLevel="0" collapsed="false">
      <c r="H39" s="276"/>
      <c r="L39" s="292"/>
      <c r="M39" s="293" t="s">
        <v>223</v>
      </c>
      <c r="N39" s="294" t="n">
        <f aca="false">+O36</f>
        <v>20666</v>
      </c>
      <c r="O39" s="291"/>
      <c r="P39" s="295"/>
      <c r="Q39" s="288" t="s">
        <v>224</v>
      </c>
      <c r="R39" s="295" t="n">
        <f aca="false">+VLOOKUP($C$1,Hub,25)</f>
        <v>619980</v>
      </c>
    </row>
    <row r="40" customFormat="false" ht="18" hidden="false" customHeight="true" outlineLevel="0" collapsed="false">
      <c r="H40" s="276"/>
      <c r="L40" s="292"/>
      <c r="M40" s="293" t="s">
        <v>226</v>
      </c>
      <c r="N40" s="295" t="n">
        <f aca="false">+VLOOKUP($C$1,Hub,23)</f>
        <v>23421</v>
      </c>
      <c r="O40" s="291"/>
      <c r="P40" s="295"/>
      <c r="Q40" s="288" t="s">
        <v>227</v>
      </c>
      <c r="R40" s="295" t="n">
        <f aca="false">+VLOOKUP($C$1,Hub,26)</f>
        <v>621080</v>
      </c>
    </row>
    <row r="41" customFormat="false" ht="18" hidden="false" customHeight="true" outlineLevel="0" collapsed="false">
      <c r="A41" s="308" t="s">
        <v>234</v>
      </c>
      <c r="B41" s="309"/>
      <c r="E41" s="248"/>
      <c r="F41" s="310" t="s">
        <v>94</v>
      </c>
      <c r="G41" s="261"/>
      <c r="H41" s="276"/>
      <c r="L41" s="293"/>
      <c r="M41" s="293" t="s">
        <v>228</v>
      </c>
      <c r="N41" s="300" t="n">
        <f aca="false">+N40-N39</f>
        <v>2755</v>
      </c>
      <c r="O41" s="291"/>
      <c r="P41" s="295"/>
      <c r="Q41" s="301" t="s">
        <v>229</v>
      </c>
      <c r="R41" s="300" t="n">
        <f aca="false">+R40-R39</f>
        <v>1100</v>
      </c>
    </row>
    <row r="42" customFormat="false" ht="18" hidden="false" customHeight="true" outlineLevel="0" collapsed="false">
      <c r="A42" s="247" t="s">
        <v>235</v>
      </c>
      <c r="B42" s="277" t="n">
        <v>4178</v>
      </c>
      <c r="D42" s="311"/>
      <c r="E42" s="312"/>
      <c r="F42" s="313"/>
      <c r="G42" s="261"/>
      <c r="H42" s="276"/>
      <c r="I42" s="261"/>
      <c r="J42" s="261"/>
      <c r="K42" s="261"/>
    </row>
    <row r="43" customFormat="false" ht="18" hidden="false" customHeight="true" outlineLevel="0" collapsed="false">
      <c r="A43" s="247" t="s">
        <v>236</v>
      </c>
      <c r="B43" s="277" t="n">
        <v>1000</v>
      </c>
      <c r="D43" s="311"/>
      <c r="E43" s="312"/>
      <c r="F43" s="314"/>
      <c r="G43" s="261"/>
      <c r="H43" s="276"/>
      <c r="L43" s="304" t="s">
        <v>237</v>
      </c>
      <c r="M43" s="304"/>
      <c r="N43" s="304"/>
      <c r="O43" s="304"/>
      <c r="P43" s="304"/>
      <c r="Q43" s="304"/>
      <c r="R43" s="304"/>
    </row>
    <row r="44" customFormat="false" ht="18" hidden="false" customHeight="true" outlineLevel="0" collapsed="false">
      <c r="A44" s="247" t="s">
        <v>162</v>
      </c>
      <c r="B44" s="277" t="n">
        <v>5000</v>
      </c>
      <c r="D44" s="315"/>
      <c r="E44" s="312"/>
      <c r="F44" s="314"/>
      <c r="G44" s="261"/>
      <c r="H44" s="276"/>
      <c r="L44" s="286"/>
      <c r="M44" s="287"/>
      <c r="N44" s="288" t="s">
        <v>221</v>
      </c>
      <c r="O44" s="289" t="n">
        <v>10000</v>
      </c>
      <c r="P44" s="289"/>
      <c r="Q44" s="287"/>
      <c r="R44" s="287"/>
    </row>
    <row r="45" customFormat="false" ht="18" hidden="false" customHeight="true" outlineLevel="0" collapsed="false">
      <c r="A45" s="247" t="s">
        <v>19</v>
      </c>
      <c r="B45" s="277" t="n">
        <v>10000</v>
      </c>
      <c r="D45" s="311"/>
      <c r="E45" s="312"/>
      <c r="F45" s="316"/>
      <c r="G45" s="261"/>
      <c r="H45" s="276"/>
      <c r="L45" s="287"/>
      <c r="M45" s="287"/>
      <c r="N45" s="288" t="s">
        <v>222</v>
      </c>
      <c r="O45" s="289" t="n">
        <f aca="false">+Hub!B37</f>
        <v>300000</v>
      </c>
      <c r="P45" s="289"/>
      <c r="Q45" s="287"/>
      <c r="R45" s="290"/>
    </row>
    <row r="46" customFormat="false" ht="18" hidden="false" customHeight="true" outlineLevel="0" collapsed="false">
      <c r="A46" s="247" t="s">
        <v>20</v>
      </c>
      <c r="B46" s="277" t="n">
        <v>24999</v>
      </c>
      <c r="D46" s="311"/>
      <c r="E46" s="312"/>
      <c r="F46" s="314"/>
      <c r="G46" s="261"/>
      <c r="H46" s="276"/>
      <c r="L46" s="287"/>
      <c r="M46" s="287"/>
      <c r="N46" s="291"/>
      <c r="O46" s="291"/>
      <c r="P46" s="291"/>
      <c r="Q46" s="287"/>
      <c r="R46" s="290"/>
    </row>
    <row r="47" customFormat="false" ht="18" hidden="false" customHeight="true" outlineLevel="0" collapsed="false">
      <c r="A47" s="247" t="s">
        <v>21</v>
      </c>
      <c r="B47" s="277" t="n">
        <v>15000</v>
      </c>
      <c r="D47" s="311"/>
      <c r="E47" s="312"/>
      <c r="F47" s="314"/>
      <c r="G47" s="261"/>
      <c r="H47" s="276"/>
      <c r="L47" s="292"/>
      <c r="M47" s="293" t="s">
        <v>223</v>
      </c>
      <c r="N47" s="294" t="n">
        <f aca="false">+O44</f>
        <v>10000</v>
      </c>
      <c r="O47" s="291"/>
      <c r="P47" s="295"/>
      <c r="Q47" s="288" t="s">
        <v>224</v>
      </c>
      <c r="R47" s="295" t="n">
        <f aca="false">+VLOOKUP($C$1,Hub,5)</f>
        <v>300000</v>
      </c>
    </row>
    <row r="48" customFormat="false" ht="18" hidden="false" customHeight="true" outlineLevel="0" collapsed="false">
      <c r="A48" s="247" t="s">
        <v>22</v>
      </c>
      <c r="B48" s="277" t="n">
        <v>10000</v>
      </c>
      <c r="D48" s="311"/>
      <c r="E48" s="312"/>
      <c r="F48" s="314"/>
      <c r="G48" s="261"/>
      <c r="H48" s="276"/>
      <c r="L48" s="292"/>
      <c r="M48" s="293" t="s">
        <v>226</v>
      </c>
      <c r="N48" s="295" t="n">
        <f aca="false">+VLOOKUP($C$1,Hub,3)</f>
        <v>10000</v>
      </c>
      <c r="O48" s="291"/>
      <c r="P48" s="295"/>
      <c r="Q48" s="288" t="s">
        <v>227</v>
      </c>
      <c r="R48" s="295" t="n">
        <f aca="false">+VLOOKUP($C$1,Hub,6)</f>
        <v>300000</v>
      </c>
    </row>
    <row r="49" customFormat="false" ht="18" hidden="false" customHeight="true" outlineLevel="0" collapsed="false">
      <c r="A49" s="247" t="s">
        <v>23</v>
      </c>
      <c r="B49" s="277" t="n">
        <v>10000</v>
      </c>
      <c r="D49" s="311"/>
      <c r="E49" s="312"/>
      <c r="F49" s="314"/>
      <c r="G49" s="261"/>
      <c r="H49" s="276"/>
      <c r="L49" s="293"/>
      <c r="M49" s="293" t="s">
        <v>228</v>
      </c>
      <c r="N49" s="300" t="n">
        <f aca="false">+N48-N47</f>
        <v>0</v>
      </c>
      <c r="O49" s="291"/>
      <c r="P49" s="295"/>
      <c r="Q49" s="301" t="s">
        <v>229</v>
      </c>
      <c r="R49" s="300" t="n">
        <f aca="false">+R48-R47</f>
        <v>0</v>
      </c>
    </row>
    <row r="50" customFormat="false" ht="18" hidden="false" customHeight="true" outlineLevel="0" collapsed="false">
      <c r="A50" s="247" t="s">
        <v>24</v>
      </c>
      <c r="B50" s="277" t="n">
        <v>10000</v>
      </c>
      <c r="D50" s="311"/>
      <c r="E50" s="312"/>
      <c r="F50" s="314"/>
      <c r="G50" s="261"/>
      <c r="H50" s="276"/>
      <c r="I50" s="261"/>
      <c r="J50" s="261"/>
      <c r="K50" s="261"/>
    </row>
    <row r="51" customFormat="false" ht="18" hidden="false" customHeight="true" outlineLevel="0" collapsed="false">
      <c r="A51" s="247" t="s">
        <v>20</v>
      </c>
      <c r="B51" s="277" t="n">
        <f aca="false">27007</f>
        <v>27007</v>
      </c>
      <c r="D51" s="311"/>
      <c r="E51" s="312"/>
      <c r="F51" s="314"/>
      <c r="G51" s="261"/>
      <c r="H51" s="276"/>
      <c r="I51" s="261"/>
      <c r="J51" s="261"/>
      <c r="K51" s="261"/>
      <c r="L51" s="304" t="s">
        <v>238</v>
      </c>
      <c r="M51" s="304"/>
      <c r="N51" s="304"/>
      <c r="O51" s="304"/>
      <c r="P51" s="304"/>
      <c r="Q51" s="304"/>
      <c r="R51" s="304"/>
    </row>
    <row r="52" customFormat="false" ht="18" hidden="false" customHeight="true" outlineLevel="0" collapsed="false">
      <c r="A52" s="284" t="s">
        <v>15</v>
      </c>
      <c r="B52" s="277" t="n">
        <v>5000</v>
      </c>
      <c r="D52" s="311"/>
      <c r="E52" s="312"/>
      <c r="F52" s="314"/>
      <c r="G52" s="261"/>
      <c r="H52" s="276"/>
      <c r="I52" s="261"/>
      <c r="J52" s="261"/>
      <c r="K52" s="261"/>
      <c r="L52" s="286"/>
      <c r="M52" s="287"/>
      <c r="N52" s="288" t="s">
        <v>221</v>
      </c>
      <c r="O52" s="289" t="n">
        <v>3333</v>
      </c>
      <c r="P52" s="289"/>
      <c r="Q52" s="287"/>
      <c r="R52" s="287"/>
    </row>
    <row r="53" customFormat="false" ht="18" hidden="false" customHeight="true" outlineLevel="0" collapsed="false">
      <c r="A53" s="247" t="s">
        <v>33</v>
      </c>
      <c r="B53" s="277" t="n">
        <v>1400</v>
      </c>
      <c r="D53" s="311"/>
      <c r="E53" s="312"/>
      <c r="F53" s="314"/>
      <c r="G53" s="261"/>
      <c r="H53" s="276"/>
      <c r="I53" s="261"/>
      <c r="J53" s="261"/>
      <c r="K53" s="261"/>
      <c r="L53" s="287"/>
      <c r="M53" s="287"/>
      <c r="N53" s="288" t="s">
        <v>222</v>
      </c>
      <c r="O53" s="289" t="n">
        <f aca="false">+Hub!I37</f>
        <v>99990</v>
      </c>
      <c r="P53" s="289"/>
      <c r="Q53" s="287"/>
      <c r="R53" s="290"/>
    </row>
    <row r="54" customFormat="false" ht="18" hidden="false" customHeight="true" outlineLevel="0" collapsed="false">
      <c r="A54" s="247" t="s">
        <v>25</v>
      </c>
      <c r="B54" s="277" t="n">
        <f aca="false">125000</f>
        <v>125000</v>
      </c>
      <c r="D54" s="311"/>
      <c r="E54" s="312"/>
      <c r="F54" s="314"/>
      <c r="G54" s="261"/>
      <c r="H54" s="276"/>
      <c r="L54" s="287"/>
      <c r="M54" s="287"/>
      <c r="N54" s="291"/>
      <c r="O54" s="291"/>
      <c r="P54" s="291"/>
      <c r="Q54" s="287"/>
      <c r="R54" s="290"/>
    </row>
    <row r="55" customFormat="false" ht="18" hidden="false" customHeight="true" outlineLevel="0" collapsed="false">
      <c r="A55" s="247" t="s">
        <v>26</v>
      </c>
      <c r="B55" s="277" t="n">
        <v>15000</v>
      </c>
      <c r="D55" s="311"/>
      <c r="E55" s="312"/>
      <c r="F55" s="314"/>
      <c r="G55" s="261"/>
      <c r="H55" s="276"/>
      <c r="L55" s="292"/>
      <c r="M55" s="293" t="s">
        <v>223</v>
      </c>
      <c r="N55" s="294" t="n">
        <f aca="false">+O52</f>
        <v>3333</v>
      </c>
      <c r="O55" s="291"/>
      <c r="P55" s="295"/>
      <c r="Q55" s="288" t="s">
        <v>224</v>
      </c>
      <c r="R55" s="295" t="n">
        <f aca="false">+VLOOKUP($C$1,Hub,12)</f>
        <v>99990</v>
      </c>
    </row>
    <row r="56" customFormat="false" ht="18" hidden="false" customHeight="true" outlineLevel="0" collapsed="false">
      <c r="A56" s="284" t="s">
        <v>15</v>
      </c>
      <c r="B56" s="277" t="n">
        <v>0</v>
      </c>
      <c r="D56" s="311"/>
      <c r="E56" s="312"/>
      <c r="F56" s="314"/>
      <c r="G56" s="261"/>
      <c r="H56" s="276"/>
      <c r="L56" s="292"/>
      <c r="M56" s="293" t="s">
        <v>226</v>
      </c>
      <c r="N56" s="295" t="n">
        <f aca="false">+VLOOKUP($C$1,Hub,10)</f>
        <v>3333</v>
      </c>
      <c r="O56" s="291"/>
      <c r="P56" s="295"/>
      <c r="Q56" s="288" t="s">
        <v>227</v>
      </c>
      <c r="R56" s="295" t="n">
        <f aca="false">+VLOOKUP($C$1,Hub,13)</f>
        <v>99990</v>
      </c>
    </row>
    <row r="57" customFormat="false" ht="18" hidden="false" customHeight="true" outlineLevel="0" collapsed="false">
      <c r="A57" s="247" t="s">
        <v>27</v>
      </c>
      <c r="B57" s="277" t="n">
        <v>5501</v>
      </c>
      <c r="C57" s="256"/>
      <c r="D57" s="311"/>
      <c r="E57" s="312"/>
      <c r="F57" s="314"/>
      <c r="G57" s="261"/>
      <c r="H57" s="276"/>
      <c r="L57" s="293"/>
      <c r="M57" s="293" t="s">
        <v>228</v>
      </c>
      <c r="N57" s="300" t="n">
        <f aca="false">+N56-N55</f>
        <v>0</v>
      </c>
      <c r="O57" s="291"/>
      <c r="P57" s="295"/>
      <c r="Q57" s="301" t="s">
        <v>229</v>
      </c>
      <c r="R57" s="300" t="n">
        <f aca="false">+R56-R55</f>
        <v>0</v>
      </c>
    </row>
    <row r="58" customFormat="false" ht="18" hidden="false" customHeight="true" outlineLevel="0" collapsed="false">
      <c r="A58" s="247" t="s">
        <v>28</v>
      </c>
      <c r="B58" s="277" t="n">
        <v>10000</v>
      </c>
      <c r="D58" s="311"/>
      <c r="E58" s="312"/>
      <c r="F58" s="314"/>
      <c r="G58" s="261"/>
      <c r="H58" s="276"/>
    </row>
    <row r="59" customFormat="false" ht="18" hidden="false" customHeight="true" outlineLevel="0" collapsed="false">
      <c r="A59" s="247" t="s">
        <v>29</v>
      </c>
      <c r="B59" s="277" t="n">
        <v>3600</v>
      </c>
      <c r="D59" s="311"/>
      <c r="E59" s="312"/>
      <c r="F59" s="314"/>
      <c r="G59" s="261"/>
      <c r="H59" s="276"/>
      <c r="L59" s="304" t="s">
        <v>239</v>
      </c>
      <c r="M59" s="304"/>
      <c r="N59" s="304"/>
      <c r="O59" s="304"/>
      <c r="P59" s="304"/>
      <c r="Q59" s="304"/>
      <c r="R59" s="304"/>
    </row>
    <row r="60" customFormat="false" ht="18" hidden="false" customHeight="true" outlineLevel="0" collapsed="false">
      <c r="A60" s="247" t="s">
        <v>240</v>
      </c>
      <c r="D60" s="281" t="n">
        <f aca="false">SUM(B42:B59)</f>
        <v>282685</v>
      </c>
      <c r="E60" s="248"/>
      <c r="F60" s="317"/>
      <c r="G60" s="261"/>
      <c r="H60" s="276"/>
      <c r="L60" s="286"/>
      <c r="M60" s="287"/>
      <c r="N60" s="288" t="s">
        <v>221</v>
      </c>
      <c r="O60" s="289" t="n">
        <v>1333</v>
      </c>
      <c r="P60" s="289"/>
      <c r="Q60" s="287"/>
      <c r="R60" s="287"/>
    </row>
    <row r="61" customFormat="false" ht="18" hidden="false" customHeight="true" outlineLevel="0" collapsed="false">
      <c r="E61" s="248"/>
      <c r="F61" s="317"/>
      <c r="G61" s="261"/>
      <c r="H61" s="276"/>
      <c r="I61" s="261"/>
      <c r="J61" s="261"/>
      <c r="K61" s="261"/>
      <c r="L61" s="287"/>
      <c r="M61" s="287"/>
      <c r="N61" s="288" t="s">
        <v>222</v>
      </c>
      <c r="O61" s="289" t="n">
        <f aca="false">+Hub!P37</f>
        <v>39990</v>
      </c>
      <c r="P61" s="289"/>
      <c r="Q61" s="287"/>
      <c r="R61" s="290"/>
    </row>
    <row r="62" customFormat="false" ht="18" hidden="false" customHeight="true" outlineLevel="0" collapsed="false">
      <c r="A62" s="308" t="s">
        <v>241</v>
      </c>
      <c r="F62" s="251" t="s">
        <v>209</v>
      </c>
      <c r="G62" s="261"/>
      <c r="H62" s="251" t="s">
        <v>210</v>
      </c>
      <c r="L62" s="287"/>
      <c r="M62" s="287"/>
      <c r="N62" s="291"/>
      <c r="O62" s="291"/>
      <c r="P62" s="291"/>
      <c r="Q62" s="287"/>
      <c r="R62" s="290"/>
    </row>
    <row r="63" customFormat="false" ht="18" hidden="false" customHeight="true" outlineLevel="0" collapsed="false">
      <c r="E63" s="248"/>
      <c r="F63" s="266" t="s">
        <v>94</v>
      </c>
      <c r="G63" s="261"/>
      <c r="H63" s="266" t="s">
        <v>94</v>
      </c>
      <c r="L63" s="292"/>
      <c r="M63" s="293" t="s">
        <v>223</v>
      </c>
      <c r="N63" s="294" t="n">
        <f aca="false">+O60</f>
        <v>1333</v>
      </c>
      <c r="O63" s="291"/>
      <c r="P63" s="295"/>
      <c r="Q63" s="288" t="s">
        <v>224</v>
      </c>
      <c r="R63" s="295" t="n">
        <f aca="false">+VLOOKUP($C$1,Hub,19)</f>
        <v>39990</v>
      </c>
    </row>
    <row r="64" customFormat="false" ht="18" hidden="false" customHeight="true" outlineLevel="0" collapsed="false">
      <c r="A64" s="247" t="s">
        <v>242</v>
      </c>
      <c r="B64" s="248" t="n">
        <f aca="false">VLOOKUP(+$C$1,EOLSupplies,129)</f>
        <v>89016</v>
      </c>
      <c r="E64" s="248"/>
      <c r="F64" s="271" t="n">
        <f aca="false">VLOOKUP(+$C$1,EOLSupplies,130)</f>
        <v>-35984</v>
      </c>
      <c r="G64" s="276"/>
      <c r="H64" s="271" t="n">
        <f aca="false">VLOOKUP(+$C$1,EOLSupplies,131)</f>
        <v>-219708</v>
      </c>
      <c r="L64" s="292"/>
      <c r="M64" s="293" t="s">
        <v>226</v>
      </c>
      <c r="N64" s="295" t="n">
        <f aca="false">+VLOOKUP($C$1,Hub,17)</f>
        <v>1333</v>
      </c>
      <c r="O64" s="291"/>
      <c r="P64" s="295"/>
      <c r="Q64" s="288" t="s">
        <v>227</v>
      </c>
      <c r="R64" s="295" t="n">
        <f aca="false">+VLOOKUP($C$1,Hub,20)</f>
        <v>39990</v>
      </c>
    </row>
    <row r="65" customFormat="false" ht="18" hidden="false" customHeight="true" outlineLevel="0" collapsed="false">
      <c r="A65" s="247" t="s">
        <v>243</v>
      </c>
      <c r="B65" s="248" t="n">
        <f aca="false">VLOOKUP(+$C$1,EOLSupplies,49)</f>
        <v>194851</v>
      </c>
      <c r="E65" s="248"/>
      <c r="F65" s="271" t="n">
        <f aca="false">VLOOKUP(+$C$1,EOLSupplies,133)</f>
        <v>-5149</v>
      </c>
      <c r="G65" s="276"/>
      <c r="H65" s="271" t="n">
        <f aca="false">VLOOKUP(+$C$1,EOLSupplies,134)</f>
        <v>-5149</v>
      </c>
      <c r="L65" s="293"/>
      <c r="M65" s="293" t="s">
        <v>228</v>
      </c>
      <c r="N65" s="300" t="n">
        <f aca="false">+N64-N63</f>
        <v>0</v>
      </c>
      <c r="O65" s="291"/>
      <c r="P65" s="295"/>
      <c r="Q65" s="301" t="s">
        <v>229</v>
      </c>
      <c r="R65" s="300" t="n">
        <f aca="false">+R64-R63</f>
        <v>0</v>
      </c>
    </row>
    <row r="66" customFormat="false" ht="18" hidden="false" customHeight="true" outlineLevel="0" collapsed="false">
      <c r="D66" s="256"/>
      <c r="E66" s="248"/>
      <c r="F66" s="316"/>
      <c r="G66" s="261"/>
      <c r="H66" s="276"/>
    </row>
    <row r="67" customFormat="false" ht="18" hidden="false" customHeight="true" outlineLevel="0" collapsed="false">
      <c r="A67" s="247" t="s">
        <v>19</v>
      </c>
      <c r="B67" s="248" t="n">
        <v>13235</v>
      </c>
      <c r="D67" s="311"/>
      <c r="E67" s="248"/>
      <c r="F67" s="316"/>
      <c r="G67" s="261"/>
      <c r="H67" s="261"/>
      <c r="L67" s="304" t="s">
        <v>244</v>
      </c>
      <c r="M67" s="304"/>
      <c r="N67" s="304"/>
      <c r="O67" s="304"/>
      <c r="P67" s="304"/>
      <c r="Q67" s="304"/>
      <c r="R67" s="304"/>
    </row>
    <row r="68" customFormat="false" ht="18" hidden="false" customHeight="true" outlineLevel="0" collapsed="false">
      <c r="D68" s="311"/>
      <c r="E68" s="248"/>
      <c r="F68" s="316"/>
      <c r="G68" s="261"/>
      <c r="H68" s="261"/>
      <c r="L68" s="286"/>
      <c r="M68" s="287"/>
      <c r="N68" s="288" t="s">
        <v>221</v>
      </c>
      <c r="O68" s="289" t="n">
        <v>10333</v>
      </c>
      <c r="P68" s="318" t="s">
        <v>245</v>
      </c>
      <c r="Q68" s="287"/>
      <c r="R68" s="287"/>
    </row>
    <row r="69" customFormat="false" ht="18" hidden="false" customHeight="true" outlineLevel="0" collapsed="false">
      <c r="D69" s="311"/>
      <c r="E69" s="248"/>
      <c r="F69" s="316"/>
      <c r="G69" s="261"/>
      <c r="H69" s="261"/>
      <c r="I69" s="248"/>
      <c r="L69" s="287"/>
      <c r="M69" s="287"/>
      <c r="N69" s="288" t="s">
        <v>222</v>
      </c>
      <c r="O69" s="289" t="n">
        <f aca="false">+Hub!AB37</f>
        <v>155000</v>
      </c>
      <c r="P69" s="289"/>
      <c r="Q69" s="287"/>
      <c r="R69" s="290"/>
    </row>
    <row r="70" customFormat="false" ht="18" hidden="false" customHeight="true" outlineLevel="0" collapsed="false">
      <c r="B70" s="319"/>
      <c r="D70" s="261"/>
      <c r="E70" s="248"/>
      <c r="F70" s="316"/>
      <c r="G70" s="261"/>
      <c r="H70" s="261"/>
      <c r="I70" s="248"/>
      <c r="L70" s="287"/>
      <c r="M70" s="287"/>
      <c r="N70" s="291"/>
      <c r="O70" s="291"/>
      <c r="P70" s="291"/>
      <c r="Q70" s="287"/>
      <c r="R70" s="290"/>
    </row>
    <row r="71" customFormat="false" ht="18" hidden="false" customHeight="true" outlineLevel="0" collapsed="false">
      <c r="B71" s="319"/>
      <c r="D71" s="261"/>
      <c r="E71" s="248"/>
      <c r="F71" s="316"/>
      <c r="G71" s="261"/>
      <c r="H71" s="261"/>
      <c r="I71" s="248"/>
      <c r="L71" s="292"/>
      <c r="M71" s="293" t="s">
        <v>223</v>
      </c>
      <c r="N71" s="295" t="n">
        <f aca="false">+VLOOKUP($C$1,Hub,28)</f>
        <v>10338</v>
      </c>
      <c r="O71" s="291"/>
      <c r="P71" s="295"/>
      <c r="Q71" s="288" t="s">
        <v>224</v>
      </c>
      <c r="R71" s="295" t="n">
        <f aca="false">+VLOOKUP($C$1,Hub,31)</f>
        <v>155000</v>
      </c>
    </row>
    <row r="72" customFormat="false" ht="18" hidden="false" customHeight="true" outlineLevel="0" collapsed="false">
      <c r="A72" s="247" t="s">
        <v>246</v>
      </c>
      <c r="B72" s="320"/>
      <c r="D72" s="281" t="n">
        <f aca="false">SUM(B62:B71)</f>
        <v>297102</v>
      </c>
      <c r="E72" s="248"/>
      <c r="F72" s="281" t="n">
        <f aca="false">SUM(F64:F71)</f>
        <v>-41133</v>
      </c>
      <c r="I72" s="248"/>
      <c r="L72" s="292"/>
      <c r="M72" s="293" t="s">
        <v>226</v>
      </c>
      <c r="N72" s="295" t="n">
        <f aca="false">+VLOOKUP($C$1,Hub,29)</f>
        <v>10338</v>
      </c>
      <c r="O72" s="291"/>
      <c r="P72" s="295"/>
      <c r="Q72" s="288" t="s">
        <v>227</v>
      </c>
      <c r="R72" s="295" t="n">
        <f aca="false">+VLOOKUP($C$1,Hub,32)</f>
        <v>155000</v>
      </c>
    </row>
    <row r="73" customFormat="false" ht="18" hidden="false" customHeight="true" outlineLevel="0" collapsed="false">
      <c r="A73" s="247" t="s">
        <v>247</v>
      </c>
      <c r="B73" s="281" t="n">
        <f aca="false">+D60+D72</f>
        <v>579787</v>
      </c>
      <c r="C73" s="261"/>
      <c r="D73" s="248"/>
      <c r="E73" s="261"/>
      <c r="F73" s="321"/>
      <c r="L73" s="293"/>
      <c r="M73" s="293" t="s">
        <v>228</v>
      </c>
      <c r="N73" s="300" t="n">
        <f aca="false">+N72-N71</f>
        <v>0</v>
      </c>
      <c r="O73" s="291"/>
      <c r="P73" s="295"/>
      <c r="Q73" s="301" t="s">
        <v>229</v>
      </c>
      <c r="R73" s="300" t="n">
        <f aca="false">+R72-R71</f>
        <v>0</v>
      </c>
    </row>
    <row r="74" customFormat="false" ht="18" hidden="false" customHeight="true" outlineLevel="0" collapsed="false">
      <c r="C74" s="322"/>
      <c r="E74" s="248"/>
      <c r="F74" s="248"/>
    </row>
    <row r="75" customFormat="false" ht="18" hidden="false" customHeight="true" outlineLevel="0" collapsed="false">
      <c r="A75" s="247" t="s">
        <v>248</v>
      </c>
      <c r="B75" s="323" t="n">
        <f aca="false">B38-B73</f>
        <v>17052</v>
      </c>
      <c r="C75" s="261"/>
      <c r="E75" s="248"/>
      <c r="F75" s="322"/>
      <c r="I75" s="291"/>
      <c r="J75" s="324" t="s">
        <v>249</v>
      </c>
      <c r="K75" s="324"/>
      <c r="L75" s="324"/>
      <c r="M75" s="291"/>
      <c r="N75" s="325"/>
      <c r="O75" s="291"/>
      <c r="P75" s="291"/>
    </row>
    <row r="76" customFormat="false" ht="18" hidden="false" customHeight="true" outlineLevel="0" collapsed="false">
      <c r="E76" s="248"/>
      <c r="F76" s="248"/>
      <c r="G76" s="249"/>
      <c r="H76" s="249"/>
      <c r="I76" s="291"/>
      <c r="J76" s="287" t="s">
        <v>250</v>
      </c>
      <c r="K76" s="287"/>
      <c r="L76" s="326"/>
      <c r="M76" s="291"/>
      <c r="N76" s="325"/>
      <c r="O76" s="291"/>
      <c r="P76" s="291"/>
    </row>
    <row r="77" customFormat="false" ht="18" hidden="false" customHeight="true" outlineLevel="0" collapsed="false">
      <c r="A77" s="284"/>
      <c r="B77" s="327" t="s">
        <v>32</v>
      </c>
      <c r="C77" s="261"/>
      <c r="D77" s="327" t="s">
        <v>74</v>
      </c>
      <c r="E77" s="261"/>
      <c r="F77" s="328" t="s">
        <v>251</v>
      </c>
      <c r="G77" s="261"/>
      <c r="I77" s="291"/>
      <c r="J77" s="287" t="s">
        <v>252</v>
      </c>
      <c r="K77" s="287"/>
      <c r="L77" s="275" t="n">
        <f aca="false">+B64+B65</f>
        <v>283867</v>
      </c>
      <c r="M77" s="291"/>
      <c r="N77" s="325"/>
      <c r="O77" s="291"/>
      <c r="P77" s="291"/>
    </row>
    <row r="78" customFormat="false" ht="18" hidden="false" customHeight="true" outlineLevel="0" collapsed="false">
      <c r="A78" s="247" t="s">
        <v>173</v>
      </c>
      <c r="B78" s="329" t="n">
        <f aca="false">VLOOKUP(+$C$1,EES,4)+VLOOKUP(+$C$1,EES,5)</f>
        <v>0</v>
      </c>
      <c r="C78" s="261"/>
      <c r="D78" s="320" t="n">
        <f aca="false">F78-B78</f>
        <v>33375</v>
      </c>
      <c r="E78" s="320" t="n">
        <v>49999</v>
      </c>
      <c r="F78" s="320" t="n">
        <f aca="false">12640+20735</f>
        <v>33375</v>
      </c>
      <c r="G78" s="261"/>
      <c r="I78" s="291"/>
      <c r="J78" s="287" t="s">
        <v>253</v>
      </c>
      <c r="K78" s="287"/>
      <c r="L78" s="275" t="n">
        <f aca="false">(+B24+B25)*-1</f>
        <v>-205000</v>
      </c>
      <c r="M78" s="291"/>
      <c r="N78" s="325"/>
      <c r="O78" s="291"/>
      <c r="P78" s="291"/>
    </row>
    <row r="79" customFormat="false" ht="18" hidden="false" customHeight="true" outlineLevel="0" collapsed="false">
      <c r="A79" s="247" t="s">
        <v>59</v>
      </c>
      <c r="B79" s="303" t="n">
        <v>0</v>
      </c>
      <c r="C79" s="261"/>
      <c r="D79" s="320" t="n">
        <f aca="false">F79-B79</f>
        <v>0</v>
      </c>
      <c r="E79" s="320"/>
      <c r="F79" s="320" t="n">
        <v>0</v>
      </c>
      <c r="G79" s="261"/>
      <c r="I79" s="291"/>
      <c r="J79" s="287" t="s">
        <v>254</v>
      </c>
      <c r="K79" s="287"/>
      <c r="L79" s="275" t="n">
        <f aca="false">+D72-L77</f>
        <v>13235</v>
      </c>
      <c r="M79" s="291"/>
      <c r="N79" s="325"/>
      <c r="O79" s="291"/>
      <c r="P79" s="291"/>
    </row>
    <row r="80" customFormat="false" ht="18" hidden="false" customHeight="true" outlineLevel="0" collapsed="false">
      <c r="A80" s="247" t="s">
        <v>52</v>
      </c>
      <c r="B80" s="329" t="n">
        <f aca="false">VLOOKUP(+$C$1,EES,6)</f>
        <v>0</v>
      </c>
      <c r="C80" s="261"/>
      <c r="D80" s="320" t="n">
        <f aca="false">F80-B80</f>
        <v>18988</v>
      </c>
      <c r="E80" s="320"/>
      <c r="F80" s="320" t="n">
        <f aca="false">3988+15000</f>
        <v>18988</v>
      </c>
      <c r="G80" s="261"/>
      <c r="I80" s="291"/>
      <c r="J80" s="287" t="s">
        <v>255</v>
      </c>
      <c r="K80" s="287"/>
      <c r="L80" s="275" t="n">
        <f aca="false">(+D32-(L78*-1))*-1</f>
        <v>-116160</v>
      </c>
      <c r="M80" s="291"/>
      <c r="N80" s="325"/>
      <c r="O80" s="291"/>
      <c r="P80" s="291"/>
    </row>
    <row r="81" customFormat="false" ht="18" hidden="false" customHeight="true" outlineLevel="0" collapsed="false">
      <c r="A81" s="247" t="s">
        <v>158</v>
      </c>
      <c r="B81" s="303" t="n">
        <v>0</v>
      </c>
      <c r="C81" s="261"/>
      <c r="D81" s="320" t="n">
        <f aca="false">F81-B81</f>
        <v>0</v>
      </c>
      <c r="E81" s="320"/>
      <c r="F81" s="320" t="n">
        <v>0</v>
      </c>
      <c r="G81" s="261"/>
      <c r="I81" s="291"/>
      <c r="J81" s="330" t="s">
        <v>256</v>
      </c>
      <c r="K81" s="287"/>
      <c r="L81" s="326" t="n">
        <v>0</v>
      </c>
      <c r="M81" s="291"/>
      <c r="N81" s="325"/>
      <c r="O81" s="291"/>
      <c r="P81" s="291"/>
    </row>
    <row r="82" customFormat="false" ht="18" hidden="false" customHeight="true" outlineLevel="0" collapsed="false">
      <c r="A82" s="247" t="s">
        <v>57</v>
      </c>
      <c r="B82" s="303" t="n">
        <v>0</v>
      </c>
      <c r="C82" s="261"/>
      <c r="D82" s="320" t="n">
        <v>0</v>
      </c>
      <c r="E82" s="261"/>
      <c r="F82" s="331" t="n">
        <v>0</v>
      </c>
      <c r="G82" s="261"/>
      <c r="I82" s="291"/>
      <c r="J82" s="330" t="s">
        <v>257</v>
      </c>
      <c r="K82" s="287"/>
      <c r="L82" s="326" t="n">
        <f aca="false">+F80-3988</f>
        <v>15000</v>
      </c>
      <c r="M82" s="291"/>
      <c r="N82" s="325"/>
      <c r="O82" s="291"/>
      <c r="P82" s="291"/>
    </row>
    <row r="83" customFormat="false" ht="18" hidden="false" customHeight="true" outlineLevel="0" collapsed="false">
      <c r="A83" s="247" t="s">
        <v>258</v>
      </c>
      <c r="B83" s="303" t="n">
        <v>0</v>
      </c>
      <c r="C83" s="332"/>
      <c r="D83" s="333" t="n">
        <v>0</v>
      </c>
      <c r="E83" s="332"/>
      <c r="F83" s="334" t="n">
        <v>0</v>
      </c>
      <c r="G83" s="261"/>
      <c r="I83" s="291"/>
      <c r="J83" s="335" t="s">
        <v>259</v>
      </c>
      <c r="K83" s="287"/>
      <c r="L83" s="326" t="n">
        <v>0</v>
      </c>
      <c r="M83" s="291"/>
      <c r="N83" s="325"/>
      <c r="O83" s="291"/>
      <c r="P83" s="291"/>
    </row>
    <row r="84" customFormat="false" ht="18" hidden="false" customHeight="true" outlineLevel="0" collapsed="false">
      <c r="A84" s="247" t="s">
        <v>260</v>
      </c>
      <c r="B84" s="279" t="n">
        <f aca="false">SUM(B78:B83)</f>
        <v>0</v>
      </c>
      <c r="C84" s="261"/>
      <c r="D84" s="336" t="n">
        <f aca="false">SUM(D78:D83)</f>
        <v>52363</v>
      </c>
      <c r="E84" s="261"/>
      <c r="F84" s="331" t="n">
        <f aca="false">SUM(F78:F83)</f>
        <v>52363</v>
      </c>
      <c r="G84" s="261"/>
      <c r="I84" s="291"/>
      <c r="J84" s="287" t="s">
        <v>261</v>
      </c>
      <c r="K84" s="287"/>
      <c r="L84" s="326" t="n">
        <f aca="false">+F78-37605-20000</f>
        <v>-24230</v>
      </c>
      <c r="M84" s="291"/>
      <c r="N84" s="325"/>
      <c r="O84" s="291"/>
      <c r="P84" s="291"/>
    </row>
    <row r="85" customFormat="false" ht="18" hidden="false" customHeight="true" outlineLevel="0" collapsed="false">
      <c r="A85" s="247" t="s">
        <v>262</v>
      </c>
      <c r="B85" s="329" t="n">
        <f aca="false">VLOOKUP(+$C$1,EES,43)</f>
        <v>56039</v>
      </c>
      <c r="C85" s="337"/>
      <c r="D85" s="338"/>
      <c r="F85" s="337"/>
      <c r="G85" s="339"/>
      <c r="I85" s="291"/>
      <c r="J85" s="335" t="s">
        <v>263</v>
      </c>
      <c r="K85" s="287"/>
      <c r="L85" s="326" t="n">
        <v>0</v>
      </c>
      <c r="M85" s="291"/>
      <c r="N85" s="325"/>
      <c r="O85" s="291"/>
      <c r="P85" s="291"/>
    </row>
    <row r="86" customFormat="false" ht="18" hidden="false" customHeight="true" outlineLevel="0" collapsed="false">
      <c r="A86" s="247" t="s">
        <v>264</v>
      </c>
      <c r="B86" s="340" t="n">
        <f aca="false">SUM(B84:B85)</f>
        <v>56039</v>
      </c>
      <c r="C86" s="337"/>
      <c r="G86" s="339"/>
      <c r="I86" s="291"/>
      <c r="J86" s="287" t="s">
        <v>265</v>
      </c>
      <c r="K86" s="287"/>
      <c r="L86" s="341" t="n">
        <f aca="false">SUM(L76:L85)</f>
        <v>-33288</v>
      </c>
      <c r="M86" s="291"/>
      <c r="N86" s="325"/>
      <c r="O86" s="291"/>
      <c r="P86" s="291"/>
    </row>
    <row r="87" customFormat="false" ht="18" hidden="false" customHeight="true" outlineLevel="0" collapsed="false">
      <c r="A87" s="284"/>
      <c r="B87" s="261"/>
      <c r="C87" s="337"/>
      <c r="G87" s="339"/>
    </row>
    <row r="88" customFormat="false" ht="18" hidden="false" customHeight="true" outlineLevel="0" collapsed="false">
      <c r="A88" s="284"/>
      <c r="B88" s="261"/>
      <c r="C88" s="337"/>
      <c r="G88" s="339"/>
      <c r="I88" s="342"/>
      <c r="J88" s="342"/>
      <c r="K88" s="342"/>
      <c r="L88" s="342"/>
      <c r="M88" s="342"/>
      <c r="N88" s="342"/>
      <c r="O88" s="342"/>
      <c r="P88" s="342"/>
    </row>
    <row r="89" customFormat="false" ht="18" hidden="false" customHeight="true" outlineLevel="0" collapsed="false">
      <c r="B89" s="343"/>
      <c r="C89" s="337"/>
      <c r="G89" s="339"/>
      <c r="I89" s="342"/>
      <c r="J89" s="342"/>
      <c r="K89" s="342"/>
      <c r="L89" s="342"/>
      <c r="M89" s="342"/>
      <c r="N89" s="342"/>
      <c r="O89" s="342"/>
      <c r="P89" s="342"/>
    </row>
    <row r="90" customFormat="false" ht="18" hidden="false" customHeight="true" outlineLevel="0" collapsed="false">
      <c r="A90" s="284"/>
      <c r="C90" s="337"/>
      <c r="E90" s="248"/>
      <c r="F90" s="248"/>
      <c r="I90" s="344"/>
      <c r="J90" s="344"/>
      <c r="K90" s="345" t="s">
        <v>266</v>
      </c>
      <c r="L90" s="346" t="n">
        <f aca="false">+C1+1</f>
        <v>36708</v>
      </c>
      <c r="M90" s="344"/>
      <c r="N90" s="344"/>
      <c r="O90" s="344"/>
      <c r="P90" s="344"/>
    </row>
    <row r="91" customFormat="false" ht="18" hidden="false" customHeight="true" outlineLevel="0" collapsed="false">
      <c r="A91" s="247" t="s">
        <v>267</v>
      </c>
      <c r="B91" s="347" t="n">
        <f aca="false">B86-B37</f>
        <v>-13961</v>
      </c>
      <c r="C91" s="249"/>
      <c r="D91" s="347" t="n">
        <f aca="false">D84-B33+B73-B85</f>
        <v>49272</v>
      </c>
      <c r="E91" s="267"/>
      <c r="F91" s="347" t="n">
        <f aca="false">D91+B91</f>
        <v>35311</v>
      </c>
      <c r="G91" s="348" t="s">
        <v>42</v>
      </c>
      <c r="I91" s="291"/>
      <c r="J91" s="324" t="s">
        <v>268</v>
      </c>
      <c r="K91" s="324"/>
      <c r="L91" s="324"/>
      <c r="M91" s="324"/>
      <c r="N91" s="324"/>
      <c r="O91" s="325"/>
      <c r="P91" s="325" t="s">
        <v>72</v>
      </c>
    </row>
    <row r="92" customFormat="false" ht="18" hidden="false" customHeight="true" outlineLevel="0" collapsed="false">
      <c r="C92" s="249"/>
      <c r="D92" s="251"/>
      <c r="E92" s="251"/>
      <c r="F92" s="349"/>
      <c r="I92" s="291"/>
      <c r="J92" s="350"/>
      <c r="K92" s="350"/>
      <c r="L92" s="290" t="s">
        <v>269</v>
      </c>
      <c r="M92" s="290"/>
      <c r="N92" s="325" t="s">
        <v>270</v>
      </c>
      <c r="O92" s="325"/>
      <c r="P92" s="325"/>
    </row>
    <row r="93" customFormat="false" ht="18" hidden="false" customHeight="true" outlineLevel="0" collapsed="false">
      <c r="A93" s="247" t="s">
        <v>271</v>
      </c>
      <c r="C93" s="249"/>
      <c r="F93" s="267" t="n">
        <f aca="false">+H5+H6+H7+H8</f>
        <v>49477</v>
      </c>
      <c r="I93" s="291"/>
      <c r="J93" s="351" t="s">
        <v>272</v>
      </c>
      <c r="K93" s="351"/>
      <c r="L93" s="325" t="n">
        <v>0</v>
      </c>
      <c r="M93" s="291"/>
      <c r="N93" s="325" t="n">
        <f aca="false">-78857+139657</f>
        <v>60800</v>
      </c>
      <c r="O93" s="291"/>
      <c r="P93" s="352" t="n">
        <f aca="false">SUM(L93:N93)</f>
        <v>60800</v>
      </c>
    </row>
    <row r="94" customFormat="false" ht="18" hidden="false" customHeight="true" outlineLevel="0" collapsed="false">
      <c r="A94" s="247" t="s">
        <v>273</v>
      </c>
      <c r="F94" s="267" t="n">
        <f aca="false">+VLOOKUP($C$1,EES,37)</f>
        <v>-13961</v>
      </c>
      <c r="G94" s="348"/>
      <c r="I94" s="291"/>
      <c r="J94" s="351" t="s">
        <v>274</v>
      </c>
      <c r="K94" s="351"/>
      <c r="L94" s="353" t="n">
        <v>0</v>
      </c>
      <c r="M94" s="353"/>
      <c r="N94" s="325" t="n">
        <v>0</v>
      </c>
      <c r="O94" s="325"/>
      <c r="P94" s="352" t="n">
        <f aca="false">SUM(L94:N94)</f>
        <v>0</v>
      </c>
    </row>
    <row r="95" customFormat="false" ht="18" hidden="false" customHeight="true" outlineLevel="0" collapsed="false">
      <c r="A95" s="247" t="s">
        <v>275</v>
      </c>
      <c r="F95" s="347" t="n">
        <f aca="false">SUM(F93:F94)</f>
        <v>35516</v>
      </c>
      <c r="G95" s="337"/>
      <c r="I95" s="291"/>
      <c r="J95" s="354" t="s">
        <v>276</v>
      </c>
      <c r="K95" s="287"/>
      <c r="L95" s="353" t="n">
        <v>52869</v>
      </c>
      <c r="M95" s="353"/>
      <c r="N95" s="325" t="n">
        <f aca="false">72057-52869</f>
        <v>19188</v>
      </c>
      <c r="O95" s="290" t="s">
        <v>277</v>
      </c>
      <c r="P95" s="352" t="n">
        <f aca="false">SUM(L95:N95)</f>
        <v>72057</v>
      </c>
    </row>
    <row r="96" customFormat="false" ht="18" hidden="false" customHeight="true" outlineLevel="0" collapsed="false">
      <c r="G96" s="337"/>
      <c r="I96" s="291"/>
      <c r="J96" s="354" t="s">
        <v>278</v>
      </c>
      <c r="K96" s="287"/>
      <c r="L96" s="352" t="n">
        <v>0</v>
      </c>
      <c r="M96" s="287"/>
      <c r="N96" s="325" t="n">
        <v>0</v>
      </c>
      <c r="O96" s="287"/>
      <c r="P96" s="352" t="n">
        <f aca="false">SUM(L96:N96)</f>
        <v>0</v>
      </c>
    </row>
    <row r="97" customFormat="false" ht="18" hidden="false" customHeight="true" outlineLevel="0" collapsed="false">
      <c r="A97" s="247" t="s">
        <v>279</v>
      </c>
      <c r="C97" s="249"/>
      <c r="D97" s="261"/>
      <c r="E97" s="337"/>
      <c r="F97" s="267" t="n">
        <f aca="false">+J5+J6+J7+J8</f>
        <v>127125</v>
      </c>
      <c r="G97" s="261"/>
      <c r="I97" s="291"/>
      <c r="J97" s="354" t="s">
        <v>280</v>
      </c>
      <c r="K97" s="287"/>
      <c r="L97" s="355" t="n">
        <v>0</v>
      </c>
      <c r="M97" s="287"/>
      <c r="N97" s="325" t="n">
        <v>0</v>
      </c>
      <c r="O97" s="325" t="s">
        <v>277</v>
      </c>
      <c r="P97" s="352" t="n">
        <f aca="false">SUM(L97:N97)</f>
        <v>0</v>
      </c>
    </row>
    <row r="98" customFormat="false" ht="18" hidden="false" customHeight="true" outlineLevel="0" collapsed="false">
      <c r="A98" s="247" t="s">
        <v>281</v>
      </c>
      <c r="C98" s="249"/>
      <c r="D98" s="261"/>
      <c r="E98" s="337"/>
      <c r="F98" s="267" t="n">
        <f aca="false">+VLOOKUP($C$1,EES,41)</f>
        <v>-58615</v>
      </c>
      <c r="I98" s="291"/>
      <c r="J98" s="354" t="s">
        <v>282</v>
      </c>
      <c r="K98" s="287"/>
      <c r="L98" s="353" t="n">
        <v>20000</v>
      </c>
      <c r="M98" s="287"/>
      <c r="N98" s="325" t="n">
        <f aca="false">45000-20000</f>
        <v>25000</v>
      </c>
      <c r="O98" s="325" t="s">
        <v>277</v>
      </c>
      <c r="P98" s="352" t="n">
        <f aca="false">SUM(L98:N98)</f>
        <v>45000</v>
      </c>
    </row>
    <row r="99" customFormat="false" ht="15" hidden="false" customHeight="true" outlineLevel="0" collapsed="false">
      <c r="A99" s="356" t="s">
        <v>283</v>
      </c>
      <c r="B99" s="261"/>
      <c r="C99" s="261"/>
      <c r="D99" s="261"/>
      <c r="E99" s="261"/>
      <c r="F99" s="347" t="n">
        <f aca="false">SUM(F97:F98)</f>
        <v>68510</v>
      </c>
      <c r="G99" s="337"/>
      <c r="H99" s="261"/>
      <c r="I99" s="291"/>
      <c r="J99" s="354"/>
      <c r="K99" s="287"/>
      <c r="L99" s="353" t="n">
        <v>0</v>
      </c>
      <c r="M99" s="287"/>
      <c r="N99" s="325" t="n">
        <v>0</v>
      </c>
      <c r="O99" s="325"/>
      <c r="P99" s="352" t="n">
        <f aca="false">SUM(L99:N99)</f>
        <v>0</v>
      </c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1"/>
      <c r="AU99" s="261"/>
      <c r="AV99" s="261"/>
      <c r="AW99" s="261"/>
      <c r="AX99" s="261"/>
      <c r="AY99" s="261"/>
      <c r="AZ99" s="261"/>
      <c r="BA99" s="261"/>
      <c r="BB99" s="261"/>
      <c r="BC99" s="261"/>
      <c r="BD99" s="261"/>
      <c r="BE99" s="261"/>
      <c r="BF99" s="261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  <c r="CV99" s="261"/>
      <c r="CW99" s="261"/>
      <c r="CX99" s="261"/>
      <c r="CY99" s="261"/>
      <c r="CZ99" s="261"/>
      <c r="DA99" s="261"/>
      <c r="DB99" s="261"/>
      <c r="DC99" s="261"/>
      <c r="DD99" s="261"/>
      <c r="DE99" s="261"/>
      <c r="DF99" s="261"/>
      <c r="DG99" s="261"/>
      <c r="DH99" s="261"/>
      <c r="DI99" s="261"/>
      <c r="DJ99" s="261"/>
      <c r="DK99" s="261"/>
      <c r="DL99" s="261"/>
      <c r="DM99" s="261"/>
      <c r="DN99" s="261"/>
      <c r="DO99" s="261"/>
      <c r="DP99" s="261"/>
      <c r="DQ99" s="261"/>
      <c r="DR99" s="261"/>
      <c r="DS99" s="261"/>
      <c r="DT99" s="261"/>
      <c r="DU99" s="261"/>
      <c r="DV99" s="261"/>
      <c r="DW99" s="261"/>
      <c r="DX99" s="261"/>
      <c r="DY99" s="261"/>
      <c r="DZ99" s="261"/>
      <c r="EA99" s="261"/>
      <c r="EB99" s="261"/>
      <c r="EC99" s="261"/>
      <c r="ED99" s="261"/>
      <c r="EE99" s="261"/>
      <c r="EF99" s="261"/>
      <c r="EG99" s="261"/>
      <c r="EH99" s="261"/>
      <c r="EI99" s="261"/>
      <c r="EJ99" s="261"/>
      <c r="EK99" s="261"/>
      <c r="EL99" s="261"/>
      <c r="EM99" s="261"/>
      <c r="EN99" s="261"/>
      <c r="EO99" s="261"/>
      <c r="EP99" s="261"/>
      <c r="EQ99" s="261"/>
      <c r="ER99" s="261"/>
      <c r="ES99" s="261"/>
      <c r="ET99" s="261"/>
      <c r="EU99" s="261"/>
      <c r="EV99" s="261"/>
      <c r="EW99" s="261"/>
      <c r="EX99" s="261"/>
      <c r="EY99" s="261"/>
      <c r="EZ99" s="261"/>
      <c r="FA99" s="261"/>
      <c r="FB99" s="261"/>
      <c r="FC99" s="261"/>
      <c r="FD99" s="261"/>
      <c r="FE99" s="261"/>
      <c r="FF99" s="261"/>
      <c r="FG99" s="261"/>
      <c r="FH99" s="261"/>
      <c r="FI99" s="261"/>
      <c r="FJ99" s="261"/>
      <c r="FK99" s="261"/>
      <c r="FL99" s="261"/>
      <c r="FM99" s="261"/>
      <c r="FN99" s="261"/>
      <c r="FO99" s="261"/>
      <c r="FP99" s="261"/>
      <c r="FQ99" s="261"/>
      <c r="FR99" s="261"/>
      <c r="FS99" s="261"/>
      <c r="FT99" s="261"/>
      <c r="FU99" s="261"/>
      <c r="FV99" s="261"/>
      <c r="FW99" s="261"/>
      <c r="FX99" s="261"/>
      <c r="FY99" s="261"/>
      <c r="FZ99" s="261"/>
      <c r="GA99" s="261"/>
      <c r="GB99" s="261"/>
      <c r="GC99" s="261"/>
      <c r="GD99" s="261"/>
      <c r="GE99" s="261"/>
      <c r="GF99" s="261"/>
      <c r="GG99" s="261"/>
      <c r="GH99" s="261"/>
      <c r="GI99" s="261"/>
      <c r="GJ99" s="261"/>
      <c r="GK99" s="261"/>
      <c r="GL99" s="261"/>
      <c r="GM99" s="261"/>
      <c r="GN99" s="261"/>
      <c r="GO99" s="261"/>
      <c r="GP99" s="261"/>
      <c r="GQ99" s="261"/>
      <c r="GR99" s="261"/>
      <c r="GS99" s="261"/>
      <c r="GT99" s="261"/>
      <c r="GU99" s="261"/>
      <c r="GV99" s="261"/>
      <c r="GW99" s="261"/>
      <c r="GX99" s="261"/>
      <c r="GY99" s="261"/>
      <c r="GZ99" s="261"/>
      <c r="HA99" s="261"/>
      <c r="HB99" s="261"/>
      <c r="HC99" s="261"/>
      <c r="HD99" s="261"/>
      <c r="HE99" s="261"/>
      <c r="HF99" s="261"/>
      <c r="HG99" s="261"/>
      <c r="HH99" s="261"/>
      <c r="HI99" s="261"/>
      <c r="HJ99" s="261"/>
      <c r="HK99" s="261"/>
      <c r="HL99" s="261"/>
      <c r="HM99" s="261"/>
      <c r="HN99" s="261"/>
      <c r="HO99" s="261"/>
      <c r="HP99" s="261"/>
      <c r="HQ99" s="261"/>
      <c r="HR99" s="261"/>
      <c r="HS99" s="261"/>
      <c r="HT99" s="261"/>
      <c r="HU99" s="261"/>
      <c r="HV99" s="261"/>
      <c r="HW99" s="261"/>
      <c r="HX99" s="261"/>
      <c r="HY99" s="261"/>
      <c r="HZ99" s="261"/>
      <c r="IA99" s="261"/>
      <c r="IB99" s="261"/>
      <c r="IC99" s="261"/>
      <c r="ID99" s="261"/>
      <c r="IE99" s="261"/>
      <c r="IF99" s="261"/>
      <c r="IG99" s="261"/>
      <c r="IH99" s="261"/>
      <c r="II99" s="261"/>
      <c r="IJ99" s="261"/>
      <c r="IK99" s="261"/>
      <c r="IL99" s="261"/>
      <c r="IM99" s="261"/>
      <c r="IN99" s="261"/>
      <c r="IO99" s="261"/>
      <c r="IP99" s="261"/>
      <c r="IQ99" s="261"/>
      <c r="IR99" s="261"/>
      <c r="IS99" s="261"/>
      <c r="IT99" s="261"/>
      <c r="IU99" s="261"/>
      <c r="IV99" s="261"/>
      <c r="IW99" s="261"/>
    </row>
    <row r="100" customFormat="false" ht="18" hidden="false" customHeight="true" outlineLevel="0" collapsed="false">
      <c r="I100" s="291"/>
      <c r="J100" s="357" t="s">
        <v>54</v>
      </c>
      <c r="K100" s="351"/>
      <c r="L100" s="353" t="n">
        <v>0</v>
      </c>
      <c r="M100" s="287"/>
      <c r="N100" s="325" t="n">
        <v>53600</v>
      </c>
      <c r="O100" s="325"/>
      <c r="P100" s="352" t="n">
        <f aca="false">SUM(L100:N100)</f>
        <v>53600</v>
      </c>
    </row>
    <row r="101" customFormat="false" ht="18" hidden="false" customHeight="true" outlineLevel="0" collapsed="false">
      <c r="A101" s="247" t="s">
        <v>284</v>
      </c>
      <c r="C101" s="249"/>
      <c r="D101" s="261"/>
      <c r="E101" s="267"/>
      <c r="F101" s="267" t="n">
        <f aca="false">+F33</f>
        <v>127125</v>
      </c>
      <c r="I101" s="291"/>
      <c r="J101" s="351" t="s">
        <v>285</v>
      </c>
      <c r="K101" s="351"/>
      <c r="L101" s="353" t="n">
        <v>0</v>
      </c>
      <c r="M101" s="353"/>
      <c r="N101" s="325" t="n">
        <v>0</v>
      </c>
      <c r="O101" s="325"/>
      <c r="P101" s="352" t="n">
        <f aca="false">SUM(L101:N101)</f>
        <v>0</v>
      </c>
    </row>
    <row r="102" customFormat="false" ht="18" hidden="false" customHeight="true" outlineLevel="0" collapsed="false">
      <c r="A102" s="247" t="s">
        <v>286</v>
      </c>
      <c r="D102" s="261"/>
      <c r="E102" s="261"/>
      <c r="F102" s="267" t="n">
        <f aca="false">+EES!AK36</f>
        <v>-58615</v>
      </c>
      <c r="I102" s="291"/>
      <c r="J102" s="358" t="s">
        <v>52</v>
      </c>
      <c r="K102" s="358"/>
      <c r="L102" s="353" t="n">
        <v>0</v>
      </c>
      <c r="M102" s="353"/>
      <c r="N102" s="325" t="n">
        <v>0</v>
      </c>
      <c r="O102" s="359" t="s">
        <v>277</v>
      </c>
      <c r="P102" s="352" t="n">
        <f aca="false">SUM(L102:N102)</f>
        <v>0</v>
      </c>
    </row>
    <row r="103" customFormat="false" ht="18" hidden="false" customHeight="true" outlineLevel="0" collapsed="false">
      <c r="A103" s="247" t="s">
        <v>287</v>
      </c>
      <c r="F103" s="347" t="n">
        <f aca="false">SUM(F101:F102)</f>
        <v>68510</v>
      </c>
      <c r="I103" s="291"/>
      <c r="J103" s="360" t="s">
        <v>288</v>
      </c>
      <c r="K103" s="360"/>
      <c r="L103" s="361" t="n">
        <v>0</v>
      </c>
      <c r="M103" s="352"/>
      <c r="N103" s="362" t="n">
        <v>-1000</v>
      </c>
      <c r="O103" s="359"/>
      <c r="P103" s="352" t="n">
        <f aca="false">SUM(L103:N103)</f>
        <v>-1000</v>
      </c>
    </row>
    <row r="104" customFormat="false" ht="13.5" hidden="false" customHeight="true" outlineLevel="0" collapsed="false">
      <c r="I104" s="291"/>
      <c r="J104" s="292" t="s">
        <v>289</v>
      </c>
      <c r="K104" s="287"/>
      <c r="L104" s="362" t="n">
        <f aca="false">SUM(L93:L103)</f>
        <v>72869</v>
      </c>
      <c r="M104" s="362"/>
      <c r="N104" s="362" t="n">
        <f aca="false">SUM(N93:N103)</f>
        <v>157588</v>
      </c>
      <c r="O104" s="363"/>
      <c r="P104" s="352"/>
    </row>
    <row r="105" customFormat="false" ht="14.1" hidden="false" customHeight="true" outlineLevel="0" collapsed="false">
      <c r="F105" s="337"/>
      <c r="I105" s="291"/>
      <c r="J105" s="364" t="s">
        <v>290</v>
      </c>
      <c r="K105" s="287"/>
      <c r="L105" s="359"/>
      <c r="M105" s="359" t="n">
        <f aca="false">L104+N104</f>
        <v>230457</v>
      </c>
      <c r="N105" s="363"/>
      <c r="O105" s="359"/>
      <c r="P105" s="325"/>
    </row>
    <row r="106" customFormat="false" ht="14.1" hidden="false" customHeight="true" outlineLevel="0" collapsed="false">
      <c r="F106" s="249" t="s">
        <v>291</v>
      </c>
      <c r="I106" s="365" t="s">
        <v>292</v>
      </c>
      <c r="J106" s="365"/>
      <c r="K106" s="287"/>
      <c r="L106" s="352"/>
      <c r="M106" s="352" t="n">
        <f aca="false">SUM(B5:B8)*-1</f>
        <v>-24293</v>
      </c>
      <c r="N106" s="359"/>
      <c r="O106" s="359"/>
      <c r="P106" s="325"/>
    </row>
    <row r="107" customFormat="false" ht="14.1" hidden="false" customHeight="true" outlineLevel="0" collapsed="false">
      <c r="A107" s="366"/>
      <c r="B107" s="367"/>
      <c r="C107" s="368"/>
      <c r="D107" s="369" t="s">
        <v>293</v>
      </c>
      <c r="E107" s="261"/>
      <c r="F107" s="276" t="n">
        <f aca="false">+OCCMarkets!H37</f>
        <v>0</v>
      </c>
      <c r="G107" s="261"/>
      <c r="H107" s="261" t="s">
        <v>294</v>
      </c>
      <c r="I107" s="291"/>
      <c r="J107" s="370" t="s">
        <v>295</v>
      </c>
      <c r="K107" s="292"/>
      <c r="L107" s="352"/>
      <c r="M107" s="352" t="n">
        <f aca="false">-B37</f>
        <v>-70000</v>
      </c>
      <c r="N107" s="359"/>
      <c r="O107" s="359"/>
      <c r="P107" s="325"/>
    </row>
    <row r="108" customFormat="false" ht="15" hidden="false" customHeight="true" outlineLevel="0" collapsed="false">
      <c r="A108" s="366"/>
      <c r="B108" s="367"/>
      <c r="C108" s="371"/>
      <c r="D108" s="369" t="s">
        <v>293</v>
      </c>
      <c r="E108" s="261"/>
      <c r="F108" s="276" t="n">
        <f aca="false">+EES!M36</f>
        <v>0</v>
      </c>
      <c r="G108" s="261"/>
      <c r="H108" s="261" t="s">
        <v>296</v>
      </c>
      <c r="I108" s="291"/>
      <c r="J108" s="292" t="s">
        <v>297</v>
      </c>
      <c r="K108" s="287"/>
      <c r="L108" s="361"/>
      <c r="M108" s="372"/>
      <c r="N108" s="362"/>
      <c r="O108" s="324"/>
      <c r="P108" s="325"/>
    </row>
    <row r="109" customFormat="false" ht="15" hidden="false" customHeight="true" outlineLevel="0" collapsed="false">
      <c r="A109" s="373"/>
      <c r="B109" s="374"/>
      <c r="C109" s="375"/>
      <c r="D109" s="376"/>
      <c r="E109" s="376"/>
      <c r="F109" s="376" t="s">
        <v>298</v>
      </c>
      <c r="G109" s="344"/>
      <c r="H109" s="344"/>
      <c r="I109" s="291"/>
      <c r="J109" s="292"/>
      <c r="K109" s="287"/>
      <c r="L109" s="377"/>
      <c r="M109" s="377" t="n">
        <f aca="false">+M105+M106+M107+M108</f>
        <v>136164</v>
      </c>
      <c r="N109" s="378"/>
      <c r="O109" s="324"/>
      <c r="P109" s="325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344"/>
      <c r="AD109" s="344"/>
      <c r="AE109" s="344"/>
      <c r="AF109" s="344"/>
      <c r="AG109" s="344"/>
      <c r="AH109" s="344"/>
      <c r="AI109" s="344"/>
      <c r="AJ109" s="344"/>
      <c r="AK109" s="344"/>
      <c r="AL109" s="344"/>
      <c r="AM109" s="344"/>
      <c r="AN109" s="344"/>
      <c r="AO109" s="344"/>
      <c r="AP109" s="344"/>
      <c r="AQ109" s="344"/>
      <c r="AR109" s="344"/>
      <c r="AS109" s="344"/>
      <c r="AT109" s="344"/>
      <c r="AU109" s="344"/>
      <c r="AV109" s="344"/>
      <c r="AW109" s="344"/>
      <c r="AX109" s="344"/>
      <c r="AY109" s="344"/>
      <c r="AZ109" s="344"/>
      <c r="BA109" s="344"/>
      <c r="BB109" s="344"/>
      <c r="BC109" s="344"/>
      <c r="BD109" s="344"/>
      <c r="BE109" s="344"/>
      <c r="BF109" s="344"/>
      <c r="BG109" s="344"/>
      <c r="BH109" s="344"/>
      <c r="BI109" s="344"/>
      <c r="BJ109" s="344"/>
      <c r="BK109" s="344"/>
      <c r="BL109" s="344"/>
      <c r="BM109" s="344"/>
      <c r="BN109" s="344"/>
      <c r="BO109" s="344"/>
      <c r="BP109" s="344"/>
      <c r="BQ109" s="344"/>
      <c r="BR109" s="344"/>
      <c r="BS109" s="344"/>
      <c r="BT109" s="344"/>
      <c r="BU109" s="344"/>
      <c r="BV109" s="344"/>
      <c r="BW109" s="344"/>
      <c r="BX109" s="344"/>
      <c r="BY109" s="344"/>
      <c r="BZ109" s="344"/>
      <c r="CA109" s="344"/>
      <c r="CB109" s="344"/>
      <c r="CC109" s="344"/>
      <c r="CD109" s="344"/>
      <c r="CE109" s="344"/>
      <c r="CF109" s="344"/>
      <c r="CG109" s="344"/>
      <c r="CH109" s="344"/>
      <c r="CI109" s="344"/>
      <c r="CJ109" s="344"/>
      <c r="CK109" s="344"/>
      <c r="CL109" s="344"/>
      <c r="CM109" s="344"/>
      <c r="CN109" s="344"/>
      <c r="CO109" s="344"/>
      <c r="CP109" s="344"/>
      <c r="CQ109" s="344"/>
      <c r="CR109" s="344"/>
      <c r="CS109" s="344"/>
      <c r="CT109" s="344"/>
      <c r="CU109" s="344"/>
      <c r="CV109" s="344"/>
      <c r="CW109" s="344"/>
      <c r="CX109" s="344"/>
      <c r="CY109" s="344"/>
      <c r="CZ109" s="344"/>
      <c r="DA109" s="344"/>
      <c r="DB109" s="344"/>
      <c r="DC109" s="344"/>
      <c r="DD109" s="344"/>
      <c r="DE109" s="344"/>
      <c r="DF109" s="344"/>
      <c r="DG109" s="344"/>
      <c r="DH109" s="344"/>
      <c r="DI109" s="344"/>
      <c r="DJ109" s="344"/>
      <c r="DK109" s="344"/>
      <c r="DL109" s="344"/>
      <c r="DM109" s="344"/>
      <c r="DN109" s="344"/>
      <c r="DO109" s="344"/>
      <c r="DP109" s="344"/>
      <c r="DQ109" s="344"/>
      <c r="DR109" s="344"/>
      <c r="DS109" s="344"/>
      <c r="DT109" s="344"/>
      <c r="DU109" s="344"/>
      <c r="DV109" s="344"/>
      <c r="DW109" s="344"/>
      <c r="DX109" s="344"/>
      <c r="DY109" s="344"/>
      <c r="DZ109" s="344"/>
      <c r="EA109" s="344"/>
      <c r="EB109" s="344"/>
      <c r="EC109" s="344"/>
      <c r="ED109" s="344"/>
      <c r="EE109" s="344"/>
      <c r="EF109" s="344"/>
      <c r="EG109" s="344"/>
      <c r="EH109" s="344"/>
      <c r="EI109" s="344"/>
      <c r="EJ109" s="344"/>
      <c r="EK109" s="344"/>
      <c r="EL109" s="344"/>
      <c r="EM109" s="344"/>
      <c r="EN109" s="344"/>
      <c r="EO109" s="344"/>
      <c r="EP109" s="344"/>
      <c r="EQ109" s="344"/>
      <c r="ER109" s="344"/>
      <c r="ES109" s="344"/>
      <c r="ET109" s="344"/>
      <c r="EU109" s="344"/>
      <c r="EV109" s="344"/>
      <c r="EW109" s="344"/>
      <c r="EX109" s="344"/>
      <c r="EY109" s="344"/>
      <c r="EZ109" s="344"/>
      <c r="FA109" s="344"/>
      <c r="FB109" s="344"/>
      <c r="FC109" s="344"/>
      <c r="FD109" s="344"/>
      <c r="FE109" s="344"/>
      <c r="FF109" s="344"/>
      <c r="FG109" s="344"/>
      <c r="FH109" s="344"/>
      <c r="FI109" s="344"/>
      <c r="FJ109" s="344"/>
      <c r="FK109" s="344"/>
      <c r="FL109" s="344"/>
      <c r="FM109" s="344"/>
      <c r="FN109" s="344"/>
      <c r="FO109" s="344"/>
      <c r="FP109" s="344"/>
      <c r="FQ109" s="344"/>
      <c r="FR109" s="344"/>
      <c r="FS109" s="344"/>
      <c r="FT109" s="344"/>
      <c r="FU109" s="344"/>
      <c r="FV109" s="344"/>
      <c r="FW109" s="344"/>
      <c r="FX109" s="344"/>
      <c r="FY109" s="344"/>
      <c r="FZ109" s="344"/>
      <c r="GA109" s="344"/>
      <c r="GB109" s="344"/>
      <c r="GC109" s="344"/>
      <c r="GD109" s="344"/>
      <c r="GE109" s="344"/>
      <c r="GF109" s="344"/>
      <c r="GG109" s="344"/>
      <c r="GH109" s="344"/>
      <c r="GI109" s="344"/>
      <c r="GJ109" s="344"/>
      <c r="GK109" s="344"/>
      <c r="GL109" s="344"/>
      <c r="GM109" s="344"/>
      <c r="GN109" s="344"/>
      <c r="GO109" s="344"/>
      <c r="GP109" s="344"/>
      <c r="GQ109" s="344"/>
      <c r="GR109" s="344"/>
      <c r="GS109" s="344"/>
      <c r="GT109" s="344"/>
      <c r="GU109" s="344"/>
      <c r="GV109" s="344"/>
      <c r="GW109" s="344"/>
      <c r="GX109" s="344"/>
      <c r="GY109" s="344"/>
      <c r="GZ109" s="344"/>
      <c r="HA109" s="344"/>
      <c r="HB109" s="344"/>
      <c r="HC109" s="344"/>
      <c r="HD109" s="344"/>
      <c r="HE109" s="344"/>
      <c r="HF109" s="344"/>
      <c r="HG109" s="344"/>
      <c r="HH109" s="344"/>
      <c r="HI109" s="344"/>
      <c r="HJ109" s="344"/>
      <c r="HK109" s="344"/>
      <c r="HL109" s="344"/>
      <c r="HM109" s="344"/>
      <c r="HN109" s="344"/>
      <c r="HO109" s="344"/>
      <c r="HP109" s="344"/>
      <c r="HQ109" s="344"/>
      <c r="HR109" s="344"/>
      <c r="HS109" s="344"/>
      <c r="HT109" s="344"/>
      <c r="HU109" s="344"/>
      <c r="HV109" s="344"/>
      <c r="HW109" s="344"/>
      <c r="HX109" s="344"/>
      <c r="HY109" s="344"/>
      <c r="HZ109" s="344"/>
      <c r="IA109" s="344"/>
      <c r="IB109" s="344"/>
      <c r="IC109" s="344"/>
      <c r="ID109" s="344"/>
      <c r="IE109" s="344"/>
      <c r="IF109" s="344"/>
      <c r="IG109" s="344"/>
      <c r="IH109" s="344"/>
      <c r="II109" s="344"/>
      <c r="IJ109" s="344"/>
      <c r="IK109" s="344"/>
      <c r="IL109" s="344"/>
      <c r="IM109" s="344"/>
      <c r="IN109" s="344"/>
      <c r="IO109" s="344"/>
      <c r="IP109" s="344"/>
      <c r="IQ109" s="344"/>
      <c r="IR109" s="344"/>
      <c r="IS109" s="344"/>
      <c r="IT109" s="344"/>
      <c r="IU109" s="344"/>
      <c r="IV109" s="344"/>
      <c r="IW109" s="344"/>
    </row>
    <row r="110" customFormat="false" ht="14.1" hidden="false" customHeight="true" outlineLevel="0" collapsed="false">
      <c r="A110" s="379"/>
      <c r="B110" s="380"/>
      <c r="C110" s="375"/>
      <c r="D110" s="376"/>
      <c r="E110" s="376"/>
      <c r="F110" s="376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  <c r="R110" s="344"/>
      <c r="S110" s="344"/>
      <c r="T110" s="344"/>
      <c r="U110" s="344"/>
      <c r="V110" s="344"/>
      <c r="W110" s="344"/>
      <c r="X110" s="344"/>
      <c r="Y110" s="344"/>
      <c r="Z110" s="344"/>
      <c r="AA110" s="344"/>
      <c r="AB110" s="344"/>
      <c r="AC110" s="344"/>
      <c r="AD110" s="344"/>
      <c r="AE110" s="344"/>
      <c r="AF110" s="344"/>
      <c r="AG110" s="344"/>
      <c r="AH110" s="344"/>
      <c r="AI110" s="344"/>
      <c r="AJ110" s="344"/>
      <c r="AK110" s="344"/>
      <c r="AL110" s="344"/>
      <c r="AM110" s="344"/>
      <c r="AN110" s="344"/>
      <c r="AO110" s="344"/>
      <c r="AP110" s="344"/>
      <c r="AQ110" s="344"/>
      <c r="AR110" s="344"/>
      <c r="AS110" s="344"/>
      <c r="AT110" s="344"/>
      <c r="AU110" s="344"/>
      <c r="AV110" s="344"/>
      <c r="AW110" s="344"/>
      <c r="AX110" s="344"/>
      <c r="AY110" s="344"/>
      <c r="AZ110" s="344"/>
      <c r="BA110" s="344"/>
      <c r="BB110" s="344"/>
      <c r="BC110" s="344"/>
      <c r="BD110" s="344"/>
      <c r="BE110" s="344"/>
      <c r="BF110" s="344"/>
      <c r="BG110" s="344"/>
      <c r="BH110" s="344"/>
      <c r="BI110" s="344"/>
      <c r="BJ110" s="344"/>
      <c r="BK110" s="344"/>
      <c r="BL110" s="344"/>
      <c r="BM110" s="344"/>
      <c r="BN110" s="344"/>
      <c r="BO110" s="344"/>
      <c r="BP110" s="344"/>
      <c r="BQ110" s="344"/>
      <c r="BR110" s="344"/>
      <c r="BS110" s="344"/>
      <c r="BT110" s="344"/>
      <c r="BU110" s="344"/>
      <c r="BV110" s="344"/>
      <c r="BW110" s="344"/>
      <c r="BX110" s="344"/>
      <c r="BY110" s="344"/>
      <c r="BZ110" s="344"/>
      <c r="CA110" s="344"/>
      <c r="CB110" s="344"/>
      <c r="CC110" s="344"/>
      <c r="CD110" s="344"/>
      <c r="CE110" s="344"/>
      <c r="CF110" s="344"/>
      <c r="CG110" s="344"/>
      <c r="CH110" s="344"/>
      <c r="CI110" s="344"/>
      <c r="CJ110" s="344"/>
      <c r="CK110" s="344"/>
      <c r="CL110" s="344"/>
      <c r="CM110" s="344"/>
      <c r="CN110" s="344"/>
      <c r="CO110" s="344"/>
      <c r="CP110" s="344"/>
      <c r="CQ110" s="344"/>
      <c r="CR110" s="344"/>
      <c r="CS110" s="344"/>
      <c r="CT110" s="344"/>
      <c r="CU110" s="344"/>
      <c r="CV110" s="344"/>
      <c r="CW110" s="344"/>
      <c r="CX110" s="344"/>
      <c r="CY110" s="344"/>
      <c r="CZ110" s="344"/>
      <c r="DA110" s="344"/>
      <c r="DB110" s="344"/>
      <c r="DC110" s="344"/>
      <c r="DD110" s="344"/>
      <c r="DE110" s="344"/>
      <c r="DF110" s="344"/>
      <c r="DG110" s="344"/>
      <c r="DH110" s="344"/>
      <c r="DI110" s="344"/>
      <c r="DJ110" s="344"/>
      <c r="DK110" s="344"/>
      <c r="DL110" s="344"/>
      <c r="DM110" s="344"/>
      <c r="DN110" s="344"/>
      <c r="DO110" s="344"/>
      <c r="DP110" s="344"/>
      <c r="DQ110" s="344"/>
      <c r="DR110" s="344"/>
      <c r="DS110" s="344"/>
      <c r="DT110" s="344"/>
      <c r="DU110" s="344"/>
      <c r="DV110" s="344"/>
      <c r="DW110" s="344"/>
      <c r="DX110" s="344"/>
      <c r="DY110" s="344"/>
      <c r="DZ110" s="344"/>
      <c r="EA110" s="344"/>
      <c r="EB110" s="344"/>
      <c r="EC110" s="344"/>
      <c r="ED110" s="344"/>
      <c r="EE110" s="344"/>
      <c r="EF110" s="344"/>
      <c r="EG110" s="344"/>
      <c r="EH110" s="344"/>
      <c r="EI110" s="344"/>
      <c r="EJ110" s="344"/>
      <c r="EK110" s="344"/>
      <c r="EL110" s="344"/>
      <c r="EM110" s="344"/>
      <c r="EN110" s="344"/>
      <c r="EO110" s="344"/>
      <c r="EP110" s="344"/>
      <c r="EQ110" s="344"/>
      <c r="ER110" s="344"/>
      <c r="ES110" s="344"/>
      <c r="ET110" s="344"/>
      <c r="EU110" s="344"/>
      <c r="EV110" s="344"/>
      <c r="EW110" s="344"/>
      <c r="EX110" s="344"/>
      <c r="EY110" s="344"/>
      <c r="EZ110" s="344"/>
      <c r="FA110" s="344"/>
      <c r="FB110" s="344"/>
      <c r="FC110" s="344"/>
      <c r="FD110" s="344"/>
      <c r="FE110" s="344"/>
      <c r="FF110" s="344"/>
      <c r="FG110" s="344"/>
      <c r="FH110" s="344"/>
      <c r="FI110" s="344"/>
      <c r="FJ110" s="344"/>
      <c r="FK110" s="344"/>
      <c r="FL110" s="344"/>
      <c r="FM110" s="344"/>
      <c r="FN110" s="344"/>
      <c r="FO110" s="344"/>
      <c r="FP110" s="344"/>
      <c r="FQ110" s="344"/>
      <c r="FR110" s="344"/>
      <c r="FS110" s="344"/>
      <c r="FT110" s="344"/>
      <c r="FU110" s="344"/>
      <c r="FV110" s="344"/>
      <c r="FW110" s="344"/>
      <c r="FX110" s="344"/>
      <c r="FY110" s="344"/>
      <c r="FZ110" s="344"/>
      <c r="GA110" s="344"/>
      <c r="GB110" s="344"/>
      <c r="GC110" s="344"/>
      <c r="GD110" s="344"/>
      <c r="GE110" s="344"/>
      <c r="GF110" s="344"/>
      <c r="GG110" s="344"/>
      <c r="GH110" s="344"/>
      <c r="GI110" s="344"/>
      <c r="GJ110" s="344"/>
      <c r="GK110" s="344"/>
      <c r="GL110" s="344"/>
      <c r="GM110" s="344"/>
      <c r="GN110" s="344"/>
      <c r="GO110" s="344"/>
      <c r="GP110" s="344"/>
      <c r="GQ110" s="344"/>
      <c r="GR110" s="344"/>
      <c r="GS110" s="344"/>
      <c r="GT110" s="344"/>
      <c r="GU110" s="344"/>
      <c r="GV110" s="344"/>
      <c r="GW110" s="344"/>
      <c r="GX110" s="344"/>
      <c r="GY110" s="344"/>
      <c r="GZ110" s="344"/>
      <c r="HA110" s="344"/>
      <c r="HB110" s="344"/>
      <c r="HC110" s="344"/>
      <c r="HD110" s="344"/>
      <c r="HE110" s="344"/>
      <c r="HF110" s="344"/>
      <c r="HG110" s="344"/>
      <c r="HH110" s="344"/>
      <c r="HI110" s="344"/>
      <c r="HJ110" s="344"/>
      <c r="HK110" s="344"/>
      <c r="HL110" s="344"/>
      <c r="HM110" s="344"/>
      <c r="HN110" s="344"/>
      <c r="HO110" s="344"/>
      <c r="HP110" s="344"/>
      <c r="HQ110" s="344"/>
      <c r="HR110" s="344"/>
      <c r="HS110" s="344"/>
      <c r="HT110" s="344"/>
      <c r="HU110" s="344"/>
      <c r="HV110" s="344"/>
      <c r="HW110" s="344"/>
      <c r="HX110" s="344"/>
      <c r="HY110" s="344"/>
      <c r="HZ110" s="344"/>
      <c r="IA110" s="344"/>
      <c r="IB110" s="344"/>
      <c r="IC110" s="344"/>
      <c r="ID110" s="344"/>
      <c r="IE110" s="344"/>
      <c r="IF110" s="344"/>
      <c r="IG110" s="344"/>
      <c r="IH110" s="344"/>
      <c r="II110" s="344"/>
      <c r="IJ110" s="344"/>
      <c r="IK110" s="344"/>
      <c r="IL110" s="344"/>
      <c r="IM110" s="344"/>
      <c r="IN110" s="344"/>
      <c r="IO110" s="344"/>
      <c r="IP110" s="344"/>
      <c r="IQ110" s="344"/>
      <c r="IR110" s="344"/>
      <c r="IS110" s="344"/>
      <c r="IT110" s="344"/>
      <c r="IU110" s="344"/>
      <c r="IV110" s="344"/>
      <c r="IW110" s="344"/>
    </row>
    <row r="111" customFormat="false" ht="12.95" hidden="false" customHeight="true" outlineLevel="0" collapsed="false">
      <c r="A111" s="21"/>
      <c r="B111" s="381"/>
      <c r="C111" s="382"/>
      <c r="D111" s="376"/>
      <c r="E111" s="376"/>
      <c r="F111" s="376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  <c r="R111" s="344"/>
      <c r="S111" s="344"/>
      <c r="T111" s="344"/>
      <c r="U111" s="344"/>
      <c r="V111" s="344"/>
      <c r="W111" s="344"/>
      <c r="X111" s="344"/>
      <c r="Y111" s="344"/>
      <c r="Z111" s="344"/>
      <c r="AA111" s="344"/>
      <c r="AB111" s="344"/>
      <c r="AC111" s="344"/>
      <c r="AD111" s="344"/>
      <c r="AE111" s="344"/>
      <c r="AF111" s="344"/>
      <c r="AG111" s="344"/>
      <c r="AH111" s="344"/>
      <c r="AI111" s="344"/>
      <c r="AJ111" s="344"/>
      <c r="AK111" s="344"/>
      <c r="AL111" s="344"/>
      <c r="AM111" s="344"/>
      <c r="AN111" s="344"/>
      <c r="AO111" s="344"/>
      <c r="AP111" s="344"/>
      <c r="AQ111" s="344"/>
      <c r="AR111" s="344"/>
      <c r="AS111" s="344"/>
      <c r="AT111" s="344"/>
      <c r="AU111" s="344"/>
      <c r="AV111" s="344"/>
      <c r="AW111" s="344"/>
      <c r="AX111" s="344"/>
      <c r="AY111" s="344"/>
      <c r="AZ111" s="344"/>
      <c r="BA111" s="344"/>
      <c r="BB111" s="344"/>
      <c r="BC111" s="344"/>
      <c r="BD111" s="344"/>
      <c r="BE111" s="344"/>
      <c r="BF111" s="344"/>
      <c r="BG111" s="344"/>
      <c r="BH111" s="344"/>
      <c r="BI111" s="344"/>
      <c r="BJ111" s="344"/>
      <c r="BK111" s="344"/>
      <c r="BL111" s="344"/>
      <c r="BM111" s="344"/>
      <c r="BN111" s="344"/>
      <c r="BO111" s="344"/>
      <c r="BP111" s="344"/>
      <c r="BQ111" s="344"/>
      <c r="BR111" s="344"/>
      <c r="BS111" s="344"/>
      <c r="BT111" s="344"/>
      <c r="BU111" s="344"/>
      <c r="BV111" s="344"/>
      <c r="BW111" s="344"/>
      <c r="BX111" s="344"/>
      <c r="BY111" s="344"/>
      <c r="BZ111" s="344"/>
      <c r="CA111" s="344"/>
      <c r="CB111" s="344"/>
      <c r="CC111" s="344"/>
      <c r="CD111" s="344"/>
      <c r="CE111" s="344"/>
      <c r="CF111" s="344"/>
      <c r="CG111" s="344"/>
      <c r="CH111" s="344"/>
      <c r="CI111" s="344"/>
      <c r="CJ111" s="344"/>
      <c r="CK111" s="344"/>
      <c r="CL111" s="344"/>
      <c r="CM111" s="344"/>
      <c r="CN111" s="344"/>
      <c r="CO111" s="344"/>
      <c r="CP111" s="344"/>
      <c r="CQ111" s="344"/>
      <c r="CR111" s="344"/>
      <c r="CS111" s="344"/>
      <c r="CT111" s="344"/>
      <c r="CU111" s="344"/>
      <c r="CV111" s="344"/>
      <c r="CW111" s="344"/>
      <c r="CX111" s="344"/>
      <c r="CY111" s="344"/>
      <c r="CZ111" s="344"/>
      <c r="DA111" s="344"/>
      <c r="DB111" s="344"/>
      <c r="DC111" s="344"/>
      <c r="DD111" s="344"/>
      <c r="DE111" s="344"/>
      <c r="DF111" s="344"/>
      <c r="DG111" s="344"/>
      <c r="DH111" s="344"/>
      <c r="DI111" s="344"/>
      <c r="DJ111" s="344"/>
      <c r="DK111" s="344"/>
      <c r="DL111" s="344"/>
      <c r="DM111" s="344"/>
      <c r="DN111" s="344"/>
      <c r="DO111" s="344"/>
      <c r="DP111" s="344"/>
      <c r="DQ111" s="344"/>
      <c r="DR111" s="344"/>
      <c r="DS111" s="344"/>
      <c r="DT111" s="344"/>
      <c r="DU111" s="344"/>
      <c r="DV111" s="344"/>
      <c r="DW111" s="344"/>
      <c r="DX111" s="344"/>
      <c r="DY111" s="344"/>
      <c r="DZ111" s="344"/>
      <c r="EA111" s="344"/>
      <c r="EB111" s="344"/>
      <c r="EC111" s="344"/>
      <c r="ED111" s="344"/>
      <c r="EE111" s="344"/>
      <c r="EF111" s="344"/>
      <c r="EG111" s="344"/>
      <c r="EH111" s="344"/>
      <c r="EI111" s="344"/>
      <c r="EJ111" s="344"/>
      <c r="EK111" s="344"/>
      <c r="EL111" s="344"/>
      <c r="EM111" s="344"/>
      <c r="EN111" s="344"/>
      <c r="EO111" s="344"/>
      <c r="EP111" s="344"/>
      <c r="EQ111" s="344"/>
      <c r="ER111" s="344"/>
      <c r="ES111" s="344"/>
      <c r="ET111" s="344"/>
      <c r="EU111" s="344"/>
      <c r="EV111" s="344"/>
      <c r="EW111" s="344"/>
      <c r="EX111" s="344"/>
      <c r="EY111" s="344"/>
      <c r="EZ111" s="344"/>
      <c r="FA111" s="344"/>
      <c r="FB111" s="344"/>
      <c r="FC111" s="344"/>
      <c r="FD111" s="344"/>
      <c r="FE111" s="344"/>
      <c r="FF111" s="344"/>
      <c r="FG111" s="344"/>
      <c r="FH111" s="344"/>
      <c r="FI111" s="344"/>
      <c r="FJ111" s="344"/>
      <c r="FK111" s="344"/>
      <c r="FL111" s="344"/>
      <c r="FM111" s="344"/>
      <c r="FN111" s="344"/>
      <c r="FO111" s="344"/>
      <c r="FP111" s="344"/>
      <c r="FQ111" s="344"/>
      <c r="FR111" s="344"/>
      <c r="FS111" s="344"/>
      <c r="FT111" s="344"/>
      <c r="FU111" s="344"/>
      <c r="FV111" s="344"/>
      <c r="FW111" s="344"/>
      <c r="FX111" s="344"/>
      <c r="FY111" s="344"/>
      <c r="FZ111" s="344"/>
      <c r="GA111" s="344"/>
      <c r="GB111" s="344"/>
      <c r="GC111" s="344"/>
      <c r="GD111" s="344"/>
      <c r="GE111" s="344"/>
      <c r="GF111" s="344"/>
      <c r="GG111" s="344"/>
      <c r="GH111" s="344"/>
      <c r="GI111" s="344"/>
      <c r="GJ111" s="344"/>
      <c r="GK111" s="344"/>
      <c r="GL111" s="344"/>
      <c r="GM111" s="344"/>
      <c r="GN111" s="344"/>
      <c r="GO111" s="344"/>
      <c r="GP111" s="344"/>
      <c r="GQ111" s="344"/>
      <c r="GR111" s="344"/>
      <c r="GS111" s="344"/>
      <c r="GT111" s="344"/>
      <c r="GU111" s="344"/>
      <c r="GV111" s="344"/>
      <c r="GW111" s="344"/>
      <c r="GX111" s="344"/>
      <c r="GY111" s="344"/>
      <c r="GZ111" s="344"/>
      <c r="HA111" s="344"/>
      <c r="HB111" s="344"/>
      <c r="HC111" s="344"/>
      <c r="HD111" s="344"/>
      <c r="HE111" s="344"/>
      <c r="HF111" s="344"/>
      <c r="HG111" s="344"/>
      <c r="HH111" s="344"/>
      <c r="HI111" s="344"/>
      <c r="HJ111" s="344"/>
      <c r="HK111" s="344"/>
      <c r="HL111" s="344"/>
      <c r="HM111" s="344"/>
      <c r="HN111" s="344"/>
      <c r="HO111" s="344"/>
      <c r="HP111" s="344"/>
      <c r="HQ111" s="344"/>
      <c r="HR111" s="344"/>
      <c r="HS111" s="344"/>
      <c r="HT111" s="344"/>
      <c r="HU111" s="344"/>
      <c r="HV111" s="344"/>
      <c r="HW111" s="344"/>
      <c r="HX111" s="344"/>
      <c r="HY111" s="344"/>
      <c r="HZ111" s="344"/>
      <c r="IA111" s="344"/>
      <c r="IB111" s="344"/>
      <c r="IC111" s="344"/>
      <c r="ID111" s="344"/>
      <c r="IE111" s="344"/>
      <c r="IF111" s="344"/>
      <c r="IG111" s="344"/>
      <c r="IH111" s="344"/>
      <c r="II111" s="344"/>
      <c r="IJ111" s="344"/>
      <c r="IK111" s="344"/>
      <c r="IL111" s="344"/>
      <c r="IM111" s="344"/>
      <c r="IN111" s="344"/>
      <c r="IO111" s="344"/>
      <c r="IP111" s="344"/>
      <c r="IQ111" s="344"/>
      <c r="IR111" s="344"/>
      <c r="IS111" s="344"/>
      <c r="IT111" s="344"/>
      <c r="IU111" s="344"/>
      <c r="IV111" s="344"/>
      <c r="IW111" s="344"/>
    </row>
    <row r="112" customFormat="false" ht="14.1" hidden="false" customHeight="true" outlineLevel="0" collapsed="false">
      <c r="A112" s="21"/>
      <c r="B112" s="344"/>
      <c r="C112" s="383"/>
      <c r="D112" s="376"/>
      <c r="E112" s="376"/>
      <c r="F112" s="376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  <c r="R112" s="344"/>
      <c r="S112" s="344"/>
      <c r="T112" s="344"/>
      <c r="U112" s="344"/>
      <c r="V112" s="344"/>
      <c r="W112" s="344"/>
      <c r="X112" s="344"/>
      <c r="Y112" s="344"/>
      <c r="Z112" s="344"/>
      <c r="AA112" s="344"/>
      <c r="AB112" s="344"/>
      <c r="AC112" s="344"/>
      <c r="AD112" s="344"/>
      <c r="AE112" s="344"/>
      <c r="AF112" s="344"/>
      <c r="AG112" s="344"/>
      <c r="AH112" s="344"/>
      <c r="AI112" s="344"/>
      <c r="AJ112" s="344"/>
      <c r="AK112" s="344"/>
      <c r="AL112" s="344"/>
      <c r="AM112" s="344"/>
      <c r="AN112" s="344"/>
      <c r="AO112" s="344"/>
      <c r="AP112" s="344"/>
      <c r="AQ112" s="344"/>
      <c r="AR112" s="344"/>
      <c r="AS112" s="344"/>
      <c r="AT112" s="344"/>
      <c r="AU112" s="344"/>
      <c r="AV112" s="344"/>
      <c r="AW112" s="344"/>
      <c r="AX112" s="344"/>
      <c r="AY112" s="344"/>
      <c r="AZ112" s="344"/>
      <c r="BA112" s="344"/>
      <c r="BB112" s="344"/>
      <c r="BC112" s="344"/>
      <c r="BD112" s="344"/>
      <c r="BE112" s="344"/>
      <c r="BF112" s="344"/>
      <c r="BG112" s="344"/>
      <c r="BH112" s="344"/>
      <c r="BI112" s="344"/>
      <c r="BJ112" s="344"/>
      <c r="BK112" s="344"/>
      <c r="BL112" s="344"/>
      <c r="BM112" s="344"/>
      <c r="BN112" s="344"/>
      <c r="BO112" s="344"/>
      <c r="BP112" s="344"/>
      <c r="BQ112" s="344"/>
      <c r="BR112" s="344"/>
      <c r="BS112" s="344"/>
      <c r="BT112" s="344"/>
      <c r="BU112" s="344"/>
      <c r="BV112" s="344"/>
      <c r="BW112" s="344"/>
      <c r="BX112" s="344"/>
      <c r="BY112" s="344"/>
      <c r="BZ112" s="344"/>
      <c r="CA112" s="344"/>
      <c r="CB112" s="344"/>
      <c r="CC112" s="344"/>
      <c r="CD112" s="344"/>
      <c r="CE112" s="344"/>
      <c r="CF112" s="344"/>
      <c r="CG112" s="344"/>
      <c r="CH112" s="344"/>
      <c r="CI112" s="344"/>
      <c r="CJ112" s="344"/>
      <c r="CK112" s="344"/>
      <c r="CL112" s="344"/>
      <c r="CM112" s="344"/>
      <c r="CN112" s="344"/>
      <c r="CO112" s="344"/>
      <c r="CP112" s="344"/>
      <c r="CQ112" s="344"/>
      <c r="CR112" s="344"/>
      <c r="CS112" s="344"/>
      <c r="CT112" s="344"/>
      <c r="CU112" s="344"/>
      <c r="CV112" s="344"/>
      <c r="CW112" s="344"/>
      <c r="CX112" s="344"/>
      <c r="CY112" s="344"/>
      <c r="CZ112" s="344"/>
      <c r="DA112" s="344"/>
      <c r="DB112" s="344"/>
      <c r="DC112" s="344"/>
      <c r="DD112" s="344"/>
      <c r="DE112" s="344"/>
      <c r="DF112" s="344"/>
      <c r="DG112" s="344"/>
      <c r="DH112" s="344"/>
      <c r="DI112" s="344"/>
      <c r="DJ112" s="344"/>
      <c r="DK112" s="344"/>
      <c r="DL112" s="344"/>
      <c r="DM112" s="344"/>
      <c r="DN112" s="344"/>
      <c r="DO112" s="344"/>
      <c r="DP112" s="344"/>
      <c r="DQ112" s="344"/>
      <c r="DR112" s="344"/>
      <c r="DS112" s="344"/>
      <c r="DT112" s="344"/>
      <c r="DU112" s="344"/>
      <c r="DV112" s="344"/>
      <c r="DW112" s="344"/>
      <c r="DX112" s="344"/>
      <c r="DY112" s="344"/>
      <c r="DZ112" s="344"/>
      <c r="EA112" s="344"/>
      <c r="EB112" s="344"/>
      <c r="EC112" s="344"/>
      <c r="ED112" s="344"/>
      <c r="EE112" s="344"/>
      <c r="EF112" s="344"/>
      <c r="EG112" s="344"/>
      <c r="EH112" s="344"/>
      <c r="EI112" s="344"/>
      <c r="EJ112" s="344"/>
      <c r="EK112" s="344"/>
      <c r="EL112" s="344"/>
      <c r="EM112" s="344"/>
      <c r="EN112" s="344"/>
      <c r="EO112" s="344"/>
      <c r="EP112" s="344"/>
      <c r="EQ112" s="344"/>
      <c r="ER112" s="344"/>
      <c r="ES112" s="344"/>
      <c r="ET112" s="344"/>
      <c r="EU112" s="344"/>
      <c r="EV112" s="344"/>
      <c r="EW112" s="344"/>
      <c r="EX112" s="344"/>
      <c r="EY112" s="344"/>
      <c r="EZ112" s="344"/>
      <c r="FA112" s="344"/>
      <c r="FB112" s="344"/>
      <c r="FC112" s="344"/>
      <c r="FD112" s="344"/>
      <c r="FE112" s="344"/>
      <c r="FF112" s="344"/>
      <c r="FG112" s="344"/>
      <c r="FH112" s="344"/>
      <c r="FI112" s="344"/>
      <c r="FJ112" s="344"/>
      <c r="FK112" s="344"/>
      <c r="FL112" s="344"/>
      <c r="FM112" s="344"/>
      <c r="FN112" s="344"/>
      <c r="FO112" s="344"/>
      <c r="FP112" s="344"/>
      <c r="FQ112" s="344"/>
      <c r="FR112" s="344"/>
      <c r="FS112" s="344"/>
      <c r="FT112" s="344"/>
      <c r="FU112" s="344"/>
      <c r="FV112" s="344"/>
      <c r="FW112" s="344"/>
      <c r="FX112" s="344"/>
      <c r="FY112" s="344"/>
      <c r="FZ112" s="344"/>
      <c r="GA112" s="344"/>
      <c r="GB112" s="344"/>
      <c r="GC112" s="344"/>
      <c r="GD112" s="344"/>
      <c r="GE112" s="344"/>
      <c r="GF112" s="344"/>
      <c r="GG112" s="344"/>
      <c r="GH112" s="344"/>
      <c r="GI112" s="344"/>
      <c r="GJ112" s="344"/>
      <c r="GK112" s="344"/>
      <c r="GL112" s="344"/>
      <c r="GM112" s="344"/>
      <c r="GN112" s="344"/>
      <c r="GO112" s="344"/>
      <c r="GP112" s="344"/>
      <c r="GQ112" s="344"/>
      <c r="GR112" s="344"/>
      <c r="GS112" s="344"/>
      <c r="GT112" s="344"/>
      <c r="GU112" s="344"/>
      <c r="GV112" s="344"/>
      <c r="GW112" s="344"/>
      <c r="GX112" s="344"/>
      <c r="GY112" s="344"/>
      <c r="GZ112" s="344"/>
      <c r="HA112" s="344"/>
      <c r="HB112" s="344"/>
      <c r="HC112" s="344"/>
      <c r="HD112" s="344"/>
      <c r="HE112" s="344"/>
      <c r="HF112" s="344"/>
      <c r="HG112" s="344"/>
      <c r="HH112" s="344"/>
      <c r="HI112" s="344"/>
      <c r="HJ112" s="344"/>
      <c r="HK112" s="344"/>
      <c r="HL112" s="344"/>
      <c r="HM112" s="344"/>
      <c r="HN112" s="344"/>
      <c r="HO112" s="344"/>
      <c r="HP112" s="344"/>
      <c r="HQ112" s="344"/>
      <c r="HR112" s="344"/>
      <c r="HS112" s="344"/>
      <c r="HT112" s="344"/>
      <c r="HU112" s="344"/>
      <c r="HV112" s="344"/>
      <c r="HW112" s="344"/>
      <c r="HX112" s="344"/>
      <c r="HY112" s="344"/>
      <c r="HZ112" s="344"/>
      <c r="IA112" s="344"/>
      <c r="IB112" s="344"/>
      <c r="IC112" s="344"/>
      <c r="ID112" s="344"/>
      <c r="IE112" s="344"/>
      <c r="IF112" s="344"/>
      <c r="IG112" s="344"/>
      <c r="IH112" s="344"/>
      <c r="II112" s="344"/>
      <c r="IJ112" s="344"/>
      <c r="IK112" s="344"/>
      <c r="IL112" s="344"/>
      <c r="IM112" s="344"/>
      <c r="IN112" s="344"/>
      <c r="IO112" s="344"/>
      <c r="IP112" s="344"/>
      <c r="IQ112" s="344"/>
      <c r="IR112" s="344"/>
      <c r="IS112" s="344"/>
      <c r="IT112" s="344"/>
      <c r="IU112" s="344"/>
      <c r="IV112" s="344"/>
      <c r="IW112" s="344"/>
    </row>
    <row r="113" customFormat="false" ht="12.95" hidden="false" customHeight="true" outlineLevel="0" collapsed="false">
      <c r="A113" s="255"/>
      <c r="C113" s="338"/>
    </row>
    <row r="114" customFormat="false" ht="12.95" hidden="false" customHeight="true" outlineLevel="0" collapsed="false">
      <c r="C114" s="319"/>
    </row>
    <row r="115" customFormat="false" ht="12.95" hidden="false" customHeight="true" outlineLevel="0" collapsed="false">
      <c r="C115" s="319"/>
    </row>
    <row r="116" customFormat="false" ht="12.95" hidden="false" customHeight="true" outlineLevel="0" collapsed="false">
      <c r="C116" s="319"/>
    </row>
    <row r="117" customFormat="false" ht="12.95" hidden="false" customHeight="true" outlineLevel="0" collapsed="false">
      <c r="C117" s="319"/>
    </row>
    <row r="118" customFormat="false" ht="12.95" hidden="false" customHeight="true" outlineLevel="0" collapsed="false">
      <c r="C118" s="319"/>
    </row>
    <row r="119" customFormat="false" ht="12.95" hidden="false" customHeight="true" outlineLevel="0" collapsed="false">
      <c r="C119" s="319"/>
    </row>
  </sheetData>
  <mergeCells count="9">
    <mergeCell ref="C1:D1"/>
    <mergeCell ref="L27:R27"/>
    <mergeCell ref="L35:R35"/>
    <mergeCell ref="L43:R43"/>
    <mergeCell ref="L51:R51"/>
    <mergeCell ref="L59:R59"/>
    <mergeCell ref="L67:R67"/>
    <mergeCell ref="J75:L75"/>
    <mergeCell ref="J91:N91"/>
  </mergeCells>
  <printOptions headings="false" gridLines="false" gridLinesSet="true" horizontalCentered="true" verticalCentered="false"/>
  <pageMargins left="0" right="0" top="0.270138888888889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1999-12-20T18:22:21Z</dcterms:created>
  <dc:creator>dsquirr</dc:creator>
  <dc:description/>
  <dc:language>en-US</dc:language>
  <cp:lastModifiedBy>msharif</cp:lastModifiedBy>
  <cp:lastPrinted>2000-06-30T10:35:39Z</cp:lastPrinted>
  <cp:revision>0</cp:revision>
  <dc:subject/>
  <dc:title/>
</cp:coreProperties>
</file>