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Compare" sheetId="3" state="visible" r:id="rId5"/>
    <sheet name="Assumptions" sheetId="4" state="visible" r:id="rId6"/>
    <sheet name="Price_Technical Assumption" sheetId="5" state="visible" r:id="rId7"/>
    <sheet name="IS" sheetId="6" state="visible" r:id="rId8"/>
    <sheet name="BS" sheetId="7" state="hidden" r:id="rId9"/>
    <sheet name="Returns Analysis" sheetId="8" state="visible" r:id="rId10"/>
    <sheet name="Debt" sheetId="9" state="visible" r:id="rId11"/>
    <sheet name="Depreciation" sheetId="10" state="visible" r:id="rId12"/>
    <sheet name="Taxes" sheetId="11" state="visible" r:id="rId13"/>
    <sheet name="IDC" sheetId="12" state="visible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function="false" hidden="false" localSheetId="3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8" name="_xlnm.Print_Area" vbProcedure="false">Debt!$A$2:$AF$69</definedName>
    <definedName function="false" hidden="false" localSheetId="8" name="_xlnm.Print_Titles" vbProcedure="false">Debt!$A:$A</definedName>
    <definedName function="false" hidden="false" localSheetId="9" name="_xlnm.Print_Area" vbProcedure="false">Depreciation!$A$2:$AH$50</definedName>
    <definedName function="false" hidden="false" localSheetId="9" name="_xlnm.Print_Titles" vbProcedure="false">Depreciation!$A:$A</definedName>
    <definedName function="false" hidden="false" localSheetId="11" name="_xlnm.Print_Area" vbProcedure="false">IDC!$A$2:$L$59</definedName>
    <definedName function="false" hidden="false" localSheetId="5" name="_xlnm.Print_Area" vbProcedure="false">IS!$A$2:$AG$45</definedName>
    <definedName function="false" hidden="false" localSheetId="5" name="_xlnm.Print_Titles" vbProcedure="false">IS!$A:$A</definedName>
    <definedName function="false" hidden="false" localSheetId="4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0" name="_xlnm.Print_Area" vbProcedure="false">Taxes!$A$2:$AF$41</definedName>
    <definedName function="false" hidden="false" localSheetId="10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AnnualHours" vbProcedure="false">[5]Assumptions!$G$15</definedName>
    <definedName function="false" hidden="false" localSheetId="2" name="Maint_Accrual" vbProcedure="false">[5]Assumptions!$N$17</definedName>
    <definedName function="false" hidden="false" localSheetId="2" name="PERIOD1" vbProcedure="false">'[6]Project Assumptions'!$F$38</definedName>
    <definedName function="false" hidden="false" localSheetId="2" name="PERIOD2" vbProcedure="false">'[6]Project Assumptions'!$G$38</definedName>
    <definedName function="false" hidden="false" localSheetId="2" name="principal" vbProcedure="false">'[6]Debt Amortization'!$D$98:$AC$98</definedName>
    <definedName function="false" hidden="false" localSheetId="2" name="StartMWh" vbProcedure="false">'[6]Project Assumptions'!$N$11</definedName>
    <definedName function="false" hidden="false" localSheetId="2" name="Variable" vbProcedure="false">[5]Assumptions!$L$12</definedName>
    <definedName function="false" hidden="false" localSheetId="2" name="WaterTreatmentVar" vbProcedure="false">[5]Assumptions!$L$10</definedName>
    <definedName function="false" hidden="false" localSheetId="2" name="wrn_test1_" vbProcedure="false">{"Income Statement",#N/A,FALSE,"CFMODEL";"Balance Sheet",#N/A,FALSE,"CFMODEL"}</definedName>
    <definedName function="false" hidden="false" localSheetId="2" name="wrn_test2_" vbProcedure="false">{"SourcesUses",#N/A,TRUE,"CFMODEL";"TransOverview",#N/A,TRUE,"CFMODEL"}</definedName>
    <definedName function="false" hidden="false" localSheetId="2" name="wrn_test3_" vbProcedure="false">{"SourcesUses",#N/A,TRUE,#N/A;"TransOverview",#N/A,TRUE,"CFMODEL"}</definedName>
    <definedName function="false" hidden="false" localSheetId="2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Changed from 2 turbines (deal specific)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38</xdr:row>
                <xdr:rowOff>8</xdr:rowOff>
              </xdr:from>
              <xdr:to>
                <xdr:col>9</xdr:col>
                <xdr:colOff>30</xdr:colOff>
                <xdr:row>42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16</xdr:rowOff>
              </xdr:from>
              <xdr:to>
                <xdr:col>10</xdr:col>
                <xdr:colOff>13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talk to Paul Clayton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18</xdr:row>
                <xdr:rowOff>11</xdr:rowOff>
              </xdr:from>
              <xdr:to>
                <xdr:col>15</xdr:col>
                <xdr:colOff>55</xdr:colOff>
                <xdr:row>21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<sst xmlns="http://schemas.openxmlformats.org/spreadsheetml/2006/main" count="579" uniqueCount="452">
  <si>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</si>
  <si>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</si>
  <si>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</si>
  <si>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</si>
  <si>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</si>
  <si>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</si>
  <si>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</si>
  <si>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</si>
  <si>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</si>
  <si>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</si>
  <si>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</si>
  <si>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</si>
  <si>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</si>
  <si>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</si>
  <si>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</si>
  <si>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</si>
  <si>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</si>
  <si>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</si>
  <si>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</si>
  <si>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</si>
  <si>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</si>
  <si>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</si>
  <si>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</si>
  <si>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</si>
  <si>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</si>
  <si>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</si>
  <si>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</si>
  <si>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</si>
  <si>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</si>
  <si>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</si>
  <si>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</si>
  <si>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</si>
  <si>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</si>
  <si>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</si>
  <si>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</si>
  <si>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</si>
  <si>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</si>
  <si>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</si>
  <si>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</si>
  <si>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</si>
  <si>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</si>
  <si>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</si>
  <si>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</si>
  <si>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</si>
  <si>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</si>
  <si>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</si>
  <si>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</si>
  <si>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</si>
  <si>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</si>
  <si>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</si>
  <si>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</si>
  <si>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</si>
  <si>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</si>
  <si>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</si>
  <si>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</si>
  <si>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</si>
  <si>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</si>
  <si>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</si>
  <si>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</si>
  <si>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</si>
  <si>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</si>
  <si>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</si>
  <si>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</si>
  <si>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</si>
  <si>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</si>
  <si>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</si>
  <si>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</si>
  <si>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</si>
  <si>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Comparison of LM 2500 vs. LM 6000</t>
  </si>
  <si>
    <t xml:space="preserve">LM 2500</t>
  </si>
  <si>
    <t xml:space="preserve">LM 6000</t>
  </si>
  <si>
    <t xml:space="preserve">Output Rating</t>
  </si>
  <si>
    <t xml:space="preserve">Heat Rate</t>
  </si>
  <si>
    <t xml:space="preserve"># of Turbines</t>
  </si>
  <si>
    <t xml:space="preserve">Total Output (MW's)</t>
  </si>
  <si>
    <t xml:space="preserve">Costs:</t>
  </si>
  <si>
    <t xml:space="preserve">Cost Per Turbine</t>
  </si>
  <si>
    <t xml:space="preserve">BOP</t>
  </si>
  <si>
    <t xml:space="preserve">All other Costs</t>
  </si>
  <si>
    <t xml:space="preserve">All-in Costs ($)</t>
  </si>
  <si>
    <t xml:space="preserve">$/kW</t>
  </si>
  <si>
    <t xml:space="preserve">30% Reduction</t>
  </si>
  <si>
    <t xml:space="preserve">Unhide Sub Debt, 1999 Columns</t>
  </si>
  <si>
    <t xml:space="preserve">PROJECT NAME: Rochester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</si>
  <si>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</si>
  <si>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</si>
  <si>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</si>
  <si>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</si>
  <si>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</si>
  <si>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</si>
  <si>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</si>
  <si>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</si>
  <si>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</si>
  <si>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</si>
  <si>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</si>
  <si>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</si>
  <si>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</si>
  <si>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</si>
  <si>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</si>
  <si>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</si>
  <si>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</si>
  <si>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</si>
  <si>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</si>
  <si>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</si>
  <si>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</si>
  <si>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</si>
  <si>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</si>
  <si>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</si>
  <si>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</si>
  <si>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</si>
  <si>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</si>
  <si>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</si>
  <si>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</si>
  <si>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</si>
  <si>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</si>
  <si>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</si>
  <si>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</si>
  <si>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</si>
  <si>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</si>
  <si>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</si>
  <si>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</si>
  <si>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</si>
  <si>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</si>
  <si>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</si>
  <si>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</si>
  <si>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</si>
  <si>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</si>
  <si>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</si>
  <si>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</si>
  <si>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</si>
  <si>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</si>
  <si>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</si>
  <si>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</si>
  <si>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</si>
  <si>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</si>
  <si>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</si>
  <si>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</si>
  <si>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</si>
  <si>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</si>
  <si>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</si>
  <si>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</si>
  <si>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</si>
  <si>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</si>
  <si>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</si>
  <si>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</si>
  <si>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</si>
  <si>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</si>
  <si>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</si>
  <si>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</si>
  <si>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MO</t>
  </si>
  <si>
    <t xml:space="preserve">Insurance</t>
  </si>
  <si>
    <t xml:space="preserve">  Fin Fan Cooler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</si>
  <si>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</si>
  <si>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</si>
  <si>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</si>
  <si>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</si>
  <si>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</si>
  <si>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</si>
  <si>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 (Substation)</t>
  </si>
  <si>
    <t xml:space="preserve">% of Initial Project Cost</t>
  </si>
  <si>
    <t xml:space="preserve">Admin Fees</t>
  </si>
  <si>
    <t xml:space="preserve">  SCR</t>
  </si>
  <si>
    <t xml:space="preserve">O&amp;M Fees plus capital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</si>
  <si>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</si>
  <si>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</si>
  <si>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</si>
  <si>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</si>
  <si>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</si>
  <si>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</si>
  <si>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</si>
  <si>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</si>
  <si>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</si>
  <si>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</si>
  <si>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</si>
  <si>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</si>
  <si>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</si>
  <si>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</si>
  <si>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</si>
  <si>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</si>
  <si>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</si>
  <si>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</si>
  <si>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</si>
  <si>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</si>
  <si>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</si>
  <si>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</si>
  <si>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</si>
  <si>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</si>
  <si>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</si>
  <si>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</si>
  <si>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</si>
  <si>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</si>
  <si>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</si>
  <si>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</si>
  <si>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</si>
  <si>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t xml:space="preserve">  Mobilization Expenses</t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</si>
  <si>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</si>
  <si>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</si>
  <si>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</si>
  <si>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</si>
  <si>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</si>
  <si>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</si>
  <si>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 During Construction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</si>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</sst>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0.0"/>
    <numFmt numFmtId="245" formatCode="_(* #,##0_);_(* \(#,##0\);_(* \-??_);_(@_)"/>
    <numFmt numFmtId="246" formatCode="_(\$* #,##0_);_(\$* \(#,##0\);_(\$* \-??_);_(@_)"/>
    <numFmt numFmtId="247" formatCode="#,##0.0_);[RED]\(#,##0.0\)"/>
    <numFmt numFmtId="248" formatCode="_(* #,##0.0_);_(* \(#,##0.0\);_(* \-??_);_(@_)"/>
    <numFmt numFmtId="249" formatCode="d\-mmm\-yy"/>
    <numFmt numFmtId="250" formatCode="0.00\x"/>
    <numFmt numFmtId="251" formatCode="0.000%"/>
    <numFmt numFmtId="252" formatCode="\$#,##0.00_);&quot;($&quot;#,##0.00\)"/>
    <numFmt numFmtId="253" formatCode="m/d/yy"/>
    <numFmt numFmtId="254" formatCode="_(* #,##0.000_);_(* \(#,##0.000\);_(* \-??_);_(@_)"/>
    <numFmt numFmtId="255" formatCode="0_)"/>
  </numFmts>
  <fonts count="10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6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4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7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3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0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3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4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7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3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8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5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2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2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9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9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5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9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6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2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1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7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7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9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10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externalLink" Target="externalLinks/externalLink5.xml"/><Relationship Id="rId20" Type="http://schemas.openxmlformats.org/officeDocument/2006/relationships/externalLink" Target="externalLinks/externalLink6.xml"/><Relationship Id="rId2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rownsville_01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UAE/United%20American%20Energy%2002-14-0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IS"/>
      <sheetName val="BS"/>
      <sheetName val="Returns Analysis"/>
      <sheetName val="Debt"/>
      <sheetName val="IDC-Projec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Rochester</v>
      </c>
    </row>
    <row r="4" customFormat="false" ht="18.75" hidden="false" customHeight="false" outlineLevel="0" collapsed="false">
      <c r="A4" s="268" t="s">
        <v>372</v>
      </c>
    </row>
    <row r="5" customFormat="false" ht="12.75" hidden="false" customHeight="false" outlineLevel="0" collapsed="false">
      <c r="Z5" s="387"/>
    </row>
    <row r="6" customFormat="false" ht="12.75" hidden="false" customHeight="false" outlineLevel="0" collapsed="false">
      <c r="D6" s="235" t="n">
        <f aca="false">'Price_Technical Assumption'!D7</f>
        <v>0.666666666666667</v>
      </c>
      <c r="E6" s="235" t="n">
        <f aca="false">'Price_Technical Assumption'!E7</f>
        <v>1.66666666666667</v>
      </c>
      <c r="F6" s="235" t="n">
        <f aca="false">'Price_Technical Assumption'!F7</f>
        <v>2.66666666666667</v>
      </c>
      <c r="G6" s="235" t="n">
        <f aca="false">'Price_Technical Assumption'!G7</f>
        <v>3.66666666666667</v>
      </c>
      <c r="H6" s="235" t="n">
        <f aca="false">'Price_Technical Assumption'!H7</f>
        <v>4.66666666666667</v>
      </c>
      <c r="I6" s="235" t="n">
        <f aca="false">'Price_Technical Assumption'!I7</f>
        <v>5.66666666666667</v>
      </c>
      <c r="J6" s="235" t="n">
        <f aca="false">'Price_Technical Assumption'!J7</f>
        <v>6.66666666666667</v>
      </c>
      <c r="K6" s="235" t="n">
        <f aca="false">'Price_Technical Assumption'!K7</f>
        <v>7.66666666666667</v>
      </c>
      <c r="L6" s="235" t="n">
        <f aca="false">'Price_Technical Assumption'!L7</f>
        <v>8.66666666666667</v>
      </c>
      <c r="M6" s="235" t="n">
        <f aca="false">'Price_Technical Assumption'!M7</f>
        <v>9.66666666666667</v>
      </c>
      <c r="N6" s="235" t="n">
        <f aca="false">'Price_Technical Assumption'!N7</f>
        <v>10.6666666666667</v>
      </c>
      <c r="O6" s="235" t="n">
        <f aca="false">'Price_Technical Assumption'!O7</f>
        <v>11.6666666666667</v>
      </c>
      <c r="P6" s="235" t="n">
        <f aca="false">'Price_Technical Assumption'!P7</f>
        <v>12.6666666666667</v>
      </c>
      <c r="Q6" s="235" t="n">
        <f aca="false">'Price_Technical Assumption'!Q7</f>
        <v>13.6666666666667</v>
      </c>
      <c r="R6" s="235" t="n">
        <f aca="false">'Price_Technical Assumption'!R7</f>
        <v>14.6666666666667</v>
      </c>
      <c r="S6" s="235" t="n">
        <f aca="false">'Price_Technical Assumption'!S7</f>
        <v>15.6666666666667</v>
      </c>
      <c r="T6" s="235" t="n">
        <f aca="false">'Price_Technical Assumption'!T7</f>
        <v>16.6666666666667</v>
      </c>
      <c r="U6" s="235" t="n">
        <f aca="false">'Price_Technical Assumption'!U7</f>
        <v>17.6666666666667</v>
      </c>
      <c r="V6" s="235" t="n">
        <f aca="false">'Price_Technical Assumption'!V7</f>
        <v>18.6666666666667</v>
      </c>
      <c r="W6" s="235" t="n">
        <f aca="false">'Price_Technical Assumption'!W7</f>
        <v>19.6666666666667</v>
      </c>
      <c r="X6" s="235" t="n">
        <f aca="false">'Price_Technical Assumption'!X7</f>
        <v>20.6666666666667</v>
      </c>
      <c r="Y6" s="235" t="n">
        <f aca="false">'Price_Technical Assumption'!Y7</f>
        <v>21.6666666666667</v>
      </c>
      <c r="Z6" s="235" t="n">
        <f aca="false">'Price_Technical Assumption'!Z7</f>
        <v>22.6666666666667</v>
      </c>
      <c r="AA6" s="235" t="n">
        <f aca="false">'Price_Technical Assumption'!AA7</f>
        <v>23.6666666666667</v>
      </c>
      <c r="AB6" s="235" t="n">
        <f aca="false">'Price_Technical Assumption'!AB7</f>
        <v>24.6666666666667</v>
      </c>
      <c r="AC6" s="235" t="n">
        <f aca="false">'Price_Technical Assumption'!AC7</f>
        <v>25.6666666666667</v>
      </c>
      <c r="AD6" s="235" t="n">
        <f aca="false">'Price_Technical Assumption'!AD7</f>
        <v>26.6666666666667</v>
      </c>
      <c r="AE6" s="235" t="n">
        <f aca="false">'Price_Technical Assumption'!AE7</f>
        <v>27.6666666666667</v>
      </c>
      <c r="AF6" s="235" t="n">
        <f aca="false">'Price_Technical Assumption'!AF7</f>
        <v>28.6666666666667</v>
      </c>
      <c r="AG6" s="235" t="n">
        <f aca="false">'Price_Technical Assumption'!AG7</f>
        <v>29.6666666666667</v>
      </c>
      <c r="AH6" s="235" t="n">
        <f aca="false">'Price_Technical Assumption'!AH7</f>
        <v>30.6666666666667</v>
      </c>
    </row>
    <row r="7" customFormat="false" ht="13.5" hidden="false" customHeight="false" outlineLevel="0" collapsed="false">
      <c r="A7" s="269" t="s">
        <v>278</v>
      </c>
      <c r="B7" s="388"/>
      <c r="C7" s="388"/>
      <c r="D7" s="270" t="n">
        <f aca="false">'Price_Technical Assumption'!D8</f>
        <v>2001</v>
      </c>
      <c r="E7" s="270" t="n">
        <f aca="false">'Price_Technical Assumption'!E8</f>
        <v>2002</v>
      </c>
      <c r="F7" s="270" t="n">
        <f aca="false">'Price_Technical Assumption'!F8</f>
        <v>2003</v>
      </c>
      <c r="G7" s="270" t="n">
        <f aca="false">'Price_Technical Assumption'!G8</f>
        <v>2004</v>
      </c>
      <c r="H7" s="270" t="n">
        <f aca="false">'Price_Technical Assumption'!H8</f>
        <v>2005</v>
      </c>
      <c r="I7" s="270" t="n">
        <f aca="false">'Price_Technical Assumption'!I8</f>
        <v>2006</v>
      </c>
      <c r="J7" s="270" t="n">
        <f aca="false">'Price_Technical Assumption'!J8</f>
        <v>2007</v>
      </c>
      <c r="K7" s="270" t="n">
        <f aca="false">'Price_Technical Assumption'!K8</f>
        <v>2008</v>
      </c>
      <c r="L7" s="270" t="n">
        <f aca="false">'Price_Technical Assumption'!L8</f>
        <v>2009</v>
      </c>
      <c r="M7" s="270" t="n">
        <f aca="false">'Price_Technical Assumption'!M8</f>
        <v>2010</v>
      </c>
      <c r="N7" s="270" t="n">
        <f aca="false">'Price_Technical Assumption'!N8</f>
        <v>2011</v>
      </c>
      <c r="O7" s="270" t="n">
        <f aca="false">'Price_Technical Assumption'!O8</f>
        <v>2012</v>
      </c>
      <c r="P7" s="270" t="n">
        <f aca="false">'Price_Technical Assumption'!P8</f>
        <v>2013</v>
      </c>
      <c r="Q7" s="270" t="n">
        <f aca="false">'Price_Technical Assumption'!Q8</f>
        <v>2014</v>
      </c>
      <c r="R7" s="270" t="n">
        <f aca="false">'Price_Technical Assumption'!R8</f>
        <v>2015</v>
      </c>
      <c r="S7" s="270" t="n">
        <f aca="false">'Price_Technical Assumption'!S8</f>
        <v>2016</v>
      </c>
      <c r="T7" s="270" t="n">
        <f aca="false">'Price_Technical Assumption'!T8</f>
        <v>2017</v>
      </c>
      <c r="U7" s="270" t="n">
        <f aca="false">'Price_Technical Assumption'!U8</f>
        <v>2018</v>
      </c>
      <c r="V7" s="270" t="n">
        <f aca="false">'Price_Technical Assumption'!V8</f>
        <v>2019</v>
      </c>
      <c r="W7" s="270" t="n">
        <f aca="false">'Price_Technical Assumption'!W8</f>
        <v>2020</v>
      </c>
      <c r="X7" s="270" t="n">
        <f aca="false">'Price_Technical Assumption'!X8</f>
        <v>2021</v>
      </c>
      <c r="Y7" s="270" t="n">
        <f aca="false">'Price_Technical Assumption'!Y8</f>
        <v>2022</v>
      </c>
      <c r="Z7" s="270" t="n">
        <f aca="false">'Price_Technical Assumption'!Z8</f>
        <v>2023</v>
      </c>
      <c r="AA7" s="270" t="n">
        <f aca="false">'Price_Technical Assumption'!AA8</f>
        <v>2024</v>
      </c>
      <c r="AB7" s="270" t="n">
        <f aca="false">'Price_Technical Assumption'!AB8</f>
        <v>2025</v>
      </c>
      <c r="AC7" s="270" t="n">
        <f aca="false">'Price_Technical Assumption'!AC8</f>
        <v>2026</v>
      </c>
      <c r="AD7" s="270" t="n">
        <f aca="false">'Price_Technical Assumption'!AD8</f>
        <v>2027</v>
      </c>
      <c r="AE7" s="270" t="n">
        <f aca="false">'Price_Technical Assumption'!AE8</f>
        <v>2028</v>
      </c>
      <c r="AF7" s="270" t="n">
        <f aca="false">'Price_Technical Assumption'!AF8</f>
        <v>2029</v>
      </c>
      <c r="AG7" s="270" t="n">
        <f aca="false">'Price_Technical Assumption'!AG8</f>
        <v>2030</v>
      </c>
      <c r="AH7" s="270" t="n">
        <f aca="false">'Price_Technical Assumption'!AH8</f>
        <v>2031</v>
      </c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/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389"/>
      <c r="EP7" s="389"/>
      <c r="EQ7" s="389"/>
      <c r="ER7" s="389"/>
      <c r="ES7" s="389"/>
      <c r="ET7" s="389"/>
      <c r="EU7" s="389"/>
      <c r="EV7" s="389"/>
      <c r="EW7" s="389"/>
      <c r="EX7" s="389"/>
      <c r="EY7" s="389"/>
      <c r="EZ7" s="389"/>
      <c r="FA7" s="389"/>
      <c r="FB7" s="389"/>
      <c r="FC7" s="389"/>
      <c r="FD7" s="389"/>
      <c r="FE7" s="389"/>
      <c r="FF7" s="389"/>
      <c r="FG7" s="389"/>
      <c r="FH7" s="389"/>
      <c r="FI7" s="389"/>
      <c r="FJ7" s="389"/>
      <c r="FK7" s="389"/>
      <c r="FL7" s="389"/>
      <c r="FM7" s="389"/>
      <c r="FN7" s="389"/>
      <c r="FO7" s="389"/>
      <c r="FP7" s="389"/>
      <c r="FQ7" s="389"/>
      <c r="FR7" s="389"/>
      <c r="FS7" s="389"/>
      <c r="FT7" s="389"/>
      <c r="FU7" s="389"/>
      <c r="FV7" s="389"/>
      <c r="FW7" s="389"/>
      <c r="FX7" s="389"/>
      <c r="FY7" s="389"/>
      <c r="FZ7" s="389"/>
      <c r="GA7" s="389"/>
      <c r="GB7" s="389"/>
      <c r="GC7" s="389"/>
      <c r="GD7" s="389"/>
      <c r="GE7" s="389"/>
      <c r="GF7" s="389"/>
      <c r="GG7" s="389"/>
      <c r="GH7" s="389"/>
      <c r="GI7" s="389"/>
      <c r="GJ7" s="389"/>
      <c r="GK7" s="389"/>
      <c r="GL7" s="389"/>
      <c r="GM7" s="389"/>
      <c r="GN7" s="389"/>
      <c r="GO7" s="389"/>
      <c r="GP7" s="389"/>
      <c r="GQ7" s="389"/>
      <c r="GR7" s="389"/>
      <c r="GS7" s="389"/>
      <c r="GT7" s="389"/>
      <c r="GU7" s="389"/>
      <c r="GV7" s="389"/>
      <c r="GW7" s="389"/>
      <c r="GX7" s="389"/>
      <c r="GY7" s="389"/>
      <c r="GZ7" s="389"/>
      <c r="HA7" s="389"/>
      <c r="HB7" s="389"/>
      <c r="HC7" s="389"/>
      <c r="HD7" s="389"/>
      <c r="HE7" s="389"/>
      <c r="HF7" s="389"/>
      <c r="HG7" s="389"/>
      <c r="HH7" s="389"/>
      <c r="HI7" s="389"/>
      <c r="HJ7" s="389"/>
      <c r="HK7" s="389"/>
      <c r="HL7" s="389"/>
      <c r="HM7" s="389"/>
      <c r="HN7" s="389"/>
      <c r="HO7" s="389"/>
      <c r="HP7" s="389"/>
      <c r="HQ7" s="389"/>
      <c r="HR7" s="389"/>
      <c r="HS7" s="389"/>
      <c r="HT7" s="389"/>
      <c r="HU7" s="389"/>
      <c r="HV7" s="389"/>
      <c r="HW7" s="389"/>
      <c r="HX7" s="389"/>
      <c r="HY7" s="389"/>
      <c r="HZ7" s="389"/>
      <c r="IA7" s="389"/>
      <c r="IB7" s="389"/>
      <c r="IC7" s="389"/>
      <c r="ID7" s="389"/>
      <c r="IE7" s="389"/>
      <c r="IF7" s="389"/>
      <c r="IG7" s="389"/>
      <c r="IH7" s="389"/>
      <c r="II7" s="389"/>
      <c r="IJ7" s="389"/>
      <c r="IK7" s="389"/>
      <c r="IL7" s="389"/>
      <c r="IM7" s="389"/>
      <c r="IN7" s="389"/>
      <c r="IO7" s="389"/>
      <c r="IP7" s="389"/>
      <c r="IQ7" s="389"/>
      <c r="IR7" s="389"/>
      <c r="IS7" s="389"/>
      <c r="IT7" s="389"/>
      <c r="IU7" s="389"/>
      <c r="IV7" s="389"/>
      <c r="IW7" s="389"/>
    </row>
    <row r="8" customFormat="false" ht="12.75" hidden="false" customHeight="false" outlineLevel="0" collapsed="false">
      <c r="A8" s="305"/>
      <c r="B8" s="390"/>
      <c r="C8" s="390"/>
      <c r="D8" s="391" t="n">
        <f aca="false">IS!C8</f>
        <v>37256</v>
      </c>
      <c r="E8" s="391" t="n">
        <f aca="false">IS!D8</f>
        <v>37621</v>
      </c>
      <c r="F8" s="391" t="n">
        <f aca="false">IS!E8</f>
        <v>37986</v>
      </c>
      <c r="G8" s="391" t="n">
        <f aca="false">IS!F8</f>
        <v>38352</v>
      </c>
      <c r="H8" s="391" t="n">
        <f aca="false">IS!G8</f>
        <v>38717</v>
      </c>
      <c r="I8" s="391" t="n">
        <f aca="false">IS!H8</f>
        <v>39082</v>
      </c>
      <c r="J8" s="391" t="n">
        <f aca="false">IS!I8</f>
        <v>39447</v>
      </c>
      <c r="K8" s="391" t="n">
        <f aca="false">IS!J8</f>
        <v>39813</v>
      </c>
      <c r="L8" s="391" t="n">
        <f aca="false">IS!K8</f>
        <v>40178</v>
      </c>
      <c r="M8" s="391" t="n">
        <f aca="false">IS!L8</f>
        <v>40543</v>
      </c>
      <c r="N8" s="391" t="n">
        <f aca="false">IS!M8</f>
        <v>40908</v>
      </c>
      <c r="O8" s="391" t="n">
        <f aca="false">IS!N8</f>
        <v>41274</v>
      </c>
      <c r="P8" s="391" t="n">
        <f aca="false">IS!O8</f>
        <v>41639</v>
      </c>
      <c r="Q8" s="391" t="n">
        <f aca="false">IS!P8</f>
        <v>42004</v>
      </c>
      <c r="R8" s="391" t="n">
        <f aca="false">IS!Q8</f>
        <v>42369</v>
      </c>
      <c r="S8" s="391" t="n">
        <f aca="false">IS!R8</f>
        <v>42735</v>
      </c>
      <c r="T8" s="391" t="n">
        <f aca="false">IS!S8</f>
        <v>43100</v>
      </c>
      <c r="U8" s="391" t="n">
        <f aca="false">IS!T8</f>
        <v>43465</v>
      </c>
      <c r="V8" s="391" t="n">
        <f aca="false">IS!U8</f>
        <v>43830</v>
      </c>
      <c r="W8" s="391" t="n">
        <f aca="false">IS!V8</f>
        <v>44196</v>
      </c>
      <c r="X8" s="391" t="n">
        <f aca="false">IS!W8</f>
        <v>44561</v>
      </c>
      <c r="Y8" s="391" t="n">
        <f aca="false">IS!X8</f>
        <v>44926</v>
      </c>
      <c r="Z8" s="391" t="n">
        <f aca="false">IS!Y8</f>
        <v>45291</v>
      </c>
      <c r="AA8" s="391" t="n">
        <f aca="false">IS!Z8</f>
        <v>45657</v>
      </c>
      <c r="AB8" s="391" t="n">
        <f aca="false">IS!AA8</f>
        <v>46022</v>
      </c>
      <c r="AC8" s="391" t="n">
        <f aca="false">IS!AB8</f>
        <v>46387</v>
      </c>
      <c r="AD8" s="391" t="n">
        <f aca="false">IS!AC8</f>
        <v>46752</v>
      </c>
      <c r="AE8" s="391" t="n">
        <f aca="false">IS!AD8</f>
        <v>47118</v>
      </c>
      <c r="AF8" s="391" t="n">
        <f aca="false">IS!AE8</f>
        <v>47483</v>
      </c>
      <c r="AG8" s="391" t="n">
        <f aca="false">IS!AF8</f>
        <v>47848</v>
      </c>
      <c r="AH8" s="391" t="n">
        <f aca="false">IS!AG8</f>
        <v>48213</v>
      </c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  <c r="ID8" s="389"/>
      <c r="IE8" s="389"/>
      <c r="IF8" s="389"/>
      <c r="IG8" s="389"/>
      <c r="IH8" s="389"/>
      <c r="II8" s="389"/>
      <c r="IJ8" s="389"/>
      <c r="IK8" s="389"/>
      <c r="IL8" s="389"/>
      <c r="IM8" s="389"/>
      <c r="IN8" s="389"/>
      <c r="IO8" s="389"/>
      <c r="IP8" s="389"/>
      <c r="IQ8" s="389"/>
      <c r="IR8" s="389"/>
      <c r="IS8" s="389"/>
      <c r="IT8" s="389"/>
      <c r="IU8" s="389"/>
      <c r="IV8" s="389"/>
      <c r="IW8" s="389"/>
    </row>
    <row r="9" customFormat="false" ht="15.75" hidden="false" customHeight="false" outlineLevel="0" collapsed="false">
      <c r="A9" s="229"/>
    </row>
    <row r="10" customFormat="false" ht="12.75" hidden="false" customHeight="false" outlineLevel="0" collapsed="false">
      <c r="A10" s="392" t="s">
        <v>373</v>
      </c>
      <c r="C10" s="393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395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  <c r="HQ10" s="395"/>
      <c r="HR10" s="395"/>
      <c r="HS10" s="395"/>
      <c r="HT10" s="395"/>
      <c r="HU10" s="395"/>
      <c r="HV10" s="395"/>
      <c r="HW10" s="395"/>
      <c r="HX10" s="395"/>
      <c r="HY10" s="395"/>
      <c r="HZ10" s="395"/>
      <c r="IA10" s="395"/>
      <c r="IB10" s="395"/>
      <c r="IC10" s="395"/>
      <c r="ID10" s="395"/>
      <c r="IE10" s="395"/>
      <c r="IF10" s="395"/>
      <c r="IG10" s="395"/>
      <c r="IH10" s="395"/>
      <c r="II10" s="395"/>
      <c r="IJ10" s="395"/>
      <c r="IK10" s="395"/>
      <c r="IL10" s="395"/>
      <c r="IM10" s="395"/>
      <c r="IN10" s="395"/>
      <c r="IO10" s="395"/>
      <c r="IP10" s="395"/>
      <c r="IQ10" s="395"/>
      <c r="IR10" s="395"/>
      <c r="IS10" s="395"/>
      <c r="IT10" s="395"/>
      <c r="IU10" s="395"/>
      <c r="IV10" s="395"/>
      <c r="IW10" s="395"/>
    </row>
    <row r="11" customFormat="false" ht="12.75" hidden="false" customHeight="false" outlineLevel="0" collapsed="false">
      <c r="B11" s="396" t="s">
        <v>374</v>
      </c>
      <c r="D11" s="397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</row>
    <row r="12" customFormat="false" ht="12.75" hidden="false" customHeight="false" outlineLevel="0" collapsed="false">
      <c r="A12" s="399" t="s">
        <v>375</v>
      </c>
      <c r="B12" s="400" t="n">
        <f aca="false">Assumptions!$N$39</f>
        <v>15</v>
      </c>
      <c r="C12" s="401"/>
      <c r="D12" s="397" t="n">
        <v>0.05</v>
      </c>
      <c r="E12" s="397" t="n">
        <v>0.095</v>
      </c>
      <c r="F12" s="397" t="n">
        <v>0.0855</v>
      </c>
      <c r="G12" s="397" t="n">
        <v>0.077</v>
      </c>
      <c r="H12" s="397" t="n">
        <v>0.0693</v>
      </c>
      <c r="I12" s="397" t="n">
        <v>0.0623</v>
      </c>
      <c r="J12" s="397" t="n">
        <v>0.059</v>
      </c>
      <c r="K12" s="397" t="n">
        <v>0.0591</v>
      </c>
      <c r="L12" s="397" t="n">
        <v>0.059</v>
      </c>
      <c r="M12" s="397" t="n">
        <v>0.0591</v>
      </c>
      <c r="N12" s="397" t="n">
        <v>0.059</v>
      </c>
      <c r="O12" s="397" t="n">
        <v>0.0591</v>
      </c>
      <c r="P12" s="397" t="n">
        <v>0.059</v>
      </c>
      <c r="Q12" s="397" t="n">
        <v>0.0591</v>
      </c>
      <c r="R12" s="397" t="n">
        <v>0.059</v>
      </c>
      <c r="S12" s="397" t="n">
        <v>0.0295</v>
      </c>
      <c r="T12" s="397" t="n">
        <v>0</v>
      </c>
      <c r="U12" s="397" t="n">
        <v>0</v>
      </c>
      <c r="V12" s="397" t="n">
        <v>0</v>
      </c>
      <c r="W12" s="397" t="n">
        <v>0</v>
      </c>
      <c r="X12" s="397" t="n">
        <v>0</v>
      </c>
      <c r="Y12" s="397" t="n">
        <v>0</v>
      </c>
      <c r="Z12" s="397" t="n">
        <v>0</v>
      </c>
      <c r="AA12" s="397" t="n">
        <v>0</v>
      </c>
      <c r="AB12" s="397" t="n">
        <v>0</v>
      </c>
      <c r="AC12" s="397" t="n">
        <v>0</v>
      </c>
      <c r="AD12" s="397" t="n">
        <v>0</v>
      </c>
      <c r="AE12" s="397" t="n">
        <v>0</v>
      </c>
      <c r="AF12" s="397" t="n">
        <v>0</v>
      </c>
      <c r="AG12" s="397" t="n">
        <v>0</v>
      </c>
      <c r="AH12" s="397" t="n">
        <v>0</v>
      </c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</row>
    <row r="13" customFormat="false" ht="12.75" hidden="false" customHeight="false" outlineLevel="0" collapsed="false">
      <c r="A13" s="399" t="s">
        <v>376</v>
      </c>
      <c r="B13" s="400" t="n">
        <f aca="false">Assumptions!$N$40</f>
        <v>5</v>
      </c>
      <c r="C13" s="401"/>
      <c r="D13" s="397" t="n">
        <f aca="false">1/$B$13*D6</f>
        <v>0.133333333333333</v>
      </c>
      <c r="E13" s="397" t="n">
        <f aca="false">1/$B$13</f>
        <v>0.2</v>
      </c>
      <c r="F13" s="397" t="n">
        <f aca="false">1/$B$13</f>
        <v>0.2</v>
      </c>
      <c r="G13" s="397" t="n">
        <f aca="false">1/$B$13</f>
        <v>0.2</v>
      </c>
      <c r="H13" s="397" t="n">
        <f aca="false">1/$B$13</f>
        <v>0.2</v>
      </c>
      <c r="I13" s="397" t="n">
        <f aca="false">1/B13-D13</f>
        <v>0.0666666666666667</v>
      </c>
      <c r="J13" s="397" t="n">
        <v>0</v>
      </c>
      <c r="K13" s="397" t="n">
        <v>0</v>
      </c>
      <c r="L13" s="397" t="n">
        <v>0</v>
      </c>
      <c r="M13" s="397" t="n">
        <v>0</v>
      </c>
      <c r="N13" s="397" t="n">
        <v>0</v>
      </c>
      <c r="O13" s="397" t="n">
        <v>0</v>
      </c>
      <c r="P13" s="397" t="n">
        <v>0</v>
      </c>
      <c r="Q13" s="397" t="n">
        <v>0</v>
      </c>
      <c r="R13" s="397" t="n">
        <v>0</v>
      </c>
      <c r="S13" s="397" t="n">
        <v>0</v>
      </c>
      <c r="T13" s="397" t="n">
        <v>0</v>
      </c>
      <c r="U13" s="397" t="n">
        <v>0</v>
      </c>
      <c r="V13" s="397" t="n">
        <v>0</v>
      </c>
      <c r="W13" s="397" t="n">
        <v>0</v>
      </c>
      <c r="X13" s="397" t="n">
        <v>0</v>
      </c>
      <c r="Y13" s="397" t="n">
        <v>0</v>
      </c>
      <c r="Z13" s="397" t="n">
        <v>0</v>
      </c>
      <c r="AA13" s="397" t="n">
        <v>0</v>
      </c>
      <c r="AB13" s="397" t="n">
        <v>0</v>
      </c>
      <c r="AC13" s="397" t="n">
        <v>0</v>
      </c>
      <c r="AD13" s="397" t="n">
        <v>0</v>
      </c>
      <c r="AE13" s="397" t="n">
        <v>0</v>
      </c>
      <c r="AF13" s="397" t="n">
        <v>0</v>
      </c>
      <c r="AG13" s="397" t="n">
        <v>0</v>
      </c>
      <c r="AH13" s="397" t="n">
        <v>0</v>
      </c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</row>
    <row r="14" customFormat="false" ht="12.75" hidden="false" customHeight="false" outlineLevel="0" collapsed="false">
      <c r="A14" s="402" t="s">
        <v>377</v>
      </c>
      <c r="B14" s="403" t="n">
        <f aca="false">Assumptions!$N$41</f>
        <v>20</v>
      </c>
      <c r="C14" s="404"/>
      <c r="D14" s="397" t="n">
        <f aca="false">1/Assumptions!$N$41*D6</f>
        <v>0.0333333333333333</v>
      </c>
      <c r="E14" s="397" t="n">
        <f aca="false">IF(AND(E6&gt;=Assumptions!$N$41,D6&lt;Assumptions!$N$41),1/Assumptions!$N$41-Depreciation!$D$14,IF(E6&lt;Assumptions!$N$41,1/Assumptions!$N$41,0))</f>
        <v>0.05</v>
      </c>
      <c r="F14" s="397" t="n">
        <f aca="false">IF(AND(F6&gt;=Assumptions!$N$41,E6&lt;Assumptions!$N$41),1/Assumptions!$N$41-Depreciation!$D$14,IF(F6&lt;Assumptions!$N$41,1/Assumptions!$N$41,0))</f>
        <v>0.05</v>
      </c>
      <c r="G14" s="397" t="n">
        <f aca="false">IF(AND(G6&gt;=Assumptions!$N$41,F6&lt;Assumptions!$N$41),1/Assumptions!$N$41-Depreciation!$D$14,IF(G6&lt;Assumptions!$N$41,1/Assumptions!$N$41,0))</f>
        <v>0.05</v>
      </c>
      <c r="H14" s="397" t="n">
        <f aca="false">IF(AND(H6&gt;=Assumptions!$N$41,G6&lt;Assumptions!$N$41),1/Assumptions!$N$41-Depreciation!$D$14,IF(H6&lt;Assumptions!$N$41,1/Assumptions!$N$41,0))</f>
        <v>0.05</v>
      </c>
      <c r="I14" s="397" t="n">
        <f aca="false">IF(AND(I6&gt;=Assumptions!$N$41,H6&lt;Assumptions!$N$41),1/Assumptions!$N$41-Depreciation!$D$14,IF(I6&lt;Assumptions!$N$41,1/Assumptions!$N$41,0))</f>
        <v>0.05</v>
      </c>
      <c r="J14" s="397" t="n">
        <f aca="false">IF(AND(J6&gt;=Assumptions!$N$41,I6&lt;Assumptions!$N$41),1/Assumptions!$N$41-Depreciation!$D$14,IF(J6&lt;Assumptions!$N$41,1/Assumptions!$N$41,0))</f>
        <v>0.05</v>
      </c>
      <c r="K14" s="397" t="n">
        <f aca="false">IF(AND(K6&gt;=Assumptions!$N$41,J6&lt;Assumptions!$N$41),1/Assumptions!$N$41-Depreciation!$D$14,IF(K6&lt;Assumptions!$N$41,1/Assumptions!$N$41,0))</f>
        <v>0.05</v>
      </c>
      <c r="L14" s="397" t="n">
        <f aca="false">IF(AND(L6&gt;=Assumptions!$N$41,K6&lt;Assumptions!$N$41),1/Assumptions!$N$41-Depreciation!$D$14,IF(L6&lt;Assumptions!$N$41,1/Assumptions!$N$41,0))</f>
        <v>0.05</v>
      </c>
      <c r="M14" s="397" t="n">
        <f aca="false">IF(AND(M6&gt;=Assumptions!$N$41,L6&lt;Assumptions!$N$41),1/Assumptions!$N$41-Depreciation!$D$14,IF(M6&lt;Assumptions!$N$41,1/Assumptions!$N$41,0))</f>
        <v>0.05</v>
      </c>
      <c r="N14" s="397" t="n">
        <f aca="false">IF(AND(N6&gt;=Assumptions!$N$41,M6&lt;Assumptions!$N$41),1/Assumptions!$N$41-Depreciation!$D$14,IF(N6&lt;Assumptions!$N$41,1/Assumptions!$N$41,0))</f>
        <v>0.05</v>
      </c>
      <c r="O14" s="397" t="n">
        <f aca="false">IF(AND(O6&gt;=Assumptions!$N$41,N6&lt;Assumptions!$N$41),1/Assumptions!$N$41-Depreciation!$D$14,IF(O6&lt;Assumptions!$N$41,1/Assumptions!$N$41,0))</f>
        <v>0.05</v>
      </c>
      <c r="P14" s="397" t="n">
        <f aca="false">IF(AND(P6&gt;=Assumptions!$N$41,O6&lt;Assumptions!$N$41),1/Assumptions!$N$41-Depreciation!$D$14,IF(P6&lt;Assumptions!$N$41,1/Assumptions!$N$41,0))</f>
        <v>0.05</v>
      </c>
      <c r="Q14" s="397" t="n">
        <f aca="false">IF(AND(Q6&gt;=Assumptions!$N$41,P6&lt;Assumptions!$N$41),1/Assumptions!$N$41-Depreciation!$D$14,IF(Q6&lt;Assumptions!$N$41,1/Assumptions!$N$41,0))</f>
        <v>0.05</v>
      </c>
      <c r="R14" s="397" t="n">
        <f aca="false">IF(AND(R6&gt;=Assumptions!$N$41,Q6&lt;Assumptions!$N$41),1/Assumptions!$N$41-Depreciation!$D$14,IF(R6&lt;Assumptions!$N$41,1/Assumptions!$N$41,0))</f>
        <v>0.05</v>
      </c>
      <c r="S14" s="397" t="n">
        <f aca="false">IF(AND(S6&gt;=Assumptions!$N$41,R6&lt;Assumptions!$N$41),1/Assumptions!$N$41-Depreciation!$D$14,IF(S6&lt;Assumptions!$N$41,1/Assumptions!$N$41,0))</f>
        <v>0.05</v>
      </c>
      <c r="T14" s="397" t="n">
        <f aca="false">IF(AND(T6&gt;=Assumptions!$N$41,S6&lt;Assumptions!$N$41),1/Assumptions!$N$41-Depreciation!$D$14,IF(T6&lt;Assumptions!$N$41,1/Assumptions!$N$41,0))</f>
        <v>0.05</v>
      </c>
      <c r="U14" s="397" t="n">
        <f aca="false">IF(AND(U6&gt;=Assumptions!$N$41,T6&lt;Assumptions!$N$41),1/Assumptions!$N$41-Depreciation!$D$14,IF(U6&lt;Assumptions!$N$41,1/Assumptions!$N$41,0))</f>
        <v>0.05</v>
      </c>
      <c r="V14" s="397" t="n">
        <f aca="false">IF(AND(V6&gt;=Assumptions!$N$41,U6&lt;Assumptions!$N$41),1/Assumptions!$N$41-Depreciation!$D$14,IF(V6&lt;Assumptions!$N$41,1/Assumptions!$N$41,0))</f>
        <v>0.05</v>
      </c>
      <c r="W14" s="397" t="n">
        <f aca="false">IF(AND(W6&gt;=Assumptions!$N$41,V6&lt;Assumptions!$N$41),1/Assumptions!$N$41-Depreciation!$D$14,IF(W6&lt;Assumptions!$N$41,1/Assumptions!$N$41,0))</f>
        <v>0.05</v>
      </c>
      <c r="X14" s="397" t="n">
        <f aca="false">IF(AND(X6&gt;=Assumptions!$N$41,W6&lt;Assumptions!$N$41),1/Assumptions!$N$41-Depreciation!$D$14,IF(X6&lt;Assumptions!$N$41,1/Assumptions!$N$41,0))</f>
        <v>0.0166666666666667</v>
      </c>
      <c r="Y14" s="397" t="n">
        <f aca="false">IF(AND(Y6&gt;=Assumptions!$N$41,X6&lt;Assumptions!$N$41),1/Assumptions!$N$41-Depreciation!$D$14,IF(Y6&lt;Assumptions!$N$41,1/Assumptions!$N$41,0))</f>
        <v>0</v>
      </c>
      <c r="Z14" s="397" t="n">
        <f aca="false">IF(AND(Z6&gt;=Assumptions!$N$41,Y6&lt;Assumptions!$N$41),1/Assumptions!$N$41-Depreciation!$D$14,IF(Z6&lt;Assumptions!$N$41,1/Assumptions!$N$41,0))</f>
        <v>0</v>
      </c>
      <c r="AA14" s="397" t="n">
        <f aca="false">IF(AND(AA6&gt;=Assumptions!$N$41,Z6&lt;Assumptions!$N$41),1/Assumptions!$N$41-Depreciation!$D$14,IF(AA6&lt;Assumptions!$N$41,1/Assumptions!$N$41,0))</f>
        <v>0</v>
      </c>
      <c r="AB14" s="397" t="n">
        <f aca="false">IF(AND(AB6&gt;=Assumptions!$N$41,AA6&lt;Assumptions!$N$41),1/Assumptions!$N$41-Depreciation!$D$14,IF(AB6&lt;Assumptions!$N$41,1/Assumptions!$N$41,0))</f>
        <v>0</v>
      </c>
      <c r="AC14" s="397" t="n">
        <f aca="false">IF(AND(AC6&gt;=Assumptions!$N$41,AB6&lt;Assumptions!$N$41),1/Assumptions!$N$41-Depreciation!$D$14,IF(AC6&lt;Assumptions!$N$41,1/Assumptions!$N$41,0))</f>
        <v>0</v>
      </c>
      <c r="AD14" s="397" t="n">
        <f aca="false">IF(AND(AD6&gt;=Assumptions!$N$41,AC6&lt;Assumptions!$N$41),1/Assumptions!$N$41-Depreciation!$D$14,IF(AD6&lt;Assumptions!$N$41,1/Assumptions!$N$41,0))</f>
        <v>0</v>
      </c>
      <c r="AE14" s="397" t="n">
        <f aca="false">IF(AND(AE6&gt;=Assumptions!$N$41,AD6&lt;Assumptions!$N$41),1/Assumptions!$N$41-Depreciation!$D$14,IF(AE6&lt;Assumptions!$N$41,1/Assumptions!$N$41,0))</f>
        <v>0</v>
      </c>
      <c r="AF14" s="397" t="n">
        <f aca="false">IF(AND(AF6&gt;=Assumptions!$N$41,AE6&lt;Assumptions!$N$41),1/Assumptions!$N$41-Depreciation!$D$14,IF(AF6&lt;Assumptions!$N$41,1/Assumptions!$N$41,0))</f>
        <v>0</v>
      </c>
      <c r="AG14" s="397" t="n">
        <f aca="false">IF(AND(AG6&gt;=Assumptions!$N$41,AF6&lt;Assumptions!$N$41),1/Assumptions!$N$41-Depreciation!$D$14,IF(AG6&lt;Assumptions!$N$41,1/Assumptions!$N$41,0))</f>
        <v>0</v>
      </c>
      <c r="AH14" s="397" t="n">
        <f aca="false">IF(AND(AH6&gt;=Assumptions!$N$41,AG6&lt;Assumptions!$N$41),1/Assumptions!$N$41-Depreciation!$D$14,IF(AH6&lt;Assumptions!$N$41,1/Assumptions!$N$41,0))</f>
        <v>0</v>
      </c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N14" s="405"/>
      <c r="CO14" s="405"/>
      <c r="CP14" s="405"/>
      <c r="CQ14" s="405"/>
      <c r="CR14" s="405"/>
      <c r="CS14" s="405"/>
      <c r="CT14" s="405"/>
      <c r="CU14" s="405"/>
      <c r="CV14" s="405"/>
      <c r="CW14" s="405"/>
      <c r="CX14" s="405"/>
      <c r="CY14" s="405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405"/>
      <c r="EO14" s="405"/>
      <c r="EP14" s="405"/>
      <c r="EQ14" s="405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405"/>
      <c r="GE14" s="405"/>
      <c r="GF14" s="405"/>
      <c r="GG14" s="405"/>
      <c r="GH14" s="405"/>
      <c r="GI14" s="405"/>
      <c r="GJ14" s="405"/>
      <c r="GK14" s="405"/>
      <c r="GL14" s="405"/>
      <c r="GM14" s="405"/>
      <c r="GN14" s="405"/>
      <c r="GO14" s="405"/>
      <c r="GP14" s="405"/>
      <c r="GQ14" s="405"/>
      <c r="GR14" s="405"/>
      <c r="GS14" s="405"/>
      <c r="GT14" s="405"/>
      <c r="GU14" s="405"/>
      <c r="GV14" s="405"/>
      <c r="GW14" s="405"/>
      <c r="GX14" s="405"/>
      <c r="GY14" s="405"/>
      <c r="GZ14" s="405"/>
      <c r="HA14" s="405"/>
      <c r="HB14" s="405"/>
      <c r="HC14" s="405"/>
      <c r="HD14" s="405"/>
      <c r="HE14" s="405"/>
      <c r="HF14" s="405"/>
      <c r="HG14" s="405"/>
      <c r="HH14" s="405"/>
      <c r="HI14" s="405"/>
      <c r="HJ14" s="405"/>
      <c r="HK14" s="405"/>
      <c r="HL14" s="405"/>
      <c r="HM14" s="405"/>
      <c r="HN14" s="405"/>
      <c r="HO14" s="405"/>
      <c r="HP14" s="405"/>
      <c r="HQ14" s="405"/>
      <c r="HR14" s="405"/>
      <c r="HS14" s="405"/>
      <c r="HT14" s="405"/>
      <c r="HU14" s="405"/>
      <c r="HV14" s="405"/>
      <c r="HW14" s="405"/>
      <c r="HX14" s="405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  <c r="IP14" s="405"/>
      <c r="IQ14" s="405"/>
      <c r="IR14" s="405"/>
      <c r="IS14" s="405"/>
      <c r="IT14" s="405"/>
      <c r="IU14" s="405"/>
      <c r="IV14" s="405"/>
      <c r="IW14" s="405"/>
    </row>
    <row r="15" customFormat="false" ht="12.75" hidden="false" customHeight="false" outlineLevel="0" collapsed="false">
      <c r="B15" s="406"/>
      <c r="D15" s="398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</row>
    <row r="16" customFormat="false" ht="12.75" hidden="false" customHeight="false" outlineLevel="0" collapsed="false">
      <c r="A16" s="399" t="s">
        <v>375</v>
      </c>
      <c r="B16" s="185" t="n">
        <f aca="false">Assumptions!C34+Assumptions!C46+Assumptions!C38</f>
        <v>27062.6506367135</v>
      </c>
      <c r="C16" s="407"/>
      <c r="D16" s="185" t="n">
        <f aca="false">$B$16*D12</f>
        <v>1353.13253183567</v>
      </c>
      <c r="E16" s="185" t="n">
        <f aca="false">$B$16*E12</f>
        <v>2570.95181048778</v>
      </c>
      <c r="F16" s="185" t="n">
        <f aca="false">$B$16*F12</f>
        <v>2313.856629439</v>
      </c>
      <c r="G16" s="185" t="n">
        <f aca="false">$B$16*G12</f>
        <v>2083.82409902694</v>
      </c>
      <c r="H16" s="185" t="n">
        <f aca="false">$B$16*H12</f>
        <v>1875.44168912424</v>
      </c>
      <c r="I16" s="185" t="n">
        <f aca="false">$B$16*I12</f>
        <v>1686.00313466725</v>
      </c>
      <c r="J16" s="185" t="n">
        <f aca="false">$B$16*J12</f>
        <v>1596.69638756609</v>
      </c>
      <c r="K16" s="185" t="n">
        <f aca="false">$B$16*K12</f>
        <v>1599.40265262977</v>
      </c>
      <c r="L16" s="185" t="n">
        <f aca="false">$B$16*L12</f>
        <v>1596.69638756609</v>
      </c>
      <c r="M16" s="185" t="n">
        <f aca="false">$B$16*M12</f>
        <v>1599.40265262977</v>
      </c>
      <c r="N16" s="185" t="n">
        <f aca="false">$B$16*N12</f>
        <v>1596.69638756609</v>
      </c>
      <c r="O16" s="185" t="n">
        <f aca="false">$B$16*O12</f>
        <v>1599.40265262977</v>
      </c>
      <c r="P16" s="185" t="n">
        <f aca="false">$B$16*P12</f>
        <v>1596.69638756609</v>
      </c>
      <c r="Q16" s="185" t="n">
        <f aca="false">$B$16*Q12</f>
        <v>1599.40265262977</v>
      </c>
      <c r="R16" s="185" t="n">
        <f aca="false">$B$16*R12</f>
        <v>1596.69638756609</v>
      </c>
      <c r="S16" s="185" t="n">
        <f aca="false">$B$16*S12</f>
        <v>798.348193783047</v>
      </c>
      <c r="T16" s="185" t="n">
        <f aca="false">$B$16*T12</f>
        <v>0</v>
      </c>
      <c r="U16" s="185" t="n">
        <f aca="false">$B$16*U12</f>
        <v>0</v>
      </c>
      <c r="V16" s="185" t="n">
        <f aca="false">$B$16*V12</f>
        <v>0</v>
      </c>
      <c r="W16" s="185" t="n">
        <f aca="false">$B$16*W12</f>
        <v>0</v>
      </c>
      <c r="X16" s="185" t="n">
        <f aca="false">$B$16*X12</f>
        <v>0</v>
      </c>
      <c r="Y16" s="185" t="n">
        <f aca="false">$B$16*Y12</f>
        <v>0</v>
      </c>
      <c r="Z16" s="185" t="n">
        <f aca="false">$B$16*Z12</f>
        <v>0</v>
      </c>
      <c r="AA16" s="185" t="n">
        <f aca="false">$B$16*AA12</f>
        <v>0</v>
      </c>
      <c r="AB16" s="185" t="n">
        <f aca="false">$B$16*AB12</f>
        <v>0</v>
      </c>
      <c r="AC16" s="185" t="n">
        <f aca="false">$B$16*AC12</f>
        <v>0</v>
      </c>
      <c r="AD16" s="185" t="n">
        <f aca="false">$B$16*AD12</f>
        <v>0</v>
      </c>
      <c r="AE16" s="185" t="n">
        <f aca="false">$B$16*AE12</f>
        <v>0</v>
      </c>
      <c r="AF16" s="185" t="n">
        <f aca="false">$B$16*AF12</f>
        <v>0</v>
      </c>
      <c r="AG16" s="185" t="n">
        <f aca="false">$B$16*AG12</f>
        <v>0</v>
      </c>
      <c r="AH16" s="185" t="n">
        <f aca="false">$B$16*AH12</f>
        <v>0</v>
      </c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</row>
    <row r="17" customFormat="false" ht="12.75" hidden="false" customHeight="false" outlineLevel="0" collapsed="false">
      <c r="A17" s="399" t="s">
        <v>376</v>
      </c>
      <c r="B17" s="408" t="n">
        <f aca="false">Assumptions!C50-Assumptions!C46-Assumptions!C47</f>
        <v>2272.022</v>
      </c>
      <c r="C17" s="407"/>
      <c r="D17" s="185" t="n">
        <f aca="false">$B$17*D13</f>
        <v>302.936266666667</v>
      </c>
      <c r="E17" s="185" t="n">
        <f aca="false">$B$17*E13</f>
        <v>454.4044</v>
      </c>
      <c r="F17" s="185" t="n">
        <f aca="false">$B$17*F13</f>
        <v>454.4044</v>
      </c>
      <c r="G17" s="185" t="n">
        <f aca="false">$B$17*G13</f>
        <v>454.4044</v>
      </c>
      <c r="H17" s="185" t="n">
        <f aca="false">$B$17*H13</f>
        <v>454.4044</v>
      </c>
      <c r="I17" s="185" t="n">
        <f aca="false">$B$17*I13</f>
        <v>151.468133333333</v>
      </c>
      <c r="J17" s="185" t="n">
        <f aca="false">$B$17*J13</f>
        <v>0</v>
      </c>
      <c r="K17" s="185" t="n">
        <f aca="false">$B$17*K13</f>
        <v>0</v>
      </c>
      <c r="L17" s="185" t="n">
        <f aca="false">$B$17*L13</f>
        <v>0</v>
      </c>
      <c r="M17" s="185" t="n">
        <f aca="false">$B$17*M13</f>
        <v>0</v>
      </c>
      <c r="N17" s="185" t="n">
        <f aca="false">$B$17*N13</f>
        <v>0</v>
      </c>
      <c r="O17" s="185" t="n">
        <f aca="false">$B$17*O13</f>
        <v>0</v>
      </c>
      <c r="P17" s="185" t="n">
        <f aca="false">$B$17*P13</f>
        <v>0</v>
      </c>
      <c r="Q17" s="185" t="n">
        <f aca="false">$B$17*Q13</f>
        <v>0</v>
      </c>
      <c r="R17" s="185" t="n">
        <f aca="false">$B$17*R13</f>
        <v>0</v>
      </c>
      <c r="S17" s="185" t="n">
        <f aca="false">$B$17*S13</f>
        <v>0</v>
      </c>
      <c r="T17" s="185" t="n">
        <f aca="false">$B$17*T13</f>
        <v>0</v>
      </c>
      <c r="U17" s="185" t="n">
        <f aca="false">$B$17*U13</f>
        <v>0</v>
      </c>
      <c r="V17" s="185" t="n">
        <f aca="false">$B$17*V13</f>
        <v>0</v>
      </c>
      <c r="W17" s="185" t="n">
        <f aca="false">$B$17*W13</f>
        <v>0</v>
      </c>
      <c r="X17" s="185" t="n">
        <f aca="false">$B$17*X13</f>
        <v>0</v>
      </c>
      <c r="Y17" s="185" t="n">
        <f aca="false">$B$17*Y13</f>
        <v>0</v>
      </c>
      <c r="Z17" s="185" t="n">
        <f aca="false">$B$17*Z13</f>
        <v>0</v>
      </c>
      <c r="AA17" s="185" t="n">
        <f aca="false">$B$17*AA13</f>
        <v>0</v>
      </c>
      <c r="AB17" s="185" t="n">
        <f aca="false">$B$17*AB13</f>
        <v>0</v>
      </c>
      <c r="AC17" s="185" t="n">
        <f aca="false">$B$17*AC13</f>
        <v>0</v>
      </c>
      <c r="AD17" s="185" t="n">
        <f aca="false">$B$17*AD13</f>
        <v>0</v>
      </c>
      <c r="AE17" s="185" t="n">
        <f aca="false">$B$17*AE13</f>
        <v>0</v>
      </c>
      <c r="AF17" s="185" t="n">
        <f aca="false">$B$17*AF13</f>
        <v>0</v>
      </c>
      <c r="AG17" s="185" t="n">
        <f aca="false">$B$17*AG13</f>
        <v>0</v>
      </c>
      <c r="AH17" s="185" t="n">
        <f aca="false">$B$17*AH13</f>
        <v>0</v>
      </c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</row>
    <row r="18" customFormat="false" ht="15" hidden="false" customHeight="false" outlineLevel="0" collapsed="false">
      <c r="A18" s="402" t="s">
        <v>377</v>
      </c>
      <c r="B18" s="302" t="n">
        <f aca="false">Assumptions!$C$56</f>
        <v>0</v>
      </c>
      <c r="C18" s="407"/>
      <c r="D18" s="302" t="n">
        <f aca="false">$B$18*D14</f>
        <v>0</v>
      </c>
      <c r="E18" s="302" t="n">
        <f aca="false">$B$18*E14</f>
        <v>0</v>
      </c>
      <c r="F18" s="302" t="n">
        <f aca="false">$B$18*F14</f>
        <v>0</v>
      </c>
      <c r="G18" s="302" t="n">
        <f aca="false">$B$18*G14</f>
        <v>0</v>
      </c>
      <c r="H18" s="302" t="n">
        <f aca="false">$B$18*H14</f>
        <v>0</v>
      </c>
      <c r="I18" s="302" t="n">
        <f aca="false">$B$18*I14</f>
        <v>0</v>
      </c>
      <c r="J18" s="302" t="n">
        <f aca="false">$B$18*J14</f>
        <v>0</v>
      </c>
      <c r="K18" s="302" t="n">
        <f aca="false">$B$18*K14</f>
        <v>0</v>
      </c>
      <c r="L18" s="302" t="n">
        <f aca="false">$B$18*L14</f>
        <v>0</v>
      </c>
      <c r="M18" s="302" t="n">
        <f aca="false">$B$18*M14</f>
        <v>0</v>
      </c>
      <c r="N18" s="302" t="n">
        <f aca="false">$B$18*N14</f>
        <v>0</v>
      </c>
      <c r="O18" s="302" t="n">
        <f aca="false">$B$18*O14</f>
        <v>0</v>
      </c>
      <c r="P18" s="302" t="n">
        <f aca="false">$B$18*P14</f>
        <v>0</v>
      </c>
      <c r="Q18" s="302" t="n">
        <f aca="false">$B$18*Q14</f>
        <v>0</v>
      </c>
      <c r="R18" s="302" t="n">
        <f aca="false">$B$18*R14</f>
        <v>0</v>
      </c>
      <c r="S18" s="302" t="n">
        <f aca="false">$B$18*S14</f>
        <v>0</v>
      </c>
      <c r="T18" s="302" t="n">
        <f aca="false">$B$18*T14</f>
        <v>0</v>
      </c>
      <c r="U18" s="302" t="n">
        <f aca="false">$B$18*U14</f>
        <v>0</v>
      </c>
      <c r="V18" s="302" t="n">
        <f aca="false">$B$18*V14</f>
        <v>0</v>
      </c>
      <c r="W18" s="302" t="n">
        <f aca="false">$B$18*W14</f>
        <v>0</v>
      </c>
      <c r="X18" s="302" t="n">
        <f aca="false">$B$18*X14</f>
        <v>0</v>
      </c>
      <c r="Y18" s="302" t="n">
        <f aca="false">$B$18*Y14</f>
        <v>0</v>
      </c>
      <c r="Z18" s="302" t="n">
        <f aca="false">$B$18*Z14</f>
        <v>0</v>
      </c>
      <c r="AA18" s="302" t="n">
        <f aca="false">$B$18*AA14</f>
        <v>0</v>
      </c>
      <c r="AB18" s="302" t="n">
        <f aca="false">$B$18*AB14</f>
        <v>0</v>
      </c>
      <c r="AC18" s="302" t="n">
        <f aca="false">$B$18*AC14</f>
        <v>0</v>
      </c>
      <c r="AD18" s="302" t="n">
        <f aca="false">$B$18*AD14</f>
        <v>0</v>
      </c>
      <c r="AE18" s="302" t="n">
        <f aca="false">$B$18*AE14</f>
        <v>0</v>
      </c>
      <c r="AF18" s="302" t="n">
        <f aca="false">$B$18*AF14</f>
        <v>0</v>
      </c>
      <c r="AG18" s="302" t="n">
        <f aca="false">$B$18*AG14</f>
        <v>0</v>
      </c>
      <c r="AH18" s="302" t="n">
        <f aca="false">$B$18*AH14</f>
        <v>0</v>
      </c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</row>
    <row r="19" customFormat="false" ht="12.75" hidden="false" customHeight="false" outlineLevel="0" collapsed="false">
      <c r="A19" s="402" t="s">
        <v>378</v>
      </c>
      <c r="B19" s="185" t="n">
        <f aca="false">SUM(B16:B18)</f>
        <v>29334.6726367135</v>
      </c>
      <c r="C19" s="407"/>
      <c r="D19" s="185" t="n">
        <f aca="false">SUM(D16:D18)</f>
        <v>1656.06879850234</v>
      </c>
      <c r="E19" s="185" t="n">
        <f aca="false">SUM(E16:E18)</f>
        <v>3025.35621048778</v>
      </c>
      <c r="F19" s="185" t="n">
        <f aca="false">SUM(F16:F18)</f>
        <v>2768.261029439</v>
      </c>
      <c r="G19" s="185" t="n">
        <f aca="false">SUM(G16:G18)</f>
        <v>2538.22849902694</v>
      </c>
      <c r="H19" s="185" t="n">
        <f aca="false">SUM(H16:H18)</f>
        <v>2329.84608912424</v>
      </c>
      <c r="I19" s="185" t="n">
        <f aca="false">SUM(I16:I18)</f>
        <v>1837.47126800058</v>
      </c>
      <c r="J19" s="185" t="n">
        <f aca="false">SUM(J16:J18)</f>
        <v>1596.69638756609</v>
      </c>
      <c r="K19" s="185" t="n">
        <f aca="false">SUM(K16:K18)</f>
        <v>1599.40265262977</v>
      </c>
      <c r="L19" s="185" t="n">
        <f aca="false">SUM(L16:L18)</f>
        <v>1596.69638756609</v>
      </c>
      <c r="M19" s="185" t="n">
        <f aca="false">SUM(M16:M18)</f>
        <v>1599.40265262977</v>
      </c>
      <c r="N19" s="185" t="n">
        <f aca="false">SUM(N16:N18)</f>
        <v>1596.69638756609</v>
      </c>
      <c r="O19" s="185" t="n">
        <f aca="false">SUM(O16:O18)</f>
        <v>1599.40265262977</v>
      </c>
      <c r="P19" s="185" t="n">
        <f aca="false">SUM(P16:P18)</f>
        <v>1596.69638756609</v>
      </c>
      <c r="Q19" s="185" t="n">
        <f aca="false">SUM(Q16:Q18)</f>
        <v>1599.40265262977</v>
      </c>
      <c r="R19" s="185" t="n">
        <f aca="false">SUM(R16:R18)</f>
        <v>1596.69638756609</v>
      </c>
      <c r="S19" s="185" t="n">
        <f aca="false">SUM(S16:S18)</f>
        <v>798.348193783047</v>
      </c>
      <c r="T19" s="185" t="n">
        <f aca="false">SUM(T16:T18)</f>
        <v>0</v>
      </c>
      <c r="U19" s="185" t="n">
        <f aca="false">SUM(U16:U18)</f>
        <v>0</v>
      </c>
      <c r="V19" s="185" t="n">
        <f aca="false">SUM(V16:V18)</f>
        <v>0</v>
      </c>
      <c r="W19" s="185" t="n">
        <f aca="false">SUM(W16:W18)</f>
        <v>0</v>
      </c>
      <c r="X19" s="185" t="n">
        <f aca="false">SUM(X16:X18)</f>
        <v>0</v>
      </c>
      <c r="Y19" s="185" t="n">
        <f aca="false">SUM(Y16:Y18)</f>
        <v>0</v>
      </c>
      <c r="Z19" s="185" t="n">
        <f aca="false">SUM(Z16:Z18)</f>
        <v>0</v>
      </c>
      <c r="AA19" s="185" t="n">
        <f aca="false">SUM(AA16:AA18)</f>
        <v>0</v>
      </c>
      <c r="AB19" s="185" t="n">
        <f aca="false">SUM(AB16:AB18)</f>
        <v>0</v>
      </c>
      <c r="AC19" s="185" t="n">
        <f aca="false">SUM(AC16:AC18)</f>
        <v>0</v>
      </c>
      <c r="AD19" s="185" t="n">
        <f aca="false">SUM(AD16:AD18)</f>
        <v>0</v>
      </c>
      <c r="AE19" s="185" t="n">
        <f aca="false">SUM(AE16:AE18)</f>
        <v>0</v>
      </c>
      <c r="AF19" s="185" t="n">
        <f aca="false">SUM(AF16:AF18)</f>
        <v>0</v>
      </c>
      <c r="AG19" s="185" t="n">
        <f aca="false">SUM(AG16:AG18)</f>
        <v>0</v>
      </c>
      <c r="AH19" s="185" t="n">
        <f aca="false">SUM(AH16:AH18)</f>
        <v>0</v>
      </c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</row>
    <row r="20" customFormat="false" ht="12.75" hidden="false" customHeight="false" outlineLevel="0" collapsed="false">
      <c r="A20" s="395"/>
      <c r="B20" s="185"/>
      <c r="C20" s="407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</row>
    <row r="21" customFormat="false" ht="12.75" hidden="false" customHeight="false" outlineLevel="0" collapsed="false">
      <c r="A21" s="252" t="s">
        <v>379</v>
      </c>
      <c r="B21" s="303" t="n">
        <f aca="false">B19</f>
        <v>29334.6726367135</v>
      </c>
      <c r="C21" s="409"/>
      <c r="D21" s="303" t="n">
        <f aca="false">B19-D19</f>
        <v>27678.6038382111</v>
      </c>
      <c r="E21" s="303" t="n">
        <f aca="false">D21-E19</f>
        <v>24653.2476277233</v>
      </c>
      <c r="F21" s="303" t="n">
        <f aca="false">E21-F19</f>
        <v>21884.9865982843</v>
      </c>
      <c r="G21" s="303" t="n">
        <f aca="false">F21-G19</f>
        <v>19346.7580992574</v>
      </c>
      <c r="H21" s="303" t="n">
        <f aca="false">G21-H19</f>
        <v>17016.9120101332</v>
      </c>
      <c r="I21" s="303" t="n">
        <f aca="false">H21-I19</f>
        <v>15179.4407421326</v>
      </c>
      <c r="J21" s="303" t="n">
        <f aca="false">I21-J19</f>
        <v>13582.7443545665</v>
      </c>
      <c r="K21" s="303" t="n">
        <f aca="false">J21-K19</f>
        <v>11983.3417019367</v>
      </c>
      <c r="L21" s="303" t="n">
        <f aca="false">K21-L19</f>
        <v>10386.6453143706</v>
      </c>
      <c r="M21" s="303" t="n">
        <f aca="false">L21-M19</f>
        <v>8787.24266174086</v>
      </c>
      <c r="N21" s="303" t="n">
        <f aca="false">M21-N19</f>
        <v>7190.54627417477</v>
      </c>
      <c r="O21" s="303" t="n">
        <f aca="false">N21-O19</f>
        <v>5591.143621545</v>
      </c>
      <c r="P21" s="303" t="n">
        <f aca="false">O21-P19</f>
        <v>3994.44723397891</v>
      </c>
      <c r="Q21" s="303" t="n">
        <f aca="false">P21-Q19</f>
        <v>2395.04458134914</v>
      </c>
      <c r="R21" s="303" t="n">
        <f aca="false">Q21-R19</f>
        <v>798.348193783048</v>
      </c>
      <c r="S21" s="303" t="n">
        <f aca="false">R21-S19</f>
        <v>0</v>
      </c>
      <c r="T21" s="303" t="n">
        <f aca="false">S21-T19</f>
        <v>0</v>
      </c>
      <c r="U21" s="303" t="n">
        <f aca="false">T21-U19</f>
        <v>0</v>
      </c>
      <c r="V21" s="303" t="n">
        <f aca="false">U21-V19</f>
        <v>0</v>
      </c>
      <c r="W21" s="303" t="n">
        <f aca="false">V21-W19</f>
        <v>0</v>
      </c>
      <c r="X21" s="303" t="n">
        <f aca="false">W21-X19</f>
        <v>0</v>
      </c>
      <c r="Y21" s="303" t="n">
        <f aca="false">X21-Y19</f>
        <v>0</v>
      </c>
      <c r="Z21" s="303" t="n">
        <f aca="false">Y21-Z19</f>
        <v>0</v>
      </c>
      <c r="AA21" s="303" t="n">
        <f aca="false">Z21-AA19</f>
        <v>0</v>
      </c>
      <c r="AB21" s="303" t="n">
        <f aca="false">AA21-AB19</f>
        <v>0</v>
      </c>
      <c r="AC21" s="303" t="n">
        <f aca="false">AB21-AC19</f>
        <v>0</v>
      </c>
      <c r="AD21" s="303" t="n">
        <f aca="false">AC21-AD19</f>
        <v>0</v>
      </c>
      <c r="AE21" s="303" t="n">
        <f aca="false">AD21-AE19</f>
        <v>0</v>
      </c>
      <c r="AF21" s="303" t="n">
        <f aca="false">AE21-AF19</f>
        <v>0</v>
      </c>
      <c r="AG21" s="303" t="n">
        <f aca="false">AF21-AG19</f>
        <v>0</v>
      </c>
      <c r="AH21" s="303" t="n">
        <f aca="false">AG21-AH19</f>
        <v>0</v>
      </c>
      <c r="AI21" s="410"/>
      <c r="AJ21" s="410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</row>
    <row r="22" customFormat="false" ht="12.75" hidden="false" customHeight="false" outlineLevel="0" collapsed="false">
      <c r="B22" s="411"/>
      <c r="C22" s="412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395"/>
      <c r="DI22" s="395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395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  <c r="HQ22" s="395"/>
      <c r="HR22" s="395"/>
      <c r="HS22" s="395"/>
      <c r="HT22" s="395"/>
      <c r="HU22" s="395"/>
      <c r="HV22" s="395"/>
      <c r="HW22" s="395"/>
      <c r="HX22" s="395"/>
      <c r="HY22" s="395"/>
      <c r="HZ22" s="395"/>
      <c r="IA22" s="395"/>
      <c r="IB22" s="395"/>
      <c r="IC22" s="395"/>
      <c r="ID22" s="395"/>
      <c r="IE22" s="395"/>
      <c r="IF22" s="395"/>
      <c r="IG22" s="395"/>
      <c r="IH22" s="395"/>
      <c r="II22" s="395"/>
      <c r="IJ22" s="395"/>
      <c r="IK22" s="395"/>
      <c r="IL22" s="395"/>
      <c r="IM22" s="395"/>
      <c r="IN22" s="395"/>
      <c r="IO22" s="395"/>
      <c r="IP22" s="395"/>
      <c r="IQ22" s="395"/>
      <c r="IR22" s="395"/>
      <c r="IS22" s="395"/>
      <c r="IT22" s="395"/>
      <c r="IU22" s="395"/>
      <c r="IV22" s="395"/>
      <c r="IW22" s="395"/>
    </row>
    <row r="23" customFormat="false" ht="12.75" hidden="false" customHeight="false" outlineLevel="0" collapsed="false">
      <c r="A23" s="413"/>
      <c r="B23" s="414"/>
      <c r="C23" s="41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</row>
    <row r="24" customFormat="false" ht="12.75" hidden="false" customHeight="false" outlineLevel="0" collapsed="false">
      <c r="A24" s="392" t="s">
        <v>380</v>
      </c>
      <c r="B24" s="416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</row>
    <row r="25" customFormat="false" ht="12.75" hidden="false" customHeight="false" outlineLevel="0" collapsed="false">
      <c r="A25" s="392"/>
      <c r="B25" s="396" t="s">
        <v>374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395"/>
      <c r="CX25" s="395"/>
      <c r="CY25" s="395"/>
      <c r="CZ25" s="395"/>
      <c r="DA25" s="395"/>
      <c r="DB25" s="395"/>
      <c r="DC25" s="395"/>
      <c r="DD25" s="395"/>
      <c r="DE25" s="395"/>
      <c r="DF25" s="395"/>
      <c r="DG25" s="395"/>
      <c r="DH25" s="395"/>
      <c r="DI25" s="395"/>
      <c r="DJ25" s="395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5"/>
      <c r="EA25" s="395"/>
      <c r="EB25" s="395"/>
      <c r="EC25" s="395"/>
      <c r="ED25" s="395"/>
      <c r="EE25" s="395"/>
      <c r="EF25" s="395"/>
      <c r="EG25" s="395"/>
      <c r="EH25" s="395"/>
      <c r="EI25" s="395"/>
      <c r="EJ25" s="395"/>
      <c r="EK25" s="395"/>
      <c r="EL25" s="395"/>
      <c r="EM25" s="395"/>
      <c r="EN25" s="395"/>
      <c r="EO25" s="395"/>
      <c r="EP25" s="395"/>
      <c r="EQ25" s="395"/>
      <c r="ER25" s="395"/>
      <c r="ES25" s="395"/>
      <c r="ET25" s="395"/>
      <c r="EU25" s="395"/>
      <c r="EV25" s="395"/>
      <c r="EW25" s="395"/>
      <c r="EX25" s="395"/>
      <c r="EY25" s="395"/>
      <c r="EZ25" s="395"/>
      <c r="FA25" s="395"/>
      <c r="FB25" s="395"/>
      <c r="FC25" s="395"/>
      <c r="FD25" s="395"/>
      <c r="FE25" s="395"/>
      <c r="FF25" s="395"/>
      <c r="FG25" s="395"/>
      <c r="FH25" s="395"/>
      <c r="FI25" s="395"/>
      <c r="FJ25" s="395"/>
      <c r="FK25" s="395"/>
      <c r="FL25" s="395"/>
      <c r="FM25" s="395"/>
      <c r="FN25" s="395"/>
      <c r="FO25" s="395"/>
      <c r="FP25" s="395"/>
      <c r="FQ25" s="395"/>
      <c r="FR25" s="395"/>
      <c r="FS25" s="395"/>
      <c r="FT25" s="395"/>
      <c r="FU25" s="395"/>
      <c r="FV25" s="395"/>
      <c r="FW25" s="395"/>
      <c r="FX25" s="395"/>
      <c r="FY25" s="395"/>
      <c r="FZ25" s="395"/>
      <c r="GA25" s="395"/>
      <c r="GB25" s="395"/>
      <c r="GC25" s="395"/>
      <c r="GD25" s="395"/>
      <c r="GE25" s="395"/>
      <c r="GF25" s="395"/>
      <c r="GG25" s="395"/>
      <c r="GH25" s="395"/>
      <c r="GI25" s="395"/>
      <c r="GJ25" s="395"/>
      <c r="GK25" s="395"/>
      <c r="GL25" s="395"/>
      <c r="GM25" s="395"/>
      <c r="GN25" s="395"/>
      <c r="GO25" s="395"/>
      <c r="GP25" s="395"/>
      <c r="GQ25" s="395"/>
      <c r="GR25" s="395"/>
      <c r="GS25" s="395"/>
      <c r="GT25" s="395"/>
      <c r="GU25" s="395"/>
      <c r="GV25" s="395"/>
      <c r="GW25" s="395"/>
      <c r="GX25" s="395"/>
      <c r="GY25" s="395"/>
      <c r="GZ25" s="395"/>
      <c r="HA25" s="395"/>
      <c r="HB25" s="395"/>
      <c r="HC25" s="395"/>
      <c r="HD25" s="395"/>
      <c r="HE25" s="395"/>
      <c r="HF25" s="395"/>
      <c r="HG25" s="395"/>
      <c r="HH25" s="395"/>
      <c r="HI25" s="395"/>
      <c r="HJ25" s="395"/>
      <c r="HK25" s="395"/>
      <c r="HL25" s="395"/>
      <c r="HM25" s="395"/>
      <c r="HN25" s="395"/>
      <c r="HO25" s="395"/>
      <c r="HP25" s="395"/>
      <c r="HQ25" s="395"/>
      <c r="HR25" s="395"/>
      <c r="HS25" s="395"/>
      <c r="HT25" s="395"/>
      <c r="HU25" s="395"/>
      <c r="HV25" s="395"/>
      <c r="HW25" s="395"/>
      <c r="HX25" s="395"/>
      <c r="HY25" s="395"/>
      <c r="HZ25" s="395"/>
      <c r="IA25" s="395"/>
      <c r="IB25" s="395"/>
      <c r="IC25" s="395"/>
      <c r="ID25" s="395"/>
      <c r="IE25" s="395"/>
      <c r="IF25" s="395"/>
      <c r="IG25" s="395"/>
      <c r="IH25" s="395"/>
      <c r="II25" s="395"/>
      <c r="IJ25" s="395"/>
      <c r="IK25" s="395"/>
      <c r="IL25" s="395"/>
      <c r="IM25" s="395"/>
      <c r="IN25" s="395"/>
      <c r="IO25" s="395"/>
      <c r="IP25" s="395"/>
      <c r="IQ25" s="395"/>
      <c r="IR25" s="395"/>
      <c r="IS25" s="395"/>
      <c r="IT25" s="395"/>
      <c r="IU25" s="395"/>
      <c r="IV25" s="395"/>
      <c r="IW25" s="395"/>
    </row>
    <row r="26" customFormat="false" ht="12.75" hidden="false" customHeight="false" outlineLevel="0" collapsed="false">
      <c r="A26" s="399" t="s">
        <v>375</v>
      </c>
      <c r="B26" s="400" t="n">
        <f aca="false">Assumptions!$N$39</f>
        <v>15</v>
      </c>
      <c r="C26" s="401"/>
      <c r="D26" s="397" t="n">
        <f aca="false">D12</f>
        <v>0.05</v>
      </c>
      <c r="E26" s="397" t="n">
        <f aca="false">E12</f>
        <v>0.095</v>
      </c>
      <c r="F26" s="397" t="n">
        <f aca="false">F12</f>
        <v>0.0855</v>
      </c>
      <c r="G26" s="397" t="n">
        <f aca="false">G12</f>
        <v>0.077</v>
      </c>
      <c r="H26" s="397" t="n">
        <f aca="false">H12</f>
        <v>0.0693</v>
      </c>
      <c r="I26" s="397" t="n">
        <f aca="false">I12</f>
        <v>0.0623</v>
      </c>
      <c r="J26" s="397" t="n">
        <f aca="false">J12</f>
        <v>0.059</v>
      </c>
      <c r="K26" s="397" t="n">
        <f aca="false">K12</f>
        <v>0.0591</v>
      </c>
      <c r="L26" s="397" t="n">
        <f aca="false">L12</f>
        <v>0.059</v>
      </c>
      <c r="M26" s="397" t="n">
        <f aca="false">M12</f>
        <v>0.0591</v>
      </c>
      <c r="N26" s="397" t="n">
        <f aca="false">N12</f>
        <v>0.059</v>
      </c>
      <c r="O26" s="397" t="n">
        <f aca="false">O12</f>
        <v>0.0591</v>
      </c>
      <c r="P26" s="397" t="n">
        <f aca="false">P12</f>
        <v>0.059</v>
      </c>
      <c r="Q26" s="397" t="n">
        <f aca="false">Q12</f>
        <v>0.0591</v>
      </c>
      <c r="R26" s="397" t="n">
        <f aca="false">R12</f>
        <v>0.059</v>
      </c>
      <c r="S26" s="397" t="n">
        <f aca="false">S12</f>
        <v>0.0295</v>
      </c>
      <c r="T26" s="397" t="n">
        <f aca="false">T12</f>
        <v>0</v>
      </c>
      <c r="U26" s="397" t="n">
        <f aca="false">U12</f>
        <v>0</v>
      </c>
      <c r="V26" s="397" t="n">
        <f aca="false">V12</f>
        <v>0</v>
      </c>
      <c r="W26" s="397" t="n">
        <f aca="false">W12</f>
        <v>0</v>
      </c>
      <c r="X26" s="397" t="n">
        <f aca="false">X12</f>
        <v>0</v>
      </c>
      <c r="Y26" s="397" t="n">
        <f aca="false">Y12</f>
        <v>0</v>
      </c>
      <c r="Z26" s="397" t="n">
        <f aca="false">Z12</f>
        <v>0</v>
      </c>
      <c r="AA26" s="397" t="n">
        <f aca="false">AA12</f>
        <v>0</v>
      </c>
      <c r="AB26" s="397" t="n">
        <f aca="false">AB12</f>
        <v>0</v>
      </c>
      <c r="AC26" s="397" t="n">
        <f aca="false">AC12</f>
        <v>0</v>
      </c>
      <c r="AD26" s="397" t="n">
        <f aca="false">AD12</f>
        <v>0</v>
      </c>
      <c r="AE26" s="397" t="n">
        <f aca="false">AE12</f>
        <v>0</v>
      </c>
      <c r="AF26" s="397" t="n">
        <f aca="false">AF12</f>
        <v>0</v>
      </c>
      <c r="AG26" s="397" t="n">
        <f aca="false">AG12</f>
        <v>0</v>
      </c>
      <c r="AH26" s="397" t="n">
        <f aca="false">AH12</f>
        <v>0</v>
      </c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395"/>
      <c r="DI26" s="395"/>
      <c r="DJ26" s="395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5"/>
      <c r="EA26" s="395"/>
      <c r="EB26" s="395"/>
      <c r="EC26" s="395"/>
      <c r="ED26" s="395"/>
      <c r="EE26" s="395"/>
      <c r="EF26" s="395"/>
      <c r="EG26" s="395"/>
      <c r="EH26" s="395"/>
      <c r="EI26" s="395"/>
      <c r="EJ26" s="395"/>
      <c r="EK26" s="395"/>
      <c r="EL26" s="395"/>
      <c r="EM26" s="395"/>
      <c r="EN26" s="395"/>
      <c r="EO26" s="395"/>
      <c r="EP26" s="395"/>
      <c r="EQ26" s="395"/>
      <c r="ER26" s="395"/>
      <c r="ES26" s="395"/>
      <c r="ET26" s="395"/>
      <c r="EU26" s="395"/>
      <c r="EV26" s="395"/>
      <c r="EW26" s="395"/>
      <c r="EX26" s="395"/>
      <c r="EY26" s="395"/>
      <c r="EZ26" s="395"/>
      <c r="FA26" s="395"/>
      <c r="FB26" s="395"/>
      <c r="FC26" s="395"/>
      <c r="FD26" s="395"/>
      <c r="FE26" s="395"/>
      <c r="FF26" s="395"/>
      <c r="FG26" s="395"/>
      <c r="FH26" s="395"/>
      <c r="FI26" s="395"/>
      <c r="FJ26" s="395"/>
      <c r="FK26" s="395"/>
      <c r="FL26" s="395"/>
      <c r="FM26" s="395"/>
      <c r="FN26" s="395"/>
      <c r="FO26" s="395"/>
      <c r="FP26" s="395"/>
      <c r="FQ26" s="395"/>
      <c r="FR26" s="395"/>
      <c r="FS26" s="395"/>
      <c r="FT26" s="395"/>
      <c r="FU26" s="395"/>
      <c r="FV26" s="395"/>
      <c r="FW26" s="395"/>
      <c r="FX26" s="395"/>
      <c r="FY26" s="395"/>
      <c r="FZ26" s="395"/>
      <c r="GA26" s="395"/>
      <c r="GB26" s="395"/>
      <c r="GC26" s="395"/>
      <c r="GD26" s="395"/>
      <c r="GE26" s="395"/>
      <c r="GF26" s="395"/>
      <c r="GG26" s="395"/>
      <c r="GH26" s="395"/>
      <c r="GI26" s="395"/>
      <c r="GJ26" s="395"/>
      <c r="GK26" s="395"/>
      <c r="GL26" s="395"/>
      <c r="GM26" s="395"/>
      <c r="GN26" s="395"/>
      <c r="GO26" s="395"/>
      <c r="GP26" s="395"/>
      <c r="GQ26" s="395"/>
      <c r="GR26" s="395"/>
      <c r="GS26" s="395"/>
      <c r="GT26" s="395"/>
      <c r="GU26" s="395"/>
      <c r="GV26" s="395"/>
      <c r="GW26" s="395"/>
      <c r="GX26" s="395"/>
      <c r="GY26" s="395"/>
      <c r="GZ26" s="395"/>
      <c r="HA26" s="395"/>
      <c r="HB26" s="395"/>
      <c r="HC26" s="395"/>
      <c r="HD26" s="395"/>
      <c r="HE26" s="395"/>
      <c r="HF26" s="395"/>
      <c r="HG26" s="395"/>
      <c r="HH26" s="395"/>
      <c r="HI26" s="395"/>
      <c r="HJ26" s="395"/>
      <c r="HK26" s="395"/>
      <c r="HL26" s="395"/>
      <c r="HM26" s="395"/>
      <c r="HN26" s="395"/>
      <c r="HO26" s="395"/>
      <c r="HP26" s="395"/>
      <c r="HQ26" s="395"/>
      <c r="HR26" s="395"/>
      <c r="HS26" s="395"/>
      <c r="HT26" s="395"/>
      <c r="HU26" s="395"/>
      <c r="HV26" s="395"/>
      <c r="HW26" s="395"/>
      <c r="HX26" s="395"/>
      <c r="HY26" s="395"/>
      <c r="HZ26" s="395"/>
      <c r="IA26" s="395"/>
      <c r="IB26" s="395"/>
      <c r="IC26" s="395"/>
      <c r="ID26" s="395"/>
      <c r="IE26" s="395"/>
      <c r="IF26" s="395"/>
      <c r="IG26" s="395"/>
      <c r="IH26" s="395"/>
      <c r="II26" s="395"/>
      <c r="IJ26" s="395"/>
      <c r="IK26" s="395"/>
      <c r="IL26" s="395"/>
      <c r="IM26" s="395"/>
      <c r="IN26" s="395"/>
      <c r="IO26" s="395"/>
      <c r="IP26" s="395"/>
      <c r="IQ26" s="395"/>
      <c r="IR26" s="395"/>
      <c r="IS26" s="395"/>
      <c r="IT26" s="395"/>
      <c r="IU26" s="395"/>
      <c r="IV26" s="395"/>
      <c r="IW26" s="395"/>
    </row>
    <row r="27" customFormat="false" ht="12.75" hidden="false" customHeight="false" outlineLevel="0" collapsed="false">
      <c r="A27" s="399" t="s">
        <v>376</v>
      </c>
      <c r="B27" s="400" t="n">
        <f aca="false">Assumptions!$N$40</f>
        <v>5</v>
      </c>
      <c r="C27" s="401"/>
      <c r="D27" s="397" t="n">
        <f aca="false">D13</f>
        <v>0.133333333333333</v>
      </c>
      <c r="E27" s="397" t="n">
        <f aca="false">E13</f>
        <v>0.2</v>
      </c>
      <c r="F27" s="397" t="n">
        <f aca="false">F13</f>
        <v>0.2</v>
      </c>
      <c r="G27" s="397" t="n">
        <f aca="false">G13</f>
        <v>0.2</v>
      </c>
      <c r="H27" s="397" t="n">
        <f aca="false">H13</f>
        <v>0.2</v>
      </c>
      <c r="I27" s="397" t="n">
        <f aca="false">I13</f>
        <v>0.0666666666666667</v>
      </c>
      <c r="J27" s="397" t="n">
        <f aca="false">J13</f>
        <v>0</v>
      </c>
      <c r="K27" s="397" t="n">
        <f aca="false">K13</f>
        <v>0</v>
      </c>
      <c r="L27" s="397" t="n">
        <f aca="false">L13</f>
        <v>0</v>
      </c>
      <c r="M27" s="397" t="n">
        <f aca="false">M13</f>
        <v>0</v>
      </c>
      <c r="N27" s="397" t="n">
        <f aca="false">N13</f>
        <v>0</v>
      </c>
      <c r="O27" s="397" t="n">
        <f aca="false">O13</f>
        <v>0</v>
      </c>
      <c r="P27" s="397" t="n">
        <f aca="false">P13</f>
        <v>0</v>
      </c>
      <c r="Q27" s="397" t="n">
        <f aca="false">Q13</f>
        <v>0</v>
      </c>
      <c r="R27" s="397" t="n">
        <f aca="false">R13</f>
        <v>0</v>
      </c>
      <c r="S27" s="397" t="n">
        <f aca="false">S13</f>
        <v>0</v>
      </c>
      <c r="T27" s="397" t="n">
        <f aca="false">T13</f>
        <v>0</v>
      </c>
      <c r="U27" s="397" t="n">
        <f aca="false">U13</f>
        <v>0</v>
      </c>
      <c r="V27" s="397" t="n">
        <f aca="false">V13</f>
        <v>0</v>
      </c>
      <c r="W27" s="397" t="n">
        <f aca="false">W13</f>
        <v>0</v>
      </c>
      <c r="X27" s="397" t="n">
        <f aca="false">X13</f>
        <v>0</v>
      </c>
      <c r="Y27" s="397" t="n">
        <f aca="false">Y13</f>
        <v>0</v>
      </c>
      <c r="Z27" s="397" t="n">
        <f aca="false">Z13</f>
        <v>0</v>
      </c>
      <c r="AA27" s="397" t="n">
        <f aca="false">AA13</f>
        <v>0</v>
      </c>
      <c r="AB27" s="397" t="n">
        <f aca="false">AB13</f>
        <v>0</v>
      </c>
      <c r="AC27" s="397" t="n">
        <f aca="false">AC13</f>
        <v>0</v>
      </c>
      <c r="AD27" s="397" t="n">
        <f aca="false">AD13</f>
        <v>0</v>
      </c>
      <c r="AE27" s="397" t="n">
        <f aca="false">AE13</f>
        <v>0</v>
      </c>
      <c r="AF27" s="397" t="n">
        <f aca="false">AF13</f>
        <v>0</v>
      </c>
      <c r="AG27" s="397" t="n">
        <f aca="false">AG13</f>
        <v>0</v>
      </c>
      <c r="AH27" s="397" t="n">
        <f aca="false">AH13</f>
        <v>0</v>
      </c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395"/>
      <c r="DI27" s="395"/>
      <c r="DJ27" s="395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5"/>
      <c r="EA27" s="395"/>
      <c r="EB27" s="395"/>
      <c r="EC27" s="395"/>
      <c r="ED27" s="395"/>
      <c r="EE27" s="395"/>
      <c r="EF27" s="395"/>
      <c r="EG27" s="395"/>
      <c r="EH27" s="395"/>
      <c r="EI27" s="395"/>
      <c r="EJ27" s="395"/>
      <c r="EK27" s="395"/>
      <c r="EL27" s="395"/>
      <c r="EM27" s="395"/>
      <c r="EN27" s="395"/>
      <c r="EO27" s="395"/>
      <c r="EP27" s="395"/>
      <c r="EQ27" s="395"/>
      <c r="ER27" s="395"/>
      <c r="ES27" s="395"/>
      <c r="ET27" s="395"/>
      <c r="EU27" s="395"/>
      <c r="EV27" s="395"/>
      <c r="EW27" s="395"/>
      <c r="EX27" s="395"/>
      <c r="EY27" s="395"/>
      <c r="EZ27" s="395"/>
      <c r="FA27" s="395"/>
      <c r="FB27" s="395"/>
      <c r="FC27" s="395"/>
      <c r="FD27" s="395"/>
      <c r="FE27" s="395"/>
      <c r="FF27" s="395"/>
      <c r="FG27" s="395"/>
      <c r="FH27" s="395"/>
      <c r="FI27" s="395"/>
      <c r="FJ27" s="395"/>
      <c r="FK27" s="395"/>
      <c r="FL27" s="395"/>
      <c r="FM27" s="395"/>
      <c r="FN27" s="395"/>
      <c r="FO27" s="395"/>
      <c r="FP27" s="395"/>
      <c r="FQ27" s="395"/>
      <c r="FR27" s="395"/>
      <c r="FS27" s="395"/>
      <c r="FT27" s="395"/>
      <c r="FU27" s="395"/>
      <c r="FV27" s="395"/>
      <c r="FW27" s="395"/>
      <c r="FX27" s="395"/>
      <c r="FY27" s="395"/>
      <c r="FZ27" s="395"/>
      <c r="GA27" s="395"/>
      <c r="GB27" s="395"/>
      <c r="GC27" s="395"/>
      <c r="GD27" s="395"/>
      <c r="GE27" s="395"/>
      <c r="GF27" s="395"/>
      <c r="GG27" s="395"/>
      <c r="GH27" s="395"/>
      <c r="GI27" s="395"/>
      <c r="GJ27" s="395"/>
      <c r="GK27" s="395"/>
      <c r="GL27" s="395"/>
      <c r="GM27" s="395"/>
      <c r="GN27" s="395"/>
      <c r="GO27" s="395"/>
      <c r="GP27" s="395"/>
      <c r="GQ27" s="395"/>
      <c r="GR27" s="395"/>
      <c r="GS27" s="395"/>
      <c r="GT27" s="395"/>
      <c r="GU27" s="395"/>
      <c r="GV27" s="395"/>
      <c r="GW27" s="395"/>
      <c r="GX27" s="395"/>
      <c r="GY27" s="395"/>
      <c r="GZ27" s="395"/>
      <c r="HA27" s="395"/>
      <c r="HB27" s="395"/>
      <c r="HC27" s="395"/>
      <c r="HD27" s="395"/>
      <c r="HE27" s="395"/>
      <c r="HF27" s="395"/>
      <c r="HG27" s="395"/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5"/>
      <c r="IH27" s="395"/>
      <c r="II27" s="395"/>
      <c r="IJ27" s="395"/>
      <c r="IK27" s="395"/>
      <c r="IL27" s="395"/>
      <c r="IM27" s="395"/>
      <c r="IN27" s="395"/>
      <c r="IO27" s="395"/>
      <c r="IP27" s="395"/>
      <c r="IQ27" s="395"/>
      <c r="IR27" s="395"/>
      <c r="IS27" s="395"/>
      <c r="IT27" s="395"/>
      <c r="IU27" s="395"/>
      <c r="IV27" s="395"/>
      <c r="IW27" s="395"/>
    </row>
    <row r="28" customFormat="false" ht="12.75" hidden="false" customHeight="false" outlineLevel="0" collapsed="false">
      <c r="A28" s="402" t="s">
        <v>377</v>
      </c>
      <c r="B28" s="403" t="n">
        <f aca="false">Assumptions!$N$41</f>
        <v>20</v>
      </c>
      <c r="C28" s="401"/>
      <c r="D28" s="397" t="n">
        <f aca="false">D14</f>
        <v>0.0333333333333333</v>
      </c>
      <c r="E28" s="397" t="n">
        <f aca="false">E14</f>
        <v>0.05</v>
      </c>
      <c r="F28" s="397" t="n">
        <f aca="false">F14</f>
        <v>0.05</v>
      </c>
      <c r="G28" s="397" t="n">
        <f aca="false">G14</f>
        <v>0.05</v>
      </c>
      <c r="H28" s="397" t="n">
        <f aca="false">H14</f>
        <v>0.05</v>
      </c>
      <c r="I28" s="397" t="n">
        <f aca="false">I14</f>
        <v>0.05</v>
      </c>
      <c r="J28" s="397" t="n">
        <f aca="false">J14</f>
        <v>0.05</v>
      </c>
      <c r="K28" s="397" t="n">
        <f aca="false">K14</f>
        <v>0.05</v>
      </c>
      <c r="L28" s="397" t="n">
        <f aca="false">L14</f>
        <v>0.05</v>
      </c>
      <c r="M28" s="397" t="n">
        <f aca="false">M14</f>
        <v>0.05</v>
      </c>
      <c r="N28" s="397" t="n">
        <f aca="false">N14</f>
        <v>0.05</v>
      </c>
      <c r="O28" s="397" t="n">
        <f aca="false">O14</f>
        <v>0.05</v>
      </c>
      <c r="P28" s="397" t="n">
        <f aca="false">P14</f>
        <v>0.05</v>
      </c>
      <c r="Q28" s="397" t="n">
        <f aca="false">Q14</f>
        <v>0.05</v>
      </c>
      <c r="R28" s="397" t="n">
        <f aca="false">R14</f>
        <v>0.05</v>
      </c>
      <c r="S28" s="397" t="n">
        <f aca="false">S14</f>
        <v>0.05</v>
      </c>
      <c r="T28" s="397" t="n">
        <f aca="false">T14</f>
        <v>0.05</v>
      </c>
      <c r="U28" s="397" t="n">
        <f aca="false">U14</f>
        <v>0.05</v>
      </c>
      <c r="V28" s="397" t="n">
        <f aca="false">V14</f>
        <v>0.05</v>
      </c>
      <c r="W28" s="397" t="n">
        <f aca="false">W14</f>
        <v>0.05</v>
      </c>
      <c r="X28" s="397" t="n">
        <f aca="false">X14</f>
        <v>0.0166666666666667</v>
      </c>
      <c r="Y28" s="397" t="n">
        <f aca="false">Y14</f>
        <v>0</v>
      </c>
      <c r="Z28" s="397" t="n">
        <f aca="false">Z14</f>
        <v>0</v>
      </c>
      <c r="AA28" s="397" t="n">
        <f aca="false">AA14</f>
        <v>0</v>
      </c>
      <c r="AB28" s="397" t="n">
        <f aca="false">AB14</f>
        <v>0</v>
      </c>
      <c r="AC28" s="397" t="n">
        <f aca="false">AC14</f>
        <v>0</v>
      </c>
      <c r="AD28" s="397" t="n">
        <f aca="false">AD14</f>
        <v>0</v>
      </c>
      <c r="AE28" s="397" t="n">
        <f aca="false">AE14</f>
        <v>0</v>
      </c>
      <c r="AF28" s="397" t="n">
        <f aca="false">AF14</f>
        <v>0</v>
      </c>
      <c r="AG28" s="397" t="n">
        <f aca="false">AG14</f>
        <v>0</v>
      </c>
      <c r="AH28" s="397" t="n">
        <f aca="false">AH14</f>
        <v>0</v>
      </c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5"/>
      <c r="CP28" s="395"/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5"/>
      <c r="DC28" s="395"/>
      <c r="DD28" s="395"/>
      <c r="DE28" s="395"/>
      <c r="DF28" s="395"/>
      <c r="DG28" s="395"/>
      <c r="DH28" s="395"/>
      <c r="DI28" s="395"/>
      <c r="DJ28" s="395"/>
      <c r="DK28" s="395"/>
      <c r="DL28" s="395"/>
      <c r="DM28" s="395"/>
      <c r="DN28" s="395"/>
      <c r="DO28" s="395"/>
      <c r="DP28" s="395"/>
      <c r="DQ28" s="395"/>
      <c r="DR28" s="395"/>
      <c r="DS28" s="395"/>
      <c r="DT28" s="395"/>
      <c r="DU28" s="395"/>
      <c r="DV28" s="395"/>
      <c r="DW28" s="395"/>
      <c r="DX28" s="395"/>
      <c r="DY28" s="395"/>
      <c r="DZ28" s="395"/>
      <c r="EA28" s="395"/>
      <c r="EB28" s="395"/>
      <c r="EC28" s="395"/>
      <c r="ED28" s="395"/>
      <c r="EE28" s="395"/>
      <c r="EF28" s="395"/>
      <c r="EG28" s="395"/>
      <c r="EH28" s="395"/>
      <c r="EI28" s="395"/>
      <c r="EJ28" s="395"/>
      <c r="EK28" s="395"/>
      <c r="EL28" s="395"/>
      <c r="EM28" s="395"/>
      <c r="EN28" s="395"/>
      <c r="EO28" s="395"/>
      <c r="EP28" s="395"/>
      <c r="EQ28" s="395"/>
      <c r="ER28" s="395"/>
      <c r="ES28" s="395"/>
      <c r="ET28" s="395"/>
      <c r="EU28" s="395"/>
      <c r="EV28" s="395"/>
      <c r="EW28" s="395"/>
      <c r="EX28" s="395"/>
      <c r="EY28" s="395"/>
      <c r="EZ28" s="395"/>
      <c r="FA28" s="395"/>
      <c r="FB28" s="395"/>
      <c r="FC28" s="395"/>
      <c r="FD28" s="395"/>
      <c r="FE28" s="395"/>
      <c r="FF28" s="395"/>
      <c r="FG28" s="395"/>
      <c r="FH28" s="395"/>
      <c r="FI28" s="395"/>
      <c r="FJ28" s="395"/>
      <c r="FK28" s="395"/>
      <c r="FL28" s="395"/>
      <c r="FM28" s="395"/>
      <c r="FN28" s="395"/>
      <c r="FO28" s="395"/>
      <c r="FP28" s="395"/>
      <c r="FQ28" s="395"/>
      <c r="FR28" s="395"/>
      <c r="FS28" s="395"/>
      <c r="FT28" s="395"/>
      <c r="FU28" s="395"/>
      <c r="FV28" s="395"/>
      <c r="FW28" s="395"/>
      <c r="FX28" s="395"/>
      <c r="FY28" s="395"/>
      <c r="FZ28" s="395"/>
      <c r="GA28" s="395"/>
      <c r="GB28" s="395"/>
      <c r="GC28" s="395"/>
      <c r="GD28" s="395"/>
      <c r="GE28" s="395"/>
      <c r="GF28" s="395"/>
      <c r="GG28" s="395"/>
      <c r="GH28" s="395"/>
      <c r="GI28" s="395"/>
      <c r="GJ28" s="395"/>
      <c r="GK28" s="395"/>
      <c r="GL28" s="395"/>
      <c r="GM28" s="395"/>
      <c r="GN28" s="395"/>
      <c r="GO28" s="395"/>
      <c r="GP28" s="395"/>
      <c r="GQ28" s="395"/>
      <c r="GR28" s="395"/>
      <c r="GS28" s="395"/>
      <c r="GT28" s="395"/>
      <c r="GU28" s="395"/>
      <c r="GV28" s="395"/>
      <c r="GW28" s="395"/>
      <c r="GX28" s="395"/>
      <c r="GY28" s="395"/>
      <c r="GZ28" s="395"/>
      <c r="HA28" s="395"/>
      <c r="HB28" s="395"/>
      <c r="HC28" s="395"/>
      <c r="HD28" s="395"/>
      <c r="HE28" s="395"/>
      <c r="HF28" s="395"/>
      <c r="HG28" s="395"/>
      <c r="HH28" s="395"/>
      <c r="HI28" s="395"/>
      <c r="HJ28" s="395"/>
      <c r="HK28" s="395"/>
      <c r="HL28" s="395"/>
      <c r="HM28" s="395"/>
      <c r="HN28" s="395"/>
      <c r="HO28" s="395"/>
      <c r="HP28" s="395"/>
      <c r="HQ28" s="395"/>
      <c r="HR28" s="395"/>
      <c r="HS28" s="395"/>
      <c r="HT28" s="395"/>
      <c r="HU28" s="395"/>
      <c r="HV28" s="395"/>
      <c r="HW28" s="395"/>
      <c r="HX28" s="395"/>
      <c r="HY28" s="395"/>
      <c r="HZ28" s="395"/>
      <c r="IA28" s="395"/>
      <c r="IB28" s="395"/>
      <c r="IC28" s="395"/>
      <c r="ID28" s="395"/>
      <c r="IE28" s="395"/>
      <c r="IF28" s="395"/>
      <c r="IG28" s="395"/>
      <c r="IH28" s="395"/>
      <c r="II28" s="395"/>
      <c r="IJ28" s="395"/>
      <c r="IK28" s="395"/>
      <c r="IL28" s="395"/>
      <c r="IM28" s="395"/>
      <c r="IN28" s="395"/>
      <c r="IO28" s="395"/>
      <c r="IP28" s="395"/>
      <c r="IQ28" s="395"/>
      <c r="IR28" s="395"/>
      <c r="IS28" s="395"/>
      <c r="IT28" s="395"/>
      <c r="IU28" s="395"/>
      <c r="IV28" s="395"/>
      <c r="IW28" s="395"/>
    </row>
    <row r="29" customFormat="false" ht="12.75" hidden="false" customHeight="false" outlineLevel="0" collapsed="false">
      <c r="A29" s="413"/>
      <c r="B29" s="400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5"/>
      <c r="DV29" s="395"/>
      <c r="DW29" s="395"/>
      <c r="DX29" s="395"/>
      <c r="DY29" s="395"/>
      <c r="DZ29" s="395"/>
      <c r="EA29" s="395"/>
      <c r="EB29" s="395"/>
      <c r="EC29" s="395"/>
      <c r="ED29" s="395"/>
      <c r="EE29" s="395"/>
      <c r="EF29" s="395"/>
      <c r="EG29" s="395"/>
      <c r="EH29" s="395"/>
      <c r="EI29" s="395"/>
      <c r="EJ29" s="395"/>
      <c r="EK29" s="395"/>
      <c r="EL29" s="395"/>
      <c r="EM29" s="395"/>
      <c r="EN29" s="395"/>
      <c r="EO29" s="395"/>
      <c r="EP29" s="395"/>
      <c r="EQ29" s="395"/>
      <c r="ER29" s="395"/>
      <c r="ES29" s="395"/>
      <c r="ET29" s="395"/>
      <c r="EU29" s="395"/>
      <c r="EV29" s="395"/>
      <c r="EW29" s="395"/>
      <c r="EX29" s="395"/>
      <c r="EY29" s="395"/>
      <c r="EZ29" s="395"/>
      <c r="FA29" s="395"/>
      <c r="FB29" s="395"/>
      <c r="FC29" s="395"/>
      <c r="FD29" s="395"/>
      <c r="FE29" s="395"/>
      <c r="FF29" s="395"/>
      <c r="FG29" s="395"/>
      <c r="FH29" s="395"/>
      <c r="FI29" s="395"/>
      <c r="FJ29" s="395"/>
      <c r="FK29" s="395"/>
      <c r="FL29" s="395"/>
      <c r="FM29" s="395"/>
      <c r="FN29" s="395"/>
      <c r="FO29" s="395"/>
      <c r="FP29" s="395"/>
      <c r="FQ29" s="395"/>
      <c r="FR29" s="395"/>
      <c r="FS29" s="395"/>
      <c r="FT29" s="395"/>
      <c r="FU29" s="395"/>
      <c r="FV29" s="395"/>
      <c r="FW29" s="395"/>
      <c r="FX29" s="395"/>
      <c r="FY29" s="395"/>
      <c r="FZ29" s="395"/>
      <c r="GA29" s="395"/>
      <c r="GB29" s="395"/>
      <c r="GC29" s="395"/>
      <c r="GD29" s="395"/>
      <c r="GE29" s="395"/>
      <c r="GF29" s="395"/>
      <c r="GG29" s="395"/>
      <c r="GH29" s="395"/>
      <c r="GI29" s="395"/>
      <c r="GJ29" s="395"/>
      <c r="GK29" s="395"/>
      <c r="GL29" s="395"/>
      <c r="GM29" s="395"/>
      <c r="GN29" s="395"/>
      <c r="GO29" s="395"/>
      <c r="GP29" s="395"/>
      <c r="GQ29" s="395"/>
      <c r="GR29" s="395"/>
      <c r="GS29" s="395"/>
      <c r="GT29" s="395"/>
      <c r="GU29" s="395"/>
      <c r="GV29" s="395"/>
      <c r="GW29" s="395"/>
      <c r="GX29" s="395"/>
      <c r="GY29" s="395"/>
      <c r="GZ29" s="395"/>
      <c r="HA29" s="395"/>
      <c r="HB29" s="395"/>
      <c r="HC29" s="395"/>
      <c r="HD29" s="395"/>
      <c r="HE29" s="395"/>
      <c r="HF29" s="395"/>
      <c r="HG29" s="395"/>
      <c r="HH29" s="395"/>
      <c r="HI29" s="395"/>
      <c r="HJ29" s="395"/>
      <c r="HK29" s="395"/>
      <c r="HL29" s="395"/>
      <c r="HM29" s="395"/>
      <c r="HN29" s="395"/>
      <c r="HO29" s="395"/>
      <c r="HP29" s="395"/>
      <c r="HQ29" s="395"/>
      <c r="HR29" s="395"/>
      <c r="HS29" s="395"/>
      <c r="HT29" s="395"/>
      <c r="HU29" s="395"/>
      <c r="HV29" s="395"/>
      <c r="HW29" s="395"/>
      <c r="HX29" s="395"/>
      <c r="HY29" s="395"/>
      <c r="HZ29" s="395"/>
      <c r="IA29" s="395"/>
      <c r="IB29" s="395"/>
      <c r="IC29" s="395"/>
      <c r="ID29" s="395"/>
      <c r="IE29" s="395"/>
      <c r="IF29" s="395"/>
      <c r="IG29" s="395"/>
      <c r="IH29" s="395"/>
      <c r="II29" s="395"/>
      <c r="IJ29" s="395"/>
      <c r="IK29" s="395"/>
      <c r="IL29" s="395"/>
      <c r="IM29" s="395"/>
      <c r="IN29" s="395"/>
      <c r="IO29" s="395"/>
      <c r="IP29" s="395"/>
      <c r="IQ29" s="395"/>
      <c r="IR29" s="395"/>
      <c r="IS29" s="395"/>
      <c r="IT29" s="395"/>
      <c r="IU29" s="395"/>
      <c r="IV29" s="395"/>
      <c r="IW29" s="395"/>
    </row>
    <row r="30" customFormat="false" ht="12.75" hidden="false" customHeight="false" outlineLevel="0" collapsed="false">
      <c r="B30" s="396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5"/>
      <c r="DV30" s="395"/>
      <c r="DW30" s="395"/>
      <c r="DX30" s="395"/>
      <c r="DY30" s="395"/>
      <c r="DZ30" s="395"/>
      <c r="EA30" s="395"/>
      <c r="EB30" s="395"/>
      <c r="EC30" s="395"/>
      <c r="ED30" s="395"/>
      <c r="EE30" s="395"/>
      <c r="EF30" s="395"/>
      <c r="EG30" s="395"/>
      <c r="EH30" s="395"/>
      <c r="EI30" s="395"/>
      <c r="EJ30" s="395"/>
      <c r="EK30" s="395"/>
      <c r="EL30" s="395"/>
      <c r="EM30" s="395"/>
      <c r="EN30" s="395"/>
      <c r="EO30" s="395"/>
      <c r="EP30" s="395"/>
      <c r="EQ30" s="395"/>
      <c r="ER30" s="395"/>
      <c r="ES30" s="395"/>
      <c r="ET30" s="395"/>
      <c r="EU30" s="395"/>
      <c r="EV30" s="395"/>
      <c r="EW30" s="395"/>
      <c r="EX30" s="395"/>
      <c r="EY30" s="395"/>
      <c r="EZ30" s="395"/>
      <c r="FA30" s="395"/>
      <c r="FB30" s="395"/>
      <c r="FC30" s="395"/>
      <c r="FD30" s="395"/>
      <c r="FE30" s="395"/>
      <c r="FF30" s="395"/>
      <c r="FG30" s="395"/>
      <c r="FH30" s="395"/>
      <c r="FI30" s="395"/>
      <c r="FJ30" s="395"/>
      <c r="FK30" s="395"/>
      <c r="FL30" s="395"/>
      <c r="FM30" s="395"/>
      <c r="FN30" s="395"/>
      <c r="FO30" s="395"/>
      <c r="FP30" s="395"/>
      <c r="FQ30" s="395"/>
      <c r="FR30" s="395"/>
      <c r="FS30" s="395"/>
      <c r="FT30" s="395"/>
      <c r="FU30" s="395"/>
      <c r="FV30" s="395"/>
      <c r="FW30" s="395"/>
      <c r="FX30" s="395"/>
      <c r="FY30" s="395"/>
      <c r="FZ30" s="395"/>
      <c r="GA30" s="395"/>
      <c r="GB30" s="395"/>
      <c r="GC30" s="395"/>
      <c r="GD30" s="395"/>
      <c r="GE30" s="395"/>
      <c r="GF30" s="395"/>
      <c r="GG30" s="395"/>
      <c r="GH30" s="395"/>
      <c r="GI30" s="395"/>
      <c r="GJ30" s="395"/>
      <c r="GK30" s="395"/>
      <c r="GL30" s="395"/>
      <c r="GM30" s="395"/>
      <c r="GN30" s="395"/>
      <c r="GO30" s="395"/>
      <c r="GP30" s="395"/>
      <c r="GQ30" s="395"/>
      <c r="GR30" s="395"/>
      <c r="GS30" s="395"/>
      <c r="GT30" s="395"/>
      <c r="GU30" s="395"/>
      <c r="GV30" s="395"/>
      <c r="GW30" s="395"/>
      <c r="GX30" s="395"/>
      <c r="GY30" s="395"/>
      <c r="GZ30" s="395"/>
      <c r="HA30" s="395"/>
      <c r="HB30" s="395"/>
      <c r="HC30" s="395"/>
      <c r="HD30" s="395"/>
      <c r="HE30" s="395"/>
      <c r="HF30" s="395"/>
      <c r="HG30" s="395"/>
      <c r="HH30" s="395"/>
      <c r="HI30" s="395"/>
      <c r="HJ30" s="395"/>
      <c r="HK30" s="395"/>
      <c r="HL30" s="395"/>
      <c r="HM30" s="395"/>
      <c r="HN30" s="395"/>
      <c r="HO30" s="395"/>
      <c r="HP30" s="395"/>
      <c r="HQ30" s="395"/>
      <c r="HR30" s="395"/>
      <c r="HS30" s="395"/>
      <c r="HT30" s="395"/>
      <c r="HU30" s="395"/>
      <c r="HV30" s="395"/>
      <c r="HW30" s="395"/>
      <c r="HX30" s="395"/>
      <c r="HY30" s="395"/>
      <c r="HZ30" s="395"/>
      <c r="IA30" s="395"/>
      <c r="IB30" s="395"/>
      <c r="IC30" s="395"/>
      <c r="ID30" s="395"/>
      <c r="IE30" s="395"/>
      <c r="IF30" s="395"/>
      <c r="IG30" s="395"/>
      <c r="IH30" s="395"/>
      <c r="II30" s="395"/>
      <c r="IJ30" s="395"/>
      <c r="IK30" s="395"/>
      <c r="IL30" s="395"/>
      <c r="IM30" s="395"/>
      <c r="IN30" s="395"/>
      <c r="IO30" s="395"/>
      <c r="IP30" s="395"/>
      <c r="IQ30" s="395"/>
      <c r="IR30" s="395"/>
      <c r="IS30" s="395"/>
      <c r="IT30" s="395"/>
      <c r="IU30" s="395"/>
      <c r="IV30" s="395"/>
      <c r="IW30" s="395"/>
    </row>
    <row r="31" customFormat="false" ht="12.75" hidden="false" customHeight="false" outlineLevel="0" collapsed="false">
      <c r="A31" s="399" t="s">
        <v>375</v>
      </c>
      <c r="B31" s="185" t="n">
        <f aca="false">B16</f>
        <v>27062.6506367135</v>
      </c>
      <c r="C31" s="407"/>
      <c r="D31" s="185" t="n">
        <f aca="false">$B$31*D26</f>
        <v>1353.13253183567</v>
      </c>
      <c r="E31" s="185" t="n">
        <f aca="false">$B$31*E26</f>
        <v>2570.95181048778</v>
      </c>
      <c r="F31" s="185" t="n">
        <f aca="false">$B$31*F26</f>
        <v>2313.856629439</v>
      </c>
      <c r="G31" s="185" t="n">
        <f aca="false">$B$31*G26</f>
        <v>2083.82409902694</v>
      </c>
      <c r="H31" s="185" t="n">
        <f aca="false">$B$31*H26</f>
        <v>1875.44168912424</v>
      </c>
      <c r="I31" s="185" t="n">
        <f aca="false">$B$31*I26</f>
        <v>1686.00313466725</v>
      </c>
      <c r="J31" s="185" t="n">
        <f aca="false">$B$31*J26</f>
        <v>1596.69638756609</v>
      </c>
      <c r="K31" s="185" t="n">
        <f aca="false">$B$31*K26</f>
        <v>1599.40265262977</v>
      </c>
      <c r="L31" s="185" t="n">
        <f aca="false">$B$31*L26</f>
        <v>1596.69638756609</v>
      </c>
      <c r="M31" s="185" t="n">
        <f aca="false">$B$31*M26</f>
        <v>1599.40265262977</v>
      </c>
      <c r="N31" s="185" t="n">
        <f aca="false">$B$31*N26</f>
        <v>1596.69638756609</v>
      </c>
      <c r="O31" s="185" t="n">
        <f aca="false">$B$31*O26</f>
        <v>1599.40265262977</v>
      </c>
      <c r="P31" s="185" t="n">
        <f aca="false">$B$31*P26</f>
        <v>1596.69638756609</v>
      </c>
      <c r="Q31" s="185" t="n">
        <f aca="false">$B$31*Q26</f>
        <v>1599.40265262977</v>
      </c>
      <c r="R31" s="185" t="n">
        <f aca="false">$B$31*R26</f>
        <v>1596.69638756609</v>
      </c>
      <c r="S31" s="185" t="n">
        <f aca="false">$B$31*S26</f>
        <v>798.348193783047</v>
      </c>
      <c r="T31" s="185" t="n">
        <f aca="false">$B$31*T26</f>
        <v>0</v>
      </c>
      <c r="U31" s="185" t="n">
        <f aca="false">$B$31*U26</f>
        <v>0</v>
      </c>
      <c r="V31" s="185" t="n">
        <f aca="false">$B$31*V26</f>
        <v>0</v>
      </c>
      <c r="W31" s="185" t="n">
        <f aca="false">$B$31*W26</f>
        <v>0</v>
      </c>
      <c r="X31" s="185" t="n">
        <f aca="false">$B$31*X26</f>
        <v>0</v>
      </c>
      <c r="Y31" s="185" t="n">
        <f aca="false">$B$31*Y26</f>
        <v>0</v>
      </c>
      <c r="Z31" s="185" t="n">
        <f aca="false">$B$31*Z26</f>
        <v>0</v>
      </c>
      <c r="AA31" s="185" t="n">
        <f aca="false">$B$31*AA26</f>
        <v>0</v>
      </c>
      <c r="AB31" s="185" t="n">
        <f aca="false">$B$31*AB26</f>
        <v>0</v>
      </c>
      <c r="AC31" s="185" t="n">
        <f aca="false">$B$31*AC26</f>
        <v>0</v>
      </c>
      <c r="AD31" s="185" t="n">
        <f aca="false">$B$31*AD26</f>
        <v>0</v>
      </c>
      <c r="AE31" s="185" t="n">
        <f aca="false">$B$31*AE26</f>
        <v>0</v>
      </c>
      <c r="AF31" s="185" t="n">
        <f aca="false">$B$31*AF26</f>
        <v>0</v>
      </c>
      <c r="AG31" s="185" t="n">
        <f aca="false">$B$31*AG26</f>
        <v>0</v>
      </c>
      <c r="AH31" s="185" t="n">
        <f aca="false">$B$31*AH26</f>
        <v>0</v>
      </c>
      <c r="AI31" s="417"/>
      <c r="AJ31" s="417"/>
      <c r="AK31" s="417"/>
      <c r="AL31" s="417"/>
      <c r="AM31" s="417"/>
      <c r="AN31" s="417"/>
      <c r="AO31" s="417"/>
      <c r="AP31" s="417"/>
      <c r="AQ31" s="417"/>
      <c r="AR31" s="417"/>
      <c r="AS31" s="417"/>
      <c r="AT31" s="417"/>
      <c r="AU31" s="417"/>
      <c r="AV31" s="417"/>
      <c r="AW31" s="417"/>
      <c r="AX31" s="417"/>
      <c r="AY31" s="417"/>
      <c r="AZ31" s="417"/>
      <c r="BA31" s="417"/>
      <c r="BB31" s="417"/>
      <c r="BC31" s="417"/>
      <c r="BD31" s="417"/>
      <c r="BE31" s="417"/>
      <c r="BF31" s="417"/>
      <c r="BG31" s="417"/>
      <c r="BH31" s="417"/>
      <c r="BI31" s="41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/>
      <c r="BU31" s="417"/>
      <c r="BV31" s="417"/>
      <c r="BW31" s="417"/>
      <c r="BX31" s="417"/>
      <c r="BY31" s="417"/>
      <c r="BZ31" s="417"/>
      <c r="CA31" s="417"/>
      <c r="CB31" s="417"/>
      <c r="CC31" s="417"/>
      <c r="CD31" s="417"/>
      <c r="CE31" s="417"/>
      <c r="CF31" s="417"/>
      <c r="CG31" s="417"/>
      <c r="CH31" s="417"/>
      <c r="CI31" s="417"/>
      <c r="CJ31" s="417"/>
      <c r="CK31" s="417"/>
      <c r="CL31" s="417"/>
      <c r="CM31" s="417"/>
      <c r="CN31" s="417"/>
      <c r="CO31" s="417"/>
      <c r="CP31" s="417"/>
      <c r="CQ31" s="417"/>
      <c r="CR31" s="417"/>
      <c r="CS31" s="417"/>
      <c r="CT31" s="417"/>
      <c r="CU31" s="417"/>
      <c r="CV31" s="417"/>
      <c r="CW31" s="417"/>
      <c r="CX31" s="417"/>
      <c r="CY31" s="417"/>
      <c r="CZ31" s="417"/>
      <c r="DA31" s="417"/>
      <c r="DB31" s="417"/>
      <c r="DC31" s="417"/>
      <c r="DD31" s="417"/>
      <c r="DE31" s="417"/>
      <c r="DF31" s="417"/>
      <c r="DG31" s="417"/>
      <c r="DH31" s="417"/>
      <c r="DI31" s="417"/>
      <c r="DJ31" s="417"/>
      <c r="DK31" s="417"/>
      <c r="DL31" s="417"/>
      <c r="DM31" s="417"/>
      <c r="DN31" s="417"/>
      <c r="DO31" s="417"/>
      <c r="DP31" s="417"/>
      <c r="DQ31" s="417"/>
      <c r="DR31" s="417"/>
      <c r="DS31" s="417"/>
      <c r="DT31" s="417"/>
      <c r="DU31" s="417"/>
      <c r="DV31" s="417"/>
      <c r="DW31" s="417"/>
      <c r="DX31" s="417"/>
      <c r="DY31" s="417"/>
      <c r="DZ31" s="417"/>
      <c r="EA31" s="417"/>
      <c r="EB31" s="417"/>
      <c r="EC31" s="417"/>
      <c r="ED31" s="417"/>
      <c r="EE31" s="417"/>
      <c r="EF31" s="417"/>
      <c r="EG31" s="417"/>
      <c r="EH31" s="417"/>
      <c r="EI31" s="417"/>
      <c r="EJ31" s="417"/>
      <c r="EK31" s="417"/>
      <c r="EL31" s="417"/>
      <c r="EM31" s="417"/>
      <c r="EN31" s="417"/>
      <c r="EO31" s="417"/>
      <c r="EP31" s="417"/>
      <c r="EQ31" s="417"/>
      <c r="ER31" s="417"/>
      <c r="ES31" s="417"/>
      <c r="ET31" s="417"/>
      <c r="EU31" s="417"/>
      <c r="EV31" s="417"/>
      <c r="EW31" s="417"/>
      <c r="EX31" s="417"/>
      <c r="EY31" s="417"/>
      <c r="EZ31" s="417"/>
      <c r="FA31" s="417"/>
      <c r="FB31" s="417"/>
      <c r="FC31" s="417"/>
      <c r="FD31" s="417"/>
      <c r="FE31" s="417"/>
      <c r="FF31" s="417"/>
      <c r="FG31" s="417"/>
      <c r="FH31" s="417"/>
      <c r="FI31" s="417"/>
      <c r="FJ31" s="417"/>
      <c r="FK31" s="417"/>
      <c r="FL31" s="417"/>
      <c r="FM31" s="417"/>
      <c r="FN31" s="417"/>
      <c r="FO31" s="417"/>
      <c r="FP31" s="417"/>
      <c r="FQ31" s="417"/>
      <c r="FR31" s="417"/>
      <c r="FS31" s="417"/>
      <c r="FT31" s="417"/>
      <c r="FU31" s="417"/>
      <c r="FV31" s="417"/>
      <c r="FW31" s="417"/>
      <c r="FX31" s="417"/>
      <c r="FY31" s="417"/>
      <c r="FZ31" s="417"/>
      <c r="GA31" s="417"/>
      <c r="GB31" s="417"/>
      <c r="GC31" s="417"/>
      <c r="GD31" s="417"/>
      <c r="GE31" s="417"/>
      <c r="GF31" s="417"/>
      <c r="GG31" s="417"/>
      <c r="GH31" s="417"/>
      <c r="GI31" s="417"/>
      <c r="GJ31" s="417"/>
      <c r="GK31" s="417"/>
      <c r="GL31" s="417"/>
      <c r="GM31" s="417"/>
      <c r="GN31" s="417"/>
      <c r="GO31" s="417"/>
      <c r="GP31" s="417"/>
      <c r="GQ31" s="417"/>
      <c r="GR31" s="417"/>
      <c r="GS31" s="417"/>
      <c r="GT31" s="417"/>
      <c r="GU31" s="417"/>
      <c r="GV31" s="417"/>
      <c r="GW31" s="417"/>
      <c r="GX31" s="417"/>
      <c r="GY31" s="417"/>
      <c r="GZ31" s="417"/>
      <c r="HA31" s="417"/>
      <c r="HB31" s="417"/>
      <c r="HC31" s="417"/>
      <c r="HD31" s="417"/>
      <c r="HE31" s="417"/>
      <c r="HF31" s="417"/>
      <c r="HG31" s="417"/>
      <c r="HH31" s="417"/>
      <c r="HI31" s="417"/>
      <c r="HJ31" s="417"/>
      <c r="HK31" s="417"/>
      <c r="HL31" s="417"/>
      <c r="HM31" s="417"/>
      <c r="HN31" s="417"/>
      <c r="HO31" s="417"/>
      <c r="HP31" s="417"/>
      <c r="HQ31" s="417"/>
      <c r="HR31" s="417"/>
      <c r="HS31" s="417"/>
      <c r="HT31" s="417"/>
      <c r="HU31" s="417"/>
      <c r="HV31" s="417"/>
      <c r="HW31" s="417"/>
      <c r="HX31" s="417"/>
      <c r="HY31" s="417"/>
      <c r="HZ31" s="417"/>
      <c r="IA31" s="417"/>
      <c r="IB31" s="417"/>
      <c r="IC31" s="417"/>
      <c r="ID31" s="417"/>
      <c r="IE31" s="417"/>
      <c r="IF31" s="417"/>
      <c r="IG31" s="417"/>
      <c r="IH31" s="417"/>
      <c r="II31" s="417"/>
      <c r="IJ31" s="417"/>
      <c r="IK31" s="417"/>
      <c r="IL31" s="417"/>
      <c r="IM31" s="417"/>
      <c r="IN31" s="417"/>
      <c r="IO31" s="417"/>
      <c r="IP31" s="417"/>
      <c r="IQ31" s="417"/>
      <c r="IR31" s="417"/>
      <c r="IS31" s="417"/>
      <c r="IT31" s="417"/>
      <c r="IU31" s="417"/>
      <c r="IV31" s="417"/>
      <c r="IW31" s="417"/>
    </row>
    <row r="32" customFormat="false" ht="12.75" hidden="false" customHeight="false" outlineLevel="0" collapsed="false">
      <c r="A32" s="399" t="s">
        <v>376</v>
      </c>
      <c r="B32" s="408" t="n">
        <f aca="false">B17</f>
        <v>2272.022</v>
      </c>
      <c r="C32" s="407"/>
      <c r="D32" s="185" t="n">
        <f aca="false">D27*$B$32</f>
        <v>302.936266666667</v>
      </c>
      <c r="E32" s="185" t="n">
        <f aca="false">E27*$B$32</f>
        <v>454.4044</v>
      </c>
      <c r="F32" s="185" t="n">
        <f aca="false">F27*$B$32</f>
        <v>454.4044</v>
      </c>
      <c r="G32" s="185" t="n">
        <f aca="false">G27*$B$32</f>
        <v>454.4044</v>
      </c>
      <c r="H32" s="185" t="n">
        <f aca="false">H27*$B$32</f>
        <v>454.4044</v>
      </c>
      <c r="I32" s="185" t="n">
        <f aca="false">I27*$B$32</f>
        <v>151.468133333333</v>
      </c>
      <c r="J32" s="185" t="n">
        <f aca="false">J27*$B$32</f>
        <v>0</v>
      </c>
      <c r="K32" s="185" t="n">
        <f aca="false">K27*$B$32</f>
        <v>0</v>
      </c>
      <c r="L32" s="185" t="n">
        <f aca="false">L27*$B$32</f>
        <v>0</v>
      </c>
      <c r="M32" s="185" t="n">
        <f aca="false">M27*$B$32</f>
        <v>0</v>
      </c>
      <c r="N32" s="185" t="n">
        <f aca="false">N27*$B$32</f>
        <v>0</v>
      </c>
      <c r="O32" s="185" t="n">
        <f aca="false">O27*$B$32</f>
        <v>0</v>
      </c>
      <c r="P32" s="185" t="n">
        <f aca="false">P27*$B$32</f>
        <v>0</v>
      </c>
      <c r="Q32" s="185" t="n">
        <f aca="false">Q27*$B$32</f>
        <v>0</v>
      </c>
      <c r="R32" s="185" t="n">
        <f aca="false">R27*$B$32</f>
        <v>0</v>
      </c>
      <c r="S32" s="185" t="n">
        <f aca="false">S27*$B$32</f>
        <v>0</v>
      </c>
      <c r="T32" s="185" t="n">
        <f aca="false">T27*$B$32</f>
        <v>0</v>
      </c>
      <c r="U32" s="185" t="n">
        <f aca="false">U27*$B$32</f>
        <v>0</v>
      </c>
      <c r="V32" s="185" t="n">
        <f aca="false">V27*$B$32</f>
        <v>0</v>
      </c>
      <c r="W32" s="185" t="n">
        <f aca="false">W27*$B$32</f>
        <v>0</v>
      </c>
      <c r="X32" s="185" t="n">
        <f aca="false">X27*$B$32</f>
        <v>0</v>
      </c>
      <c r="Y32" s="185" t="n">
        <f aca="false">Y27*$B$32</f>
        <v>0</v>
      </c>
      <c r="Z32" s="185" t="n">
        <f aca="false">Z27*$B$32</f>
        <v>0</v>
      </c>
      <c r="AA32" s="185" t="n">
        <f aca="false">AA27*$B$32</f>
        <v>0</v>
      </c>
      <c r="AB32" s="185" t="n">
        <f aca="false">AB27*$B$32</f>
        <v>0</v>
      </c>
      <c r="AC32" s="185" t="n">
        <f aca="false">AC27*$B$32</f>
        <v>0</v>
      </c>
      <c r="AD32" s="185" t="n">
        <f aca="false">AD27*$B$32</f>
        <v>0</v>
      </c>
      <c r="AE32" s="185" t="n">
        <f aca="false">AE27*$B$32</f>
        <v>0</v>
      </c>
      <c r="AF32" s="185" t="n">
        <f aca="false">AF27*$B$32</f>
        <v>0</v>
      </c>
      <c r="AG32" s="185" t="n">
        <f aca="false">AG27*$B$32</f>
        <v>0</v>
      </c>
      <c r="AH32" s="185" t="n">
        <f aca="false">AH27*$B$32</f>
        <v>0</v>
      </c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5"/>
      <c r="DF32" s="395"/>
      <c r="DG32" s="395"/>
      <c r="DH32" s="395"/>
      <c r="DI32" s="395"/>
      <c r="DJ32" s="395"/>
      <c r="DK32" s="395"/>
      <c r="DL32" s="395"/>
      <c r="DM32" s="395"/>
      <c r="DN32" s="395"/>
      <c r="DO32" s="395"/>
      <c r="DP32" s="395"/>
      <c r="DQ32" s="395"/>
      <c r="DR32" s="395"/>
      <c r="DS32" s="395"/>
      <c r="DT32" s="395"/>
      <c r="DU32" s="395"/>
      <c r="DV32" s="395"/>
      <c r="DW32" s="395"/>
      <c r="DX32" s="395"/>
      <c r="DY32" s="395"/>
      <c r="DZ32" s="395"/>
      <c r="EA32" s="395"/>
      <c r="EB32" s="395"/>
      <c r="EC32" s="395"/>
      <c r="ED32" s="395"/>
      <c r="EE32" s="395"/>
      <c r="EF32" s="395"/>
      <c r="EG32" s="395"/>
      <c r="EH32" s="395"/>
      <c r="EI32" s="395"/>
      <c r="EJ32" s="395"/>
      <c r="EK32" s="395"/>
      <c r="EL32" s="395"/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395"/>
      <c r="FM32" s="395"/>
      <c r="FN32" s="395"/>
      <c r="FO32" s="395"/>
      <c r="FP32" s="395"/>
      <c r="FQ32" s="395"/>
      <c r="FR32" s="395"/>
      <c r="FS32" s="395"/>
      <c r="FT32" s="395"/>
      <c r="FU32" s="395"/>
      <c r="FV32" s="395"/>
      <c r="FW32" s="395"/>
      <c r="FX32" s="395"/>
      <c r="FY32" s="395"/>
      <c r="FZ32" s="395"/>
      <c r="GA32" s="395"/>
      <c r="GB32" s="395"/>
      <c r="GC32" s="395"/>
      <c r="GD32" s="395"/>
      <c r="GE32" s="395"/>
      <c r="GF32" s="395"/>
      <c r="GG32" s="395"/>
      <c r="GH32" s="395"/>
      <c r="GI32" s="395"/>
      <c r="GJ32" s="395"/>
      <c r="GK32" s="395"/>
      <c r="GL32" s="395"/>
      <c r="GM32" s="395"/>
      <c r="GN32" s="395"/>
      <c r="GO32" s="395"/>
      <c r="GP32" s="395"/>
      <c r="GQ32" s="395"/>
      <c r="GR32" s="395"/>
      <c r="GS32" s="395"/>
      <c r="GT32" s="395"/>
      <c r="GU32" s="395"/>
      <c r="GV32" s="395"/>
      <c r="GW32" s="395"/>
      <c r="GX32" s="395"/>
      <c r="GY32" s="395"/>
      <c r="GZ32" s="395"/>
      <c r="HA32" s="395"/>
      <c r="HB32" s="395"/>
      <c r="HC32" s="395"/>
      <c r="HD32" s="395"/>
      <c r="HE32" s="395"/>
      <c r="HF32" s="395"/>
      <c r="HG32" s="395"/>
      <c r="HH32" s="395"/>
      <c r="HI32" s="395"/>
      <c r="HJ32" s="395"/>
      <c r="HK32" s="395"/>
      <c r="HL32" s="395"/>
      <c r="HM32" s="395"/>
      <c r="HN32" s="395"/>
      <c r="HO32" s="395"/>
      <c r="HP32" s="395"/>
      <c r="HQ32" s="395"/>
      <c r="HR32" s="395"/>
      <c r="HS32" s="395"/>
      <c r="HT32" s="395"/>
      <c r="HU32" s="395"/>
      <c r="HV32" s="395"/>
      <c r="HW32" s="395"/>
      <c r="HX32" s="395"/>
      <c r="HY32" s="395"/>
      <c r="HZ32" s="395"/>
      <c r="IA32" s="395"/>
      <c r="IB32" s="395"/>
      <c r="IC32" s="395"/>
      <c r="ID32" s="395"/>
      <c r="IE32" s="395"/>
      <c r="IF32" s="395"/>
      <c r="IG32" s="395"/>
      <c r="IH32" s="395"/>
      <c r="II32" s="395"/>
      <c r="IJ32" s="395"/>
      <c r="IK32" s="395"/>
      <c r="IL32" s="395"/>
      <c r="IM32" s="395"/>
      <c r="IN32" s="395"/>
      <c r="IO32" s="395"/>
      <c r="IP32" s="395"/>
      <c r="IQ32" s="395"/>
      <c r="IR32" s="395"/>
      <c r="IS32" s="395"/>
      <c r="IT32" s="395"/>
      <c r="IU32" s="395"/>
      <c r="IV32" s="395"/>
      <c r="IW32" s="395"/>
    </row>
    <row r="33" customFormat="false" ht="15" hidden="false" customHeight="false" outlineLevel="0" collapsed="false">
      <c r="A33" s="402" t="s">
        <v>377</v>
      </c>
      <c r="B33" s="302" t="n">
        <f aca="false">B18</f>
        <v>0</v>
      </c>
      <c r="C33" s="407"/>
      <c r="D33" s="302" t="n">
        <f aca="false">$B33*D28</f>
        <v>0</v>
      </c>
      <c r="E33" s="302" t="n">
        <f aca="false">$B33*E28</f>
        <v>0</v>
      </c>
      <c r="F33" s="302" t="n">
        <f aca="false">$B33*F28</f>
        <v>0</v>
      </c>
      <c r="G33" s="302" t="n">
        <f aca="false">$B33*G28</f>
        <v>0</v>
      </c>
      <c r="H33" s="302" t="n">
        <f aca="false">$B33*H28</f>
        <v>0</v>
      </c>
      <c r="I33" s="302" t="n">
        <f aca="false">$B33*I28</f>
        <v>0</v>
      </c>
      <c r="J33" s="302" t="n">
        <f aca="false">$B33*J28</f>
        <v>0</v>
      </c>
      <c r="K33" s="302" t="n">
        <f aca="false">$B33*K28</f>
        <v>0</v>
      </c>
      <c r="L33" s="302" t="n">
        <f aca="false">$B33*L28</f>
        <v>0</v>
      </c>
      <c r="M33" s="302" t="n">
        <f aca="false">$B33*M28</f>
        <v>0</v>
      </c>
      <c r="N33" s="302" t="n">
        <f aca="false">$B33*N28</f>
        <v>0</v>
      </c>
      <c r="O33" s="302" t="n">
        <f aca="false">$B33*O28</f>
        <v>0</v>
      </c>
      <c r="P33" s="302" t="n">
        <f aca="false">$B33*P28</f>
        <v>0</v>
      </c>
      <c r="Q33" s="302" t="n">
        <f aca="false">$B33*Q28</f>
        <v>0</v>
      </c>
      <c r="R33" s="302" t="n">
        <f aca="false">$B33*R28</f>
        <v>0</v>
      </c>
      <c r="S33" s="302" t="n">
        <f aca="false">$B33*S28</f>
        <v>0</v>
      </c>
      <c r="T33" s="302" t="n">
        <f aca="false">$B33*T28</f>
        <v>0</v>
      </c>
      <c r="U33" s="302" t="n">
        <f aca="false">$B33*U28</f>
        <v>0</v>
      </c>
      <c r="V33" s="302" t="n">
        <f aca="false">$B33*V28</f>
        <v>0</v>
      </c>
      <c r="W33" s="302" t="n">
        <f aca="false">$B33*W28</f>
        <v>0</v>
      </c>
      <c r="X33" s="302" t="n">
        <f aca="false">$B33*X28</f>
        <v>0</v>
      </c>
      <c r="Y33" s="302" t="n">
        <f aca="false">$B33*Y28</f>
        <v>0</v>
      </c>
      <c r="Z33" s="302" t="n">
        <f aca="false">$B33*Z28</f>
        <v>0</v>
      </c>
      <c r="AA33" s="302" t="n">
        <f aca="false">$B33*AA28</f>
        <v>0</v>
      </c>
      <c r="AB33" s="302" t="n">
        <f aca="false">$B33*AB28</f>
        <v>0</v>
      </c>
      <c r="AC33" s="302" t="n">
        <f aca="false">$B33*AC28</f>
        <v>0</v>
      </c>
      <c r="AD33" s="302" t="n">
        <f aca="false">$B33*AD28</f>
        <v>0</v>
      </c>
      <c r="AE33" s="302" t="n">
        <f aca="false">$B33*AE28</f>
        <v>0</v>
      </c>
      <c r="AF33" s="302" t="n">
        <f aca="false">$B33*AF28</f>
        <v>0</v>
      </c>
      <c r="AG33" s="302" t="n">
        <f aca="false">$B33*AG28</f>
        <v>0</v>
      </c>
      <c r="AH33" s="302" t="n">
        <f aca="false">$B33*AH28</f>
        <v>0</v>
      </c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5"/>
      <c r="DV33" s="395"/>
      <c r="DW33" s="395"/>
      <c r="DX33" s="395"/>
      <c r="DY33" s="395"/>
      <c r="DZ33" s="395"/>
      <c r="EA33" s="395"/>
      <c r="EB33" s="395"/>
      <c r="EC33" s="395"/>
      <c r="ED33" s="395"/>
      <c r="EE33" s="395"/>
      <c r="EF33" s="395"/>
      <c r="EG33" s="395"/>
      <c r="EH33" s="395"/>
      <c r="EI33" s="395"/>
      <c r="EJ33" s="395"/>
      <c r="EK33" s="395"/>
      <c r="EL33" s="395"/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395"/>
      <c r="FM33" s="395"/>
      <c r="FN33" s="395"/>
      <c r="FO33" s="395"/>
      <c r="FP33" s="395"/>
      <c r="FQ33" s="395"/>
      <c r="FR33" s="395"/>
      <c r="FS33" s="395"/>
      <c r="FT33" s="395"/>
      <c r="FU33" s="395"/>
      <c r="FV33" s="395"/>
      <c r="FW33" s="395"/>
      <c r="FX33" s="395"/>
      <c r="FY33" s="395"/>
      <c r="FZ33" s="395"/>
      <c r="GA33" s="395"/>
      <c r="GB33" s="395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395"/>
      <c r="GP33" s="395"/>
      <c r="GQ33" s="395"/>
      <c r="GR33" s="395"/>
      <c r="GS33" s="395"/>
      <c r="GT33" s="395"/>
      <c r="GU33" s="395"/>
      <c r="GV33" s="395"/>
      <c r="GW33" s="395"/>
      <c r="GX33" s="395"/>
      <c r="GY33" s="395"/>
      <c r="GZ33" s="395"/>
      <c r="HA33" s="395"/>
      <c r="HB33" s="395"/>
      <c r="HC33" s="395"/>
      <c r="HD33" s="395"/>
      <c r="HE33" s="395"/>
      <c r="HF33" s="395"/>
      <c r="HG33" s="395"/>
      <c r="HH33" s="395"/>
      <c r="HI33" s="395"/>
      <c r="HJ33" s="395"/>
      <c r="HK33" s="395"/>
      <c r="HL33" s="395"/>
      <c r="HM33" s="395"/>
      <c r="HN33" s="395"/>
      <c r="HO33" s="395"/>
      <c r="HP33" s="395"/>
      <c r="HQ33" s="395"/>
      <c r="HR33" s="395"/>
      <c r="HS33" s="395"/>
      <c r="HT33" s="395"/>
      <c r="HU33" s="395"/>
      <c r="HV33" s="395"/>
      <c r="HW33" s="395"/>
      <c r="HX33" s="395"/>
      <c r="HY33" s="395"/>
      <c r="HZ33" s="395"/>
      <c r="IA33" s="395"/>
      <c r="IB33" s="395"/>
      <c r="IC33" s="395"/>
      <c r="ID33" s="395"/>
      <c r="IE33" s="395"/>
      <c r="IF33" s="395"/>
      <c r="IG33" s="395"/>
      <c r="IH33" s="395"/>
      <c r="II33" s="395"/>
      <c r="IJ33" s="395"/>
      <c r="IK33" s="395"/>
      <c r="IL33" s="395"/>
      <c r="IM33" s="395"/>
      <c r="IN33" s="395"/>
      <c r="IO33" s="395"/>
      <c r="IP33" s="395"/>
      <c r="IQ33" s="395"/>
      <c r="IR33" s="395"/>
      <c r="IS33" s="395"/>
      <c r="IT33" s="395"/>
      <c r="IU33" s="395"/>
      <c r="IV33" s="395"/>
      <c r="IW33" s="395"/>
    </row>
    <row r="34" customFormat="false" ht="12.75" hidden="false" customHeight="false" outlineLevel="0" collapsed="false">
      <c r="A34" s="413" t="s">
        <v>378</v>
      </c>
      <c r="B34" s="185" t="n">
        <f aca="false">SUM(B31:B33)</f>
        <v>29334.6726367135</v>
      </c>
      <c r="C34" s="407"/>
      <c r="D34" s="185" t="n">
        <f aca="false">SUM(D31:D33)</f>
        <v>1656.06879850234</v>
      </c>
      <c r="E34" s="185" t="n">
        <f aca="false">SUM(E31:E33)</f>
        <v>3025.35621048778</v>
      </c>
      <c r="F34" s="185" t="n">
        <f aca="false">SUM(F31:F33)</f>
        <v>2768.261029439</v>
      </c>
      <c r="G34" s="185" t="n">
        <f aca="false">SUM(G31:G33)</f>
        <v>2538.22849902694</v>
      </c>
      <c r="H34" s="185" t="n">
        <f aca="false">SUM(H31:H33)</f>
        <v>2329.84608912424</v>
      </c>
      <c r="I34" s="185" t="n">
        <f aca="false">SUM(I31:I33)</f>
        <v>1837.47126800058</v>
      </c>
      <c r="J34" s="185" t="n">
        <f aca="false">SUM(J31:J33)</f>
        <v>1596.69638756609</v>
      </c>
      <c r="K34" s="185" t="n">
        <f aca="false">SUM(K31:K33)</f>
        <v>1599.40265262977</v>
      </c>
      <c r="L34" s="185" t="n">
        <f aca="false">SUM(L31:L33)</f>
        <v>1596.69638756609</v>
      </c>
      <c r="M34" s="185" t="n">
        <f aca="false">SUM(M31:M33)</f>
        <v>1599.40265262977</v>
      </c>
      <c r="N34" s="185" t="n">
        <f aca="false">SUM(N31:N33)</f>
        <v>1596.69638756609</v>
      </c>
      <c r="O34" s="185" t="n">
        <f aca="false">SUM(O31:O33)</f>
        <v>1599.40265262977</v>
      </c>
      <c r="P34" s="185" t="n">
        <f aca="false">SUM(P31:P33)</f>
        <v>1596.69638756609</v>
      </c>
      <c r="Q34" s="185" t="n">
        <f aca="false">SUM(Q31:Q33)</f>
        <v>1599.40265262977</v>
      </c>
      <c r="R34" s="185" t="n">
        <f aca="false">SUM(R31:R33)</f>
        <v>1596.69638756609</v>
      </c>
      <c r="S34" s="185" t="n">
        <f aca="false">SUM(S31:S33)</f>
        <v>798.348193783047</v>
      </c>
      <c r="T34" s="185" t="n">
        <f aca="false">SUM(T31:T33)</f>
        <v>0</v>
      </c>
      <c r="U34" s="185" t="n">
        <f aca="false">SUM(U31:U33)</f>
        <v>0</v>
      </c>
      <c r="V34" s="185" t="n">
        <f aca="false">SUM(V31:V33)</f>
        <v>0</v>
      </c>
      <c r="W34" s="185" t="n">
        <f aca="false">SUM(W31:W33)</f>
        <v>0</v>
      </c>
      <c r="X34" s="185" t="n">
        <f aca="false">SUM(X31:X33)</f>
        <v>0</v>
      </c>
      <c r="Y34" s="185" t="n">
        <f aca="false">SUM(Y31:Y33)</f>
        <v>0</v>
      </c>
      <c r="Z34" s="185" t="n">
        <f aca="false">SUM(Z31:Z33)</f>
        <v>0</v>
      </c>
      <c r="AA34" s="185" t="n">
        <f aca="false">SUM(AA31:AA33)</f>
        <v>0</v>
      </c>
      <c r="AB34" s="185" t="n">
        <f aca="false">SUM(AB31:AB33)</f>
        <v>0</v>
      </c>
      <c r="AC34" s="185" t="n">
        <f aca="false">SUM(AC31:AC33)</f>
        <v>0</v>
      </c>
      <c r="AD34" s="185" t="n">
        <f aca="false">SUM(AD31:AD33)</f>
        <v>0</v>
      </c>
      <c r="AE34" s="185" t="n">
        <f aca="false">SUM(AE31:AE33)</f>
        <v>0</v>
      </c>
      <c r="AF34" s="185" t="n">
        <f aca="false">SUM(AF31:AF33)</f>
        <v>0</v>
      </c>
      <c r="AG34" s="185" t="n">
        <f aca="false">SUM(AG31:AG33)</f>
        <v>0</v>
      </c>
      <c r="AH34" s="185" t="n">
        <f aca="false">SUM(AH31:AH33)</f>
        <v>0</v>
      </c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395"/>
      <c r="CX34" s="395"/>
      <c r="CY34" s="395"/>
      <c r="CZ34" s="395"/>
      <c r="DA34" s="395"/>
      <c r="DB34" s="395"/>
      <c r="DC34" s="395"/>
      <c r="DD34" s="395"/>
      <c r="DE34" s="395"/>
      <c r="DF34" s="395"/>
      <c r="DG34" s="395"/>
      <c r="DH34" s="395"/>
      <c r="DI34" s="395"/>
      <c r="DJ34" s="395"/>
      <c r="DK34" s="395"/>
      <c r="DL34" s="395"/>
      <c r="DM34" s="395"/>
      <c r="DN34" s="395"/>
      <c r="DO34" s="395"/>
      <c r="DP34" s="395"/>
      <c r="DQ34" s="395"/>
      <c r="DR34" s="395"/>
      <c r="DS34" s="395"/>
      <c r="DT34" s="395"/>
      <c r="DU34" s="395"/>
      <c r="DV34" s="395"/>
      <c r="DW34" s="395"/>
      <c r="DX34" s="395"/>
      <c r="DY34" s="395"/>
      <c r="DZ34" s="395"/>
      <c r="EA34" s="395"/>
      <c r="EB34" s="395"/>
      <c r="EC34" s="395"/>
      <c r="ED34" s="395"/>
      <c r="EE34" s="395"/>
      <c r="EF34" s="395"/>
      <c r="EG34" s="395"/>
      <c r="EH34" s="395"/>
      <c r="EI34" s="395"/>
      <c r="EJ34" s="395"/>
      <c r="EK34" s="395"/>
      <c r="EL34" s="395"/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395"/>
      <c r="FM34" s="395"/>
      <c r="FN34" s="395"/>
      <c r="FO34" s="395"/>
      <c r="FP34" s="395"/>
      <c r="FQ34" s="395"/>
      <c r="FR34" s="395"/>
      <c r="FS34" s="395"/>
      <c r="FT34" s="395"/>
      <c r="FU34" s="395"/>
      <c r="FV34" s="395"/>
      <c r="FW34" s="395"/>
      <c r="FX34" s="395"/>
      <c r="FY34" s="395"/>
      <c r="FZ34" s="395"/>
      <c r="GA34" s="395"/>
      <c r="GB34" s="395"/>
      <c r="GC34" s="395"/>
      <c r="GD34" s="395"/>
      <c r="GE34" s="395"/>
      <c r="GF34" s="395"/>
      <c r="GG34" s="395"/>
      <c r="GH34" s="395"/>
      <c r="GI34" s="395"/>
      <c r="GJ34" s="395"/>
      <c r="GK34" s="395"/>
      <c r="GL34" s="395"/>
      <c r="GM34" s="395"/>
      <c r="GN34" s="395"/>
      <c r="GO34" s="395"/>
      <c r="GP34" s="395"/>
      <c r="GQ34" s="395"/>
      <c r="GR34" s="395"/>
      <c r="GS34" s="395"/>
      <c r="GT34" s="395"/>
      <c r="GU34" s="395"/>
      <c r="GV34" s="395"/>
      <c r="GW34" s="395"/>
      <c r="GX34" s="395"/>
      <c r="GY34" s="395"/>
      <c r="GZ34" s="395"/>
      <c r="HA34" s="395"/>
      <c r="HB34" s="395"/>
      <c r="HC34" s="395"/>
      <c r="HD34" s="395"/>
      <c r="HE34" s="395"/>
      <c r="HF34" s="395"/>
      <c r="HG34" s="395"/>
      <c r="HH34" s="395"/>
      <c r="HI34" s="395"/>
      <c r="HJ34" s="395"/>
      <c r="HK34" s="395"/>
      <c r="HL34" s="395"/>
      <c r="HM34" s="395"/>
      <c r="HN34" s="395"/>
      <c r="HO34" s="395"/>
      <c r="HP34" s="395"/>
      <c r="HQ34" s="395"/>
      <c r="HR34" s="395"/>
      <c r="HS34" s="395"/>
      <c r="HT34" s="395"/>
      <c r="HU34" s="395"/>
      <c r="HV34" s="395"/>
      <c r="HW34" s="395"/>
      <c r="HX34" s="395"/>
      <c r="HY34" s="395"/>
      <c r="HZ34" s="395"/>
      <c r="IA34" s="395"/>
      <c r="IB34" s="395"/>
      <c r="IC34" s="395"/>
      <c r="ID34" s="395"/>
      <c r="IE34" s="395"/>
      <c r="IF34" s="395"/>
      <c r="IG34" s="395"/>
      <c r="IH34" s="395"/>
      <c r="II34" s="395"/>
      <c r="IJ34" s="395"/>
      <c r="IK34" s="395"/>
      <c r="IL34" s="395"/>
      <c r="IM34" s="395"/>
      <c r="IN34" s="395"/>
      <c r="IO34" s="395"/>
      <c r="IP34" s="395"/>
      <c r="IQ34" s="395"/>
      <c r="IR34" s="395"/>
      <c r="IS34" s="395"/>
      <c r="IT34" s="395"/>
      <c r="IU34" s="395"/>
      <c r="IV34" s="395"/>
      <c r="IW34" s="395"/>
    </row>
    <row r="35" customFormat="false" ht="12.75" hidden="false" customHeight="false" outlineLevel="0" collapsed="false">
      <c r="A35" s="413"/>
      <c r="B35" s="185"/>
      <c r="C35" s="407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395"/>
      <c r="CX35" s="395"/>
      <c r="CY35" s="395"/>
      <c r="CZ35" s="395"/>
      <c r="DA35" s="395"/>
      <c r="DB35" s="395"/>
      <c r="DC35" s="395"/>
      <c r="DD35" s="395"/>
      <c r="DE35" s="395"/>
      <c r="DF35" s="395"/>
      <c r="DG35" s="395"/>
      <c r="DH35" s="395"/>
      <c r="DI35" s="395"/>
      <c r="DJ35" s="395"/>
      <c r="DK35" s="395"/>
      <c r="DL35" s="395"/>
      <c r="DM35" s="395"/>
      <c r="DN35" s="395"/>
      <c r="DO35" s="395"/>
      <c r="DP35" s="395"/>
      <c r="DQ35" s="395"/>
      <c r="DR35" s="395"/>
      <c r="DS35" s="395"/>
      <c r="DT35" s="395"/>
      <c r="DU35" s="395"/>
      <c r="DV35" s="395"/>
      <c r="DW35" s="395"/>
      <c r="DX35" s="395"/>
      <c r="DY35" s="395"/>
      <c r="DZ35" s="395"/>
      <c r="EA35" s="395"/>
      <c r="EB35" s="395"/>
      <c r="EC35" s="395"/>
      <c r="ED35" s="395"/>
      <c r="EE35" s="395"/>
      <c r="EF35" s="395"/>
      <c r="EG35" s="395"/>
      <c r="EH35" s="395"/>
      <c r="EI35" s="395"/>
      <c r="EJ35" s="395"/>
      <c r="EK35" s="395"/>
      <c r="EL35" s="395"/>
      <c r="EM35" s="395"/>
      <c r="EN35" s="395"/>
      <c r="EO35" s="395"/>
      <c r="EP35" s="395"/>
      <c r="EQ35" s="395"/>
      <c r="ER35" s="395"/>
      <c r="ES35" s="395"/>
      <c r="ET35" s="395"/>
      <c r="EU35" s="395"/>
      <c r="EV35" s="395"/>
      <c r="EW35" s="395"/>
      <c r="EX35" s="395"/>
      <c r="EY35" s="395"/>
      <c r="EZ35" s="395"/>
      <c r="FA35" s="395"/>
      <c r="FB35" s="395"/>
      <c r="FC35" s="395"/>
      <c r="FD35" s="395"/>
      <c r="FE35" s="395"/>
      <c r="FF35" s="395"/>
      <c r="FG35" s="395"/>
      <c r="FH35" s="395"/>
      <c r="FI35" s="395"/>
      <c r="FJ35" s="395"/>
      <c r="FK35" s="395"/>
      <c r="FL35" s="395"/>
      <c r="FM35" s="395"/>
      <c r="FN35" s="395"/>
      <c r="FO35" s="395"/>
      <c r="FP35" s="395"/>
      <c r="FQ35" s="395"/>
      <c r="FR35" s="395"/>
      <c r="FS35" s="395"/>
      <c r="FT35" s="395"/>
      <c r="FU35" s="395"/>
      <c r="FV35" s="395"/>
      <c r="FW35" s="395"/>
      <c r="FX35" s="395"/>
      <c r="FY35" s="395"/>
      <c r="FZ35" s="395"/>
      <c r="GA35" s="395"/>
      <c r="GB35" s="395"/>
      <c r="GC35" s="395"/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395"/>
      <c r="GP35" s="395"/>
      <c r="GQ35" s="395"/>
      <c r="GR35" s="395"/>
      <c r="GS35" s="395"/>
      <c r="GT35" s="395"/>
      <c r="GU35" s="395"/>
      <c r="GV35" s="395"/>
      <c r="GW35" s="395"/>
      <c r="GX35" s="395"/>
      <c r="GY35" s="395"/>
      <c r="GZ35" s="395"/>
      <c r="HA35" s="395"/>
      <c r="HB35" s="395"/>
      <c r="HC35" s="395"/>
      <c r="HD35" s="395"/>
      <c r="HE35" s="395"/>
      <c r="HF35" s="395"/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  <c r="HQ35" s="395"/>
      <c r="HR35" s="395"/>
      <c r="HS35" s="395"/>
      <c r="HT35" s="395"/>
      <c r="HU35" s="395"/>
      <c r="HV35" s="395"/>
      <c r="HW35" s="395"/>
      <c r="HX35" s="395"/>
      <c r="HY35" s="395"/>
      <c r="HZ35" s="395"/>
      <c r="IA35" s="395"/>
      <c r="IB35" s="395"/>
      <c r="IC35" s="395"/>
      <c r="ID35" s="395"/>
      <c r="IE35" s="395"/>
      <c r="IF35" s="395"/>
      <c r="IG35" s="395"/>
      <c r="IH35" s="395"/>
      <c r="II35" s="395"/>
      <c r="IJ35" s="395"/>
      <c r="IK35" s="395"/>
      <c r="IL35" s="395"/>
      <c r="IM35" s="395"/>
      <c r="IN35" s="395"/>
      <c r="IO35" s="395"/>
      <c r="IP35" s="395"/>
      <c r="IQ35" s="395"/>
      <c r="IR35" s="395"/>
      <c r="IS35" s="395"/>
      <c r="IT35" s="395"/>
      <c r="IU35" s="395"/>
      <c r="IV35" s="395"/>
      <c r="IW35" s="395"/>
    </row>
    <row r="36" customFormat="false" ht="12.75" hidden="false" customHeight="false" outlineLevel="0" collapsed="false">
      <c r="A36" s="252" t="s">
        <v>379</v>
      </c>
      <c r="B36" s="303" t="n">
        <f aca="false">B34</f>
        <v>29334.6726367135</v>
      </c>
      <c r="C36" s="409"/>
      <c r="D36" s="303" t="n">
        <f aca="false">B34-D34</f>
        <v>27678.6038382111</v>
      </c>
      <c r="E36" s="303" t="n">
        <f aca="false">D36-E34</f>
        <v>24653.2476277233</v>
      </c>
      <c r="F36" s="303" t="n">
        <f aca="false">E36-F34</f>
        <v>21884.9865982843</v>
      </c>
      <c r="G36" s="303" t="n">
        <f aca="false">F36-G34</f>
        <v>19346.7580992574</v>
      </c>
      <c r="H36" s="303" t="n">
        <f aca="false">G36-H34</f>
        <v>17016.9120101332</v>
      </c>
      <c r="I36" s="303" t="n">
        <f aca="false">H36-I34</f>
        <v>15179.4407421326</v>
      </c>
      <c r="J36" s="303" t="n">
        <f aca="false">I36-J34</f>
        <v>13582.7443545665</v>
      </c>
      <c r="K36" s="303" t="n">
        <f aca="false">J36-K34</f>
        <v>11983.3417019367</v>
      </c>
      <c r="L36" s="303" t="n">
        <f aca="false">K36-L34</f>
        <v>10386.6453143706</v>
      </c>
      <c r="M36" s="303" t="n">
        <f aca="false">L36-M34</f>
        <v>8787.24266174086</v>
      </c>
      <c r="N36" s="303" t="n">
        <f aca="false">M36-N34</f>
        <v>7190.54627417477</v>
      </c>
      <c r="O36" s="303" t="n">
        <f aca="false">N36-O34</f>
        <v>5591.143621545</v>
      </c>
      <c r="P36" s="303" t="n">
        <f aca="false">O36-P34</f>
        <v>3994.44723397891</v>
      </c>
      <c r="Q36" s="303" t="n">
        <f aca="false">P36-Q34</f>
        <v>2395.04458134914</v>
      </c>
      <c r="R36" s="303" t="n">
        <f aca="false">Q36-R34</f>
        <v>798.348193783048</v>
      </c>
      <c r="S36" s="303" t="n">
        <f aca="false">R36-S34</f>
        <v>0</v>
      </c>
      <c r="T36" s="303" t="n">
        <f aca="false">S36-T34</f>
        <v>0</v>
      </c>
      <c r="U36" s="303" t="n">
        <f aca="false">T36-U34</f>
        <v>0</v>
      </c>
      <c r="V36" s="303" t="n">
        <f aca="false">U36-V34</f>
        <v>0</v>
      </c>
      <c r="W36" s="303" t="n">
        <f aca="false">V36-W34</f>
        <v>0</v>
      </c>
      <c r="X36" s="303" t="n">
        <f aca="false">W36-X34</f>
        <v>0</v>
      </c>
      <c r="Y36" s="303" t="n">
        <f aca="false">X36-Y34</f>
        <v>0</v>
      </c>
      <c r="Z36" s="303" t="n">
        <f aca="false">Y36-Z34</f>
        <v>0</v>
      </c>
      <c r="AA36" s="303" t="n">
        <f aca="false">Z36-AA34</f>
        <v>0</v>
      </c>
      <c r="AB36" s="303" t="n">
        <f aca="false">AA36-AB34</f>
        <v>0</v>
      </c>
      <c r="AC36" s="303" t="n">
        <f aca="false">AB36-AC34</f>
        <v>0</v>
      </c>
      <c r="AD36" s="303" t="n">
        <f aca="false">AC36-AD34</f>
        <v>0</v>
      </c>
      <c r="AE36" s="303" t="n">
        <f aca="false">AD36-AE34</f>
        <v>0</v>
      </c>
      <c r="AF36" s="303" t="n">
        <f aca="false">AE36-AF34</f>
        <v>0</v>
      </c>
      <c r="AG36" s="303" t="n">
        <f aca="false">AF36-AG34</f>
        <v>0</v>
      </c>
      <c r="AH36" s="303" t="n">
        <f aca="false">AG36-AH34</f>
        <v>0</v>
      </c>
      <c r="AI36" s="410"/>
      <c r="AJ36" s="410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5"/>
      <c r="DG36" s="395"/>
      <c r="DH36" s="395"/>
      <c r="DI36" s="395"/>
      <c r="DJ36" s="395"/>
      <c r="DK36" s="395"/>
      <c r="DL36" s="395"/>
      <c r="DM36" s="395"/>
      <c r="DN36" s="395"/>
      <c r="DO36" s="395"/>
      <c r="DP36" s="395"/>
      <c r="DQ36" s="395"/>
      <c r="DR36" s="395"/>
      <c r="DS36" s="395"/>
      <c r="DT36" s="395"/>
      <c r="DU36" s="395"/>
      <c r="DV36" s="395"/>
      <c r="DW36" s="395"/>
      <c r="DX36" s="395"/>
      <c r="DY36" s="395"/>
      <c r="DZ36" s="395"/>
      <c r="EA36" s="395"/>
      <c r="EB36" s="395"/>
      <c r="EC36" s="395"/>
      <c r="ED36" s="395"/>
      <c r="EE36" s="395"/>
      <c r="EF36" s="395"/>
      <c r="EG36" s="395"/>
      <c r="EH36" s="395"/>
      <c r="EI36" s="395"/>
      <c r="EJ36" s="395"/>
      <c r="EK36" s="395"/>
      <c r="EL36" s="395"/>
      <c r="EM36" s="395"/>
      <c r="EN36" s="395"/>
      <c r="EO36" s="395"/>
      <c r="EP36" s="395"/>
      <c r="EQ36" s="395"/>
      <c r="ER36" s="395"/>
      <c r="ES36" s="395"/>
      <c r="ET36" s="395"/>
      <c r="EU36" s="395"/>
      <c r="EV36" s="395"/>
      <c r="EW36" s="395"/>
      <c r="EX36" s="395"/>
      <c r="EY36" s="395"/>
      <c r="EZ36" s="395"/>
      <c r="FA36" s="395"/>
      <c r="FB36" s="395"/>
      <c r="FC36" s="395"/>
      <c r="FD36" s="395"/>
      <c r="FE36" s="395"/>
      <c r="FF36" s="395"/>
      <c r="FG36" s="395"/>
      <c r="FH36" s="395"/>
      <c r="FI36" s="395"/>
      <c r="FJ36" s="395"/>
      <c r="FK36" s="395"/>
      <c r="FL36" s="395"/>
      <c r="FM36" s="395"/>
      <c r="FN36" s="395"/>
      <c r="FO36" s="395"/>
      <c r="FP36" s="395"/>
      <c r="FQ36" s="395"/>
      <c r="FR36" s="395"/>
      <c r="FS36" s="395"/>
      <c r="FT36" s="395"/>
      <c r="FU36" s="395"/>
      <c r="FV36" s="395"/>
      <c r="FW36" s="395"/>
      <c r="FX36" s="395"/>
      <c r="FY36" s="395"/>
      <c r="FZ36" s="395"/>
      <c r="GA36" s="395"/>
      <c r="GB36" s="395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395"/>
      <c r="GP36" s="395"/>
      <c r="GQ36" s="395"/>
      <c r="GR36" s="395"/>
      <c r="GS36" s="395"/>
      <c r="GT36" s="395"/>
      <c r="GU36" s="395"/>
      <c r="GV36" s="395"/>
      <c r="GW36" s="395"/>
      <c r="GX36" s="395"/>
      <c r="GY36" s="395"/>
      <c r="GZ36" s="395"/>
      <c r="HA36" s="395"/>
      <c r="HB36" s="395"/>
      <c r="HC36" s="395"/>
      <c r="HD36" s="395"/>
      <c r="HE36" s="395"/>
      <c r="HF36" s="395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  <c r="HQ36" s="395"/>
      <c r="HR36" s="395"/>
      <c r="HS36" s="395"/>
      <c r="HT36" s="395"/>
      <c r="HU36" s="395"/>
      <c r="HV36" s="395"/>
      <c r="HW36" s="395"/>
      <c r="HX36" s="395"/>
      <c r="HY36" s="395"/>
      <c r="HZ36" s="395"/>
      <c r="IA36" s="395"/>
      <c r="IB36" s="395"/>
      <c r="IC36" s="395"/>
      <c r="ID36" s="395"/>
      <c r="IE36" s="395"/>
      <c r="IF36" s="395"/>
      <c r="IG36" s="395"/>
      <c r="IH36" s="395"/>
      <c r="II36" s="395"/>
      <c r="IJ36" s="395"/>
      <c r="IK36" s="395"/>
      <c r="IL36" s="395"/>
      <c r="IM36" s="395"/>
      <c r="IN36" s="395"/>
      <c r="IO36" s="395"/>
      <c r="IP36" s="395"/>
      <c r="IQ36" s="395"/>
      <c r="IR36" s="395"/>
      <c r="IS36" s="395"/>
      <c r="IT36" s="395"/>
      <c r="IU36" s="395"/>
      <c r="IV36" s="395"/>
      <c r="IW36" s="395"/>
    </row>
    <row r="37" customFormat="false" ht="12.75" hidden="false" customHeight="false" outlineLevel="0" collapsed="false">
      <c r="D37" s="418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  <c r="DR37" s="395"/>
      <c r="DS37" s="395"/>
      <c r="DT37" s="395"/>
      <c r="DU37" s="395"/>
      <c r="DV37" s="395"/>
      <c r="DW37" s="395"/>
      <c r="DX37" s="395"/>
      <c r="DY37" s="395"/>
      <c r="DZ37" s="395"/>
      <c r="EA37" s="395"/>
      <c r="EB37" s="395"/>
      <c r="EC37" s="395"/>
      <c r="ED37" s="395"/>
      <c r="EE37" s="395"/>
      <c r="EF37" s="395"/>
      <c r="EG37" s="395"/>
      <c r="EH37" s="395"/>
      <c r="EI37" s="395"/>
      <c r="EJ37" s="395"/>
      <c r="EK37" s="395"/>
      <c r="EL37" s="395"/>
      <c r="EM37" s="395"/>
      <c r="EN37" s="395"/>
      <c r="EO37" s="395"/>
      <c r="EP37" s="395"/>
      <c r="EQ37" s="395"/>
      <c r="ER37" s="395"/>
      <c r="ES37" s="395"/>
      <c r="ET37" s="395"/>
      <c r="EU37" s="395"/>
      <c r="EV37" s="395"/>
      <c r="EW37" s="395"/>
      <c r="EX37" s="395"/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395"/>
      <c r="FM37" s="395"/>
      <c r="FN37" s="395"/>
      <c r="FO37" s="395"/>
      <c r="FP37" s="395"/>
      <c r="FQ37" s="395"/>
      <c r="FR37" s="395"/>
      <c r="FS37" s="395"/>
      <c r="FT37" s="395"/>
      <c r="FU37" s="395"/>
      <c r="FV37" s="395"/>
      <c r="FW37" s="395"/>
      <c r="FX37" s="395"/>
      <c r="FY37" s="395"/>
      <c r="FZ37" s="395"/>
      <c r="GA37" s="395"/>
      <c r="GB37" s="395"/>
      <c r="GC37" s="395"/>
      <c r="GD37" s="395"/>
      <c r="GE37" s="395"/>
      <c r="GF37" s="395"/>
      <c r="GG37" s="395"/>
      <c r="GH37" s="395"/>
      <c r="GI37" s="395"/>
      <c r="GJ37" s="395"/>
      <c r="GK37" s="395"/>
      <c r="GL37" s="395"/>
      <c r="GM37" s="395"/>
      <c r="GN37" s="395"/>
      <c r="GO37" s="395"/>
      <c r="GP37" s="395"/>
      <c r="GQ37" s="395"/>
      <c r="GR37" s="395"/>
      <c r="GS37" s="395"/>
      <c r="GT37" s="395"/>
      <c r="GU37" s="395"/>
      <c r="GV37" s="395"/>
      <c r="GW37" s="395"/>
      <c r="GX37" s="395"/>
      <c r="GY37" s="395"/>
      <c r="GZ37" s="395"/>
      <c r="HA37" s="395"/>
      <c r="HB37" s="395"/>
      <c r="HC37" s="395"/>
      <c r="HD37" s="395"/>
      <c r="HE37" s="395"/>
      <c r="HF37" s="395"/>
      <c r="HG37" s="395"/>
      <c r="HH37" s="395"/>
      <c r="HI37" s="395"/>
      <c r="HJ37" s="395"/>
      <c r="HK37" s="395"/>
      <c r="HL37" s="395"/>
      <c r="HM37" s="395"/>
      <c r="HN37" s="395"/>
      <c r="HO37" s="395"/>
      <c r="HP37" s="395"/>
      <c r="HQ37" s="395"/>
      <c r="HR37" s="395"/>
      <c r="HS37" s="395"/>
      <c r="HT37" s="395"/>
      <c r="HU37" s="395"/>
      <c r="HV37" s="395"/>
      <c r="HW37" s="395"/>
      <c r="HX37" s="395"/>
      <c r="HY37" s="395"/>
      <c r="HZ37" s="395"/>
      <c r="IA37" s="395"/>
      <c r="IB37" s="395"/>
      <c r="IC37" s="395"/>
      <c r="ID37" s="395"/>
      <c r="IE37" s="395"/>
      <c r="IF37" s="395"/>
      <c r="IG37" s="395"/>
      <c r="IH37" s="395"/>
      <c r="II37" s="395"/>
      <c r="IJ37" s="395"/>
      <c r="IK37" s="395"/>
      <c r="IL37" s="395"/>
      <c r="IM37" s="395"/>
      <c r="IN37" s="395"/>
      <c r="IO37" s="395"/>
      <c r="IP37" s="395"/>
      <c r="IQ37" s="395"/>
      <c r="IR37" s="395"/>
      <c r="IS37" s="395"/>
      <c r="IT37" s="395"/>
      <c r="IU37" s="395"/>
      <c r="IV37" s="395"/>
      <c r="IW37" s="395"/>
    </row>
    <row r="38" customFormat="false" ht="12.75" hidden="false" customHeight="false" outlineLevel="0" collapsed="false">
      <c r="B38" s="395"/>
      <c r="C38" s="395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395"/>
      <c r="AU38" s="395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395"/>
      <c r="CX38" s="395"/>
      <c r="CY38" s="395"/>
      <c r="CZ38" s="395"/>
      <c r="DA38" s="395"/>
      <c r="DB38" s="395"/>
      <c r="DC38" s="395"/>
      <c r="DD38" s="395"/>
      <c r="DE38" s="395"/>
      <c r="DF38" s="395"/>
      <c r="DG38" s="395"/>
      <c r="DH38" s="395"/>
      <c r="DI38" s="395"/>
      <c r="DJ38" s="395"/>
      <c r="DK38" s="395"/>
      <c r="DL38" s="395"/>
      <c r="DM38" s="395"/>
      <c r="DN38" s="395"/>
      <c r="DO38" s="395"/>
      <c r="DP38" s="395"/>
      <c r="DQ38" s="395"/>
      <c r="DR38" s="395"/>
      <c r="DS38" s="395"/>
      <c r="DT38" s="395"/>
      <c r="DU38" s="395"/>
      <c r="DV38" s="395"/>
      <c r="DW38" s="395"/>
      <c r="DX38" s="395"/>
      <c r="DY38" s="395"/>
      <c r="DZ38" s="395"/>
      <c r="EA38" s="395"/>
      <c r="EB38" s="395"/>
      <c r="EC38" s="395"/>
      <c r="ED38" s="395"/>
      <c r="EE38" s="395"/>
      <c r="EF38" s="395"/>
      <c r="EG38" s="395"/>
      <c r="EH38" s="395"/>
      <c r="EI38" s="395"/>
      <c r="EJ38" s="395"/>
      <c r="EK38" s="395"/>
      <c r="EL38" s="395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5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395"/>
      <c r="FM38" s="395"/>
      <c r="FN38" s="395"/>
      <c r="FO38" s="395"/>
      <c r="FP38" s="395"/>
      <c r="FQ38" s="395"/>
      <c r="FR38" s="395"/>
      <c r="FS38" s="395"/>
      <c r="FT38" s="395"/>
      <c r="FU38" s="395"/>
      <c r="FV38" s="395"/>
      <c r="FW38" s="395"/>
      <c r="FX38" s="395"/>
      <c r="FY38" s="395"/>
      <c r="FZ38" s="395"/>
      <c r="GA38" s="395"/>
      <c r="GB38" s="395"/>
      <c r="GC38" s="395"/>
      <c r="GD38" s="395"/>
      <c r="GE38" s="395"/>
      <c r="GF38" s="395"/>
      <c r="GG38" s="395"/>
      <c r="GH38" s="395"/>
      <c r="GI38" s="395"/>
      <c r="GJ38" s="395"/>
      <c r="GK38" s="395"/>
      <c r="GL38" s="395"/>
      <c r="GM38" s="395"/>
      <c r="GN38" s="395"/>
      <c r="GO38" s="395"/>
      <c r="GP38" s="395"/>
      <c r="GQ38" s="395"/>
      <c r="GR38" s="395"/>
      <c r="GS38" s="395"/>
      <c r="GT38" s="395"/>
      <c r="GU38" s="395"/>
      <c r="GV38" s="395"/>
      <c r="GW38" s="395"/>
      <c r="GX38" s="395"/>
      <c r="GY38" s="395"/>
      <c r="GZ38" s="395"/>
      <c r="HA38" s="395"/>
      <c r="HB38" s="395"/>
      <c r="HC38" s="395"/>
      <c r="HD38" s="395"/>
      <c r="HE38" s="395"/>
      <c r="HF38" s="395"/>
      <c r="HG38" s="395"/>
      <c r="HH38" s="395"/>
      <c r="HI38" s="395"/>
      <c r="HJ38" s="395"/>
      <c r="HK38" s="395"/>
      <c r="HL38" s="395"/>
      <c r="HM38" s="395"/>
      <c r="HN38" s="395"/>
      <c r="HO38" s="395"/>
      <c r="HP38" s="395"/>
      <c r="HQ38" s="395"/>
      <c r="HR38" s="395"/>
      <c r="HS38" s="395"/>
      <c r="HT38" s="395"/>
      <c r="HU38" s="395"/>
      <c r="HV38" s="395"/>
      <c r="HW38" s="395"/>
      <c r="HX38" s="395"/>
      <c r="HY38" s="395"/>
      <c r="HZ38" s="395"/>
      <c r="IA38" s="395"/>
      <c r="IB38" s="395"/>
      <c r="IC38" s="395"/>
      <c r="ID38" s="395"/>
      <c r="IE38" s="395"/>
      <c r="IF38" s="395"/>
      <c r="IG38" s="395"/>
      <c r="IH38" s="395"/>
      <c r="II38" s="395"/>
      <c r="IJ38" s="395"/>
      <c r="IK38" s="395"/>
      <c r="IL38" s="395"/>
      <c r="IM38" s="395"/>
      <c r="IN38" s="395"/>
      <c r="IO38" s="395"/>
      <c r="IP38" s="395"/>
      <c r="IQ38" s="395"/>
      <c r="IR38" s="395"/>
      <c r="IS38" s="395"/>
      <c r="IT38" s="395"/>
      <c r="IU38" s="395"/>
      <c r="IV38" s="395"/>
      <c r="IW38" s="395"/>
    </row>
    <row r="39" customFormat="false" ht="12.75" hidden="false" customHeight="false" outlineLevel="0" collapsed="false">
      <c r="A39" s="392" t="s">
        <v>381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AT39" s="395"/>
      <c r="AU39" s="395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395"/>
      <c r="CX39" s="395"/>
      <c r="CY39" s="395"/>
      <c r="CZ39" s="395"/>
      <c r="DA39" s="395"/>
      <c r="DB39" s="395"/>
      <c r="DC39" s="395"/>
      <c r="DD39" s="395"/>
      <c r="DE39" s="395"/>
      <c r="DF39" s="395"/>
      <c r="DG39" s="395"/>
      <c r="DH39" s="395"/>
      <c r="DI39" s="395"/>
      <c r="DJ39" s="395"/>
      <c r="DK39" s="395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5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395"/>
      <c r="FM39" s="395"/>
      <c r="FN39" s="395"/>
      <c r="FO39" s="395"/>
      <c r="FP39" s="395"/>
      <c r="FQ39" s="395"/>
      <c r="FR39" s="395"/>
      <c r="FS39" s="395"/>
      <c r="FT39" s="395"/>
      <c r="FU39" s="395"/>
      <c r="FV39" s="395"/>
      <c r="FW39" s="395"/>
      <c r="FX39" s="395"/>
      <c r="FY39" s="395"/>
      <c r="FZ39" s="395"/>
      <c r="GA39" s="395"/>
      <c r="GB39" s="395"/>
      <c r="GC39" s="395"/>
      <c r="GD39" s="395"/>
      <c r="GE39" s="395"/>
      <c r="GF39" s="395"/>
      <c r="GG39" s="395"/>
      <c r="GH39" s="395"/>
      <c r="GI39" s="395"/>
      <c r="GJ39" s="395"/>
      <c r="GK39" s="395"/>
      <c r="GL39" s="395"/>
      <c r="GM39" s="395"/>
      <c r="GN39" s="395"/>
      <c r="GO39" s="395"/>
      <c r="GP39" s="395"/>
      <c r="GQ39" s="395"/>
      <c r="GR39" s="395"/>
      <c r="GS39" s="395"/>
      <c r="GT39" s="395"/>
      <c r="GU39" s="395"/>
      <c r="GV39" s="395"/>
      <c r="GW39" s="395"/>
      <c r="GX39" s="395"/>
      <c r="GY39" s="395"/>
      <c r="GZ39" s="395"/>
      <c r="HA39" s="395"/>
      <c r="HB39" s="395"/>
      <c r="HC39" s="395"/>
      <c r="HD39" s="395"/>
      <c r="HE39" s="395"/>
      <c r="HF39" s="395"/>
      <c r="HG39" s="395"/>
      <c r="HH39" s="395"/>
      <c r="HI39" s="395"/>
      <c r="HJ39" s="395"/>
      <c r="HK39" s="395"/>
      <c r="HL39" s="395"/>
      <c r="HM39" s="395"/>
      <c r="HN39" s="395"/>
      <c r="HO39" s="395"/>
      <c r="HP39" s="395"/>
      <c r="HQ39" s="395"/>
      <c r="HR39" s="395"/>
      <c r="HS39" s="395"/>
      <c r="HT39" s="395"/>
      <c r="HU39" s="395"/>
      <c r="HV39" s="395"/>
      <c r="HW39" s="395"/>
      <c r="HX39" s="395"/>
      <c r="HY39" s="395"/>
      <c r="HZ39" s="395"/>
      <c r="IA39" s="395"/>
      <c r="IB39" s="395"/>
      <c r="IC39" s="395"/>
      <c r="ID39" s="395"/>
      <c r="IE39" s="395"/>
      <c r="IF39" s="395"/>
      <c r="IG39" s="395"/>
      <c r="IH39" s="395"/>
      <c r="II39" s="395"/>
      <c r="IJ39" s="395"/>
      <c r="IK39" s="395"/>
      <c r="IL39" s="395"/>
      <c r="IM39" s="395"/>
      <c r="IN39" s="395"/>
      <c r="IO39" s="395"/>
      <c r="IP39" s="395"/>
      <c r="IQ39" s="395"/>
      <c r="IR39" s="395"/>
      <c r="IS39" s="395"/>
      <c r="IT39" s="395"/>
      <c r="IU39" s="395"/>
      <c r="IV39" s="395"/>
      <c r="IW39" s="395"/>
    </row>
    <row r="40" customFormat="false" ht="12.75" hidden="false" customHeight="false" outlineLevel="0" collapsed="false">
      <c r="A40" s="392"/>
      <c r="B40" s="396" t="s">
        <v>374</v>
      </c>
      <c r="C40" s="420" t="s">
        <v>382</v>
      </c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395"/>
      <c r="CX40" s="395"/>
      <c r="CY40" s="395"/>
      <c r="CZ40" s="395"/>
      <c r="DA40" s="395"/>
      <c r="DB40" s="395"/>
      <c r="DC40" s="395"/>
      <c r="DD40" s="395"/>
      <c r="DE40" s="395"/>
      <c r="DF40" s="395"/>
      <c r="DG40" s="395"/>
      <c r="DH40" s="395"/>
      <c r="DI40" s="395"/>
      <c r="DJ40" s="395"/>
      <c r="DK40" s="395"/>
      <c r="DL40" s="395"/>
      <c r="DM40" s="395"/>
      <c r="DN40" s="395"/>
      <c r="DO40" s="395"/>
      <c r="DP40" s="395"/>
      <c r="DQ40" s="395"/>
      <c r="DR40" s="395"/>
      <c r="DS40" s="395"/>
      <c r="DT40" s="395"/>
      <c r="DU40" s="395"/>
      <c r="DV40" s="395"/>
      <c r="DW40" s="395"/>
      <c r="DX40" s="395"/>
      <c r="DY40" s="395"/>
      <c r="DZ40" s="395"/>
      <c r="EA40" s="395"/>
      <c r="EB40" s="395"/>
      <c r="EC40" s="395"/>
      <c r="ED40" s="395"/>
      <c r="EE40" s="395"/>
      <c r="EF40" s="395"/>
      <c r="EG40" s="395"/>
      <c r="EH40" s="395"/>
      <c r="EI40" s="395"/>
      <c r="EJ40" s="395"/>
      <c r="EK40" s="395"/>
      <c r="EL40" s="395"/>
      <c r="EM40" s="395"/>
      <c r="EN40" s="395"/>
      <c r="EO40" s="395"/>
      <c r="EP40" s="395"/>
      <c r="EQ40" s="395"/>
      <c r="ER40" s="395"/>
      <c r="ES40" s="395"/>
      <c r="ET40" s="395"/>
      <c r="EU40" s="395"/>
      <c r="EV40" s="395"/>
      <c r="EW40" s="395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395"/>
      <c r="FM40" s="395"/>
      <c r="FN40" s="395"/>
      <c r="FO40" s="395"/>
      <c r="FP40" s="395"/>
      <c r="FQ40" s="395"/>
      <c r="FR40" s="395"/>
      <c r="FS40" s="395"/>
      <c r="FT40" s="395"/>
      <c r="FU40" s="395"/>
      <c r="FV40" s="395"/>
      <c r="FW40" s="395"/>
      <c r="FX40" s="395"/>
      <c r="FY40" s="395"/>
      <c r="FZ40" s="395"/>
      <c r="GA40" s="395"/>
      <c r="GB40" s="395"/>
      <c r="GC40" s="395"/>
      <c r="GD40" s="395"/>
      <c r="GE40" s="395"/>
      <c r="GF40" s="395"/>
      <c r="GG40" s="395"/>
      <c r="GH40" s="395"/>
      <c r="GI40" s="395"/>
      <c r="GJ40" s="395"/>
      <c r="GK40" s="395"/>
      <c r="GL40" s="395"/>
      <c r="GM40" s="395"/>
      <c r="GN40" s="395"/>
      <c r="GO40" s="395"/>
      <c r="GP40" s="395"/>
      <c r="GQ40" s="395"/>
      <c r="GR40" s="395"/>
      <c r="GS40" s="395"/>
      <c r="GT40" s="395"/>
      <c r="GU40" s="395"/>
      <c r="GV40" s="395"/>
      <c r="GW40" s="395"/>
      <c r="GX40" s="395"/>
      <c r="GY40" s="395"/>
      <c r="GZ40" s="395"/>
      <c r="HA40" s="395"/>
      <c r="HB40" s="395"/>
      <c r="HC40" s="395"/>
      <c r="HD40" s="395"/>
      <c r="HE40" s="395"/>
      <c r="HF40" s="395"/>
      <c r="HG40" s="395"/>
      <c r="HH40" s="395"/>
      <c r="HI40" s="395"/>
      <c r="HJ40" s="395"/>
      <c r="HK40" s="395"/>
      <c r="HL40" s="395"/>
      <c r="HM40" s="395"/>
      <c r="HN40" s="395"/>
      <c r="HO40" s="395"/>
      <c r="HP40" s="395"/>
      <c r="HQ40" s="395"/>
      <c r="HR40" s="395"/>
      <c r="HS40" s="395"/>
      <c r="HT40" s="395"/>
      <c r="HU40" s="395"/>
      <c r="HV40" s="395"/>
      <c r="HW40" s="395"/>
      <c r="HX40" s="395"/>
      <c r="HY40" s="395"/>
      <c r="HZ40" s="395"/>
      <c r="IA40" s="395"/>
      <c r="IB40" s="395"/>
      <c r="IC40" s="395"/>
      <c r="ID40" s="395"/>
      <c r="IE40" s="395"/>
      <c r="IF40" s="395"/>
      <c r="IG40" s="395"/>
      <c r="IH40" s="395"/>
      <c r="II40" s="395"/>
      <c r="IJ40" s="395"/>
      <c r="IK40" s="395"/>
      <c r="IL40" s="395"/>
      <c r="IM40" s="395"/>
      <c r="IN40" s="395"/>
      <c r="IO40" s="395"/>
      <c r="IP40" s="395"/>
      <c r="IQ40" s="395"/>
      <c r="IR40" s="395"/>
      <c r="IS40" s="395"/>
      <c r="IT40" s="395"/>
      <c r="IU40" s="395"/>
      <c r="IV40" s="395"/>
      <c r="IW40" s="395"/>
    </row>
    <row r="41" customFormat="false" ht="12.75" hidden="false" customHeight="false" outlineLevel="0" collapsed="false">
      <c r="A41" s="399" t="s">
        <v>383</v>
      </c>
      <c r="B41" s="400" t="n">
        <f aca="false">Assumptions!$N$44</f>
        <v>30</v>
      </c>
      <c r="C41" s="421" t="n">
        <f aca="false">Assumptions!P44</f>
        <v>0.1</v>
      </c>
      <c r="D41" s="397" t="n">
        <f aca="false">1/Assumptions!$N$44*D6*(1-$C$41)</f>
        <v>0.02</v>
      </c>
      <c r="E41" s="39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39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39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39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39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39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39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39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39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39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39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39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39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39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39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39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39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39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39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39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39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39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39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39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39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39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39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39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39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39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395"/>
      <c r="CX41" s="395"/>
      <c r="CY41" s="395"/>
      <c r="CZ41" s="395"/>
      <c r="DA41" s="395"/>
      <c r="DB41" s="395"/>
      <c r="DC41" s="395"/>
      <c r="DD41" s="395"/>
      <c r="DE41" s="395"/>
      <c r="DF41" s="395"/>
      <c r="DG41" s="395"/>
      <c r="DH41" s="395"/>
      <c r="DI41" s="395"/>
      <c r="DJ41" s="395"/>
      <c r="DK41" s="395"/>
      <c r="DL41" s="395"/>
      <c r="DM41" s="395"/>
      <c r="DN41" s="395"/>
      <c r="DO41" s="395"/>
      <c r="DP41" s="395"/>
      <c r="DQ41" s="395"/>
      <c r="DR41" s="395"/>
      <c r="DS41" s="395"/>
      <c r="DT41" s="395"/>
      <c r="DU41" s="395"/>
      <c r="DV41" s="395"/>
      <c r="DW41" s="395"/>
      <c r="DX41" s="395"/>
      <c r="DY41" s="395"/>
      <c r="DZ41" s="395"/>
      <c r="EA41" s="395"/>
      <c r="EB41" s="395"/>
      <c r="EC41" s="395"/>
      <c r="ED41" s="395"/>
      <c r="EE41" s="395"/>
      <c r="EF41" s="395"/>
      <c r="EG41" s="395"/>
      <c r="EH41" s="395"/>
      <c r="EI41" s="395"/>
      <c r="EJ41" s="395"/>
      <c r="EK41" s="395"/>
      <c r="EL41" s="395"/>
      <c r="EM41" s="395"/>
      <c r="EN41" s="395"/>
      <c r="EO41" s="395"/>
      <c r="EP41" s="395"/>
      <c r="EQ41" s="395"/>
      <c r="ER41" s="395"/>
      <c r="ES41" s="395"/>
      <c r="ET41" s="395"/>
      <c r="EU41" s="395"/>
      <c r="EV41" s="395"/>
      <c r="EW41" s="395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395"/>
      <c r="FM41" s="395"/>
      <c r="FN41" s="395"/>
      <c r="FO41" s="395"/>
      <c r="FP41" s="395"/>
      <c r="FQ41" s="395"/>
      <c r="FR41" s="395"/>
      <c r="FS41" s="395"/>
      <c r="FT41" s="395"/>
      <c r="FU41" s="395"/>
      <c r="FV41" s="395"/>
      <c r="FW41" s="395"/>
      <c r="FX41" s="395"/>
      <c r="FY41" s="395"/>
      <c r="FZ41" s="395"/>
      <c r="GA41" s="395"/>
      <c r="GB41" s="395"/>
      <c r="GC41" s="395"/>
      <c r="GD41" s="395"/>
      <c r="GE41" s="395"/>
      <c r="GF41" s="395"/>
      <c r="GG41" s="395"/>
      <c r="GH41" s="395"/>
      <c r="GI41" s="395"/>
      <c r="GJ41" s="395"/>
      <c r="GK41" s="395"/>
      <c r="GL41" s="395"/>
      <c r="GM41" s="395"/>
      <c r="GN41" s="395"/>
      <c r="GO41" s="395"/>
      <c r="GP41" s="395"/>
      <c r="GQ41" s="395"/>
      <c r="GR41" s="395"/>
      <c r="GS41" s="395"/>
      <c r="GT41" s="395"/>
      <c r="GU41" s="395"/>
      <c r="GV41" s="395"/>
      <c r="GW41" s="395"/>
      <c r="GX41" s="395"/>
      <c r="GY41" s="395"/>
      <c r="GZ41" s="395"/>
      <c r="HA41" s="395"/>
      <c r="HB41" s="395"/>
      <c r="HC41" s="395"/>
      <c r="HD41" s="395"/>
      <c r="HE41" s="395"/>
      <c r="HF41" s="395"/>
      <c r="HG41" s="395"/>
      <c r="HH41" s="395"/>
      <c r="HI41" s="395"/>
      <c r="HJ41" s="395"/>
      <c r="HK41" s="395"/>
      <c r="HL41" s="395"/>
      <c r="HM41" s="395"/>
      <c r="HN41" s="395"/>
      <c r="HO41" s="395"/>
      <c r="HP41" s="395"/>
      <c r="HQ41" s="395"/>
      <c r="HR41" s="395"/>
      <c r="HS41" s="395"/>
      <c r="HT41" s="395"/>
      <c r="HU41" s="395"/>
      <c r="HV41" s="395"/>
      <c r="HW41" s="395"/>
      <c r="HX41" s="395"/>
      <c r="HY41" s="395"/>
      <c r="HZ41" s="395"/>
      <c r="IA41" s="395"/>
      <c r="IB41" s="395"/>
      <c r="IC41" s="395"/>
      <c r="ID41" s="395"/>
      <c r="IE41" s="395"/>
      <c r="IF41" s="395"/>
      <c r="IG41" s="395"/>
      <c r="IH41" s="395"/>
      <c r="II41" s="395"/>
      <c r="IJ41" s="395"/>
      <c r="IK41" s="395"/>
      <c r="IL41" s="395"/>
      <c r="IM41" s="395"/>
      <c r="IN41" s="395"/>
      <c r="IO41" s="395"/>
      <c r="IP41" s="395"/>
      <c r="IQ41" s="395"/>
      <c r="IR41" s="395"/>
      <c r="IS41" s="395"/>
      <c r="IT41" s="395"/>
      <c r="IU41" s="395"/>
      <c r="IV41" s="395"/>
      <c r="IW41" s="395"/>
    </row>
    <row r="42" customFormat="false" ht="12.75" hidden="false" customHeight="false" outlineLevel="0" collapsed="false">
      <c r="A42" s="399" t="s">
        <v>376</v>
      </c>
      <c r="B42" s="400" t="n">
        <f aca="false">Assumptions!$N$40</f>
        <v>5</v>
      </c>
      <c r="C42" s="401"/>
      <c r="D42" s="397" t="n">
        <f aca="false">D13</f>
        <v>0.133333333333333</v>
      </c>
      <c r="E42" s="397" t="n">
        <f aca="false">E13</f>
        <v>0.2</v>
      </c>
      <c r="F42" s="397" t="n">
        <f aca="false">F13</f>
        <v>0.2</v>
      </c>
      <c r="G42" s="397" t="n">
        <f aca="false">G13</f>
        <v>0.2</v>
      </c>
      <c r="H42" s="397" t="n">
        <f aca="false">H13</f>
        <v>0.2</v>
      </c>
      <c r="I42" s="397" t="n">
        <f aca="false">I13</f>
        <v>0.0666666666666667</v>
      </c>
      <c r="J42" s="397" t="n">
        <f aca="false">J13</f>
        <v>0</v>
      </c>
      <c r="K42" s="397" t="n">
        <f aca="false">K13</f>
        <v>0</v>
      </c>
      <c r="L42" s="397" t="n">
        <f aca="false">L13</f>
        <v>0</v>
      </c>
      <c r="M42" s="397" t="n">
        <f aca="false">M13</f>
        <v>0</v>
      </c>
      <c r="N42" s="397" t="n">
        <f aca="false">N13</f>
        <v>0</v>
      </c>
      <c r="O42" s="397" t="n">
        <f aca="false">O13</f>
        <v>0</v>
      </c>
      <c r="P42" s="397" t="n">
        <f aca="false">P13</f>
        <v>0</v>
      </c>
      <c r="Q42" s="397" t="n">
        <f aca="false">Q13</f>
        <v>0</v>
      </c>
      <c r="R42" s="397" t="n">
        <f aca="false">R13</f>
        <v>0</v>
      </c>
      <c r="S42" s="397" t="n">
        <f aca="false">S13</f>
        <v>0</v>
      </c>
      <c r="T42" s="397" t="n">
        <f aca="false">T13</f>
        <v>0</v>
      </c>
      <c r="U42" s="397" t="n">
        <f aca="false">U13</f>
        <v>0</v>
      </c>
      <c r="V42" s="397" t="n">
        <f aca="false">V13</f>
        <v>0</v>
      </c>
      <c r="W42" s="397" t="n">
        <f aca="false">W13</f>
        <v>0</v>
      </c>
      <c r="X42" s="397" t="n">
        <f aca="false">X13</f>
        <v>0</v>
      </c>
      <c r="Y42" s="397" t="n">
        <f aca="false">Y13</f>
        <v>0</v>
      </c>
      <c r="Z42" s="397" t="n">
        <f aca="false">Z13</f>
        <v>0</v>
      </c>
      <c r="AA42" s="397" t="n">
        <f aca="false">AA13</f>
        <v>0</v>
      </c>
      <c r="AB42" s="397" t="n">
        <f aca="false">AB13</f>
        <v>0</v>
      </c>
      <c r="AC42" s="397" t="n">
        <f aca="false">AC13</f>
        <v>0</v>
      </c>
      <c r="AD42" s="397" t="n">
        <f aca="false">AD13</f>
        <v>0</v>
      </c>
      <c r="AE42" s="397" t="n">
        <f aca="false">AE13</f>
        <v>0</v>
      </c>
      <c r="AF42" s="397" t="n">
        <f aca="false">AF13</f>
        <v>0</v>
      </c>
      <c r="AG42" s="397" t="n">
        <f aca="false">AG13</f>
        <v>0</v>
      </c>
      <c r="AH42" s="397" t="n">
        <f aca="false">AH13</f>
        <v>0</v>
      </c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395"/>
      <c r="CX42" s="395"/>
      <c r="CY42" s="395"/>
      <c r="CZ42" s="395"/>
      <c r="DA42" s="395"/>
      <c r="DB42" s="395"/>
      <c r="DC42" s="395"/>
      <c r="DD42" s="395"/>
      <c r="DE42" s="395"/>
      <c r="DF42" s="395"/>
      <c r="DG42" s="395"/>
      <c r="DH42" s="395"/>
      <c r="DI42" s="395"/>
      <c r="DJ42" s="395"/>
      <c r="DK42" s="395"/>
      <c r="DL42" s="395"/>
      <c r="DM42" s="395"/>
      <c r="DN42" s="395"/>
      <c r="DO42" s="395"/>
      <c r="DP42" s="395"/>
      <c r="DQ42" s="395"/>
      <c r="DR42" s="395"/>
      <c r="DS42" s="395"/>
      <c r="DT42" s="395"/>
      <c r="DU42" s="395"/>
      <c r="DV42" s="395"/>
      <c r="DW42" s="395"/>
      <c r="DX42" s="395"/>
      <c r="DY42" s="395"/>
      <c r="DZ42" s="395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395"/>
      <c r="ER42" s="395"/>
      <c r="ES42" s="395"/>
      <c r="ET42" s="395"/>
      <c r="EU42" s="395"/>
      <c r="EV42" s="395"/>
      <c r="EW42" s="395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395"/>
      <c r="FM42" s="395"/>
      <c r="FN42" s="395"/>
      <c r="FO42" s="395"/>
      <c r="FP42" s="395"/>
      <c r="FQ42" s="395"/>
      <c r="FR42" s="395"/>
      <c r="FS42" s="395"/>
      <c r="FT42" s="395"/>
      <c r="FU42" s="395"/>
      <c r="FV42" s="395"/>
      <c r="FW42" s="395"/>
      <c r="FX42" s="395"/>
      <c r="FY42" s="395"/>
      <c r="FZ42" s="395"/>
      <c r="GA42" s="395"/>
      <c r="GB42" s="395"/>
      <c r="GC42" s="395"/>
      <c r="GD42" s="395"/>
      <c r="GE42" s="395"/>
      <c r="GF42" s="395"/>
      <c r="GG42" s="395"/>
      <c r="GH42" s="395"/>
      <c r="GI42" s="395"/>
      <c r="GJ42" s="395"/>
      <c r="GK42" s="395"/>
      <c r="GL42" s="395"/>
      <c r="GM42" s="395"/>
      <c r="GN42" s="395"/>
      <c r="GO42" s="395"/>
      <c r="GP42" s="395"/>
      <c r="GQ42" s="395"/>
      <c r="GR42" s="395"/>
      <c r="GS42" s="395"/>
      <c r="GT42" s="395"/>
      <c r="GU42" s="395"/>
      <c r="GV42" s="395"/>
      <c r="GW42" s="395"/>
      <c r="GX42" s="395"/>
      <c r="GY42" s="395"/>
      <c r="GZ42" s="395"/>
      <c r="HA42" s="395"/>
      <c r="HB42" s="395"/>
      <c r="HC42" s="395"/>
      <c r="HD42" s="395"/>
      <c r="HE42" s="395"/>
      <c r="HF42" s="395"/>
      <c r="HG42" s="395"/>
      <c r="HH42" s="395"/>
      <c r="HI42" s="395"/>
      <c r="HJ42" s="395"/>
      <c r="HK42" s="395"/>
      <c r="HL42" s="395"/>
      <c r="HM42" s="395"/>
      <c r="HN42" s="395"/>
      <c r="HO42" s="395"/>
      <c r="HP42" s="395"/>
      <c r="HQ42" s="395"/>
      <c r="HR42" s="395"/>
      <c r="HS42" s="395"/>
      <c r="HT42" s="395"/>
      <c r="HU42" s="395"/>
      <c r="HV42" s="395"/>
      <c r="HW42" s="395"/>
      <c r="HX42" s="395"/>
      <c r="HY42" s="395"/>
      <c r="HZ42" s="395"/>
      <c r="IA42" s="395"/>
      <c r="IB42" s="395"/>
      <c r="IC42" s="395"/>
      <c r="ID42" s="395"/>
      <c r="IE42" s="395"/>
      <c r="IF42" s="395"/>
      <c r="IG42" s="395"/>
      <c r="IH42" s="395"/>
      <c r="II42" s="395"/>
      <c r="IJ42" s="395"/>
      <c r="IK42" s="395"/>
      <c r="IL42" s="395"/>
      <c r="IM42" s="395"/>
      <c r="IN42" s="395"/>
      <c r="IO42" s="395"/>
      <c r="IP42" s="395"/>
      <c r="IQ42" s="395"/>
      <c r="IR42" s="395"/>
      <c r="IS42" s="395"/>
      <c r="IT42" s="395"/>
      <c r="IU42" s="395"/>
      <c r="IV42" s="395"/>
      <c r="IW42" s="395"/>
    </row>
    <row r="43" customFormat="false" ht="12.75" hidden="false" customHeight="false" outlineLevel="0" collapsed="false">
      <c r="A43" s="402" t="s">
        <v>377</v>
      </c>
      <c r="B43" s="406" t="n">
        <f aca="false">Assumptions!$N$46</f>
        <v>20</v>
      </c>
      <c r="D43" s="397" t="n">
        <f aca="false">1/Assumptions!$N$46*D6</f>
        <v>0.0333333333333333</v>
      </c>
      <c r="E43" s="397" t="n">
        <f aca="false">IF(AND(E6&gt;=Assumptions!$N$46,D6&lt;Assumptions!$N$46),1/Assumptions!$N$46-Depreciation!$D$43,IF(E6&lt;Assumptions!$N$46,1/Assumptions!$N$46,0))</f>
        <v>0.05</v>
      </c>
      <c r="F43" s="397" t="n">
        <f aca="false">IF(AND(F6&gt;=Assumptions!$N$46,E6&lt;Assumptions!$N$46),1/Assumptions!$N$46-Depreciation!$D$43,IF(F6&lt;Assumptions!$N$46,1/Assumptions!$N$46,0))</f>
        <v>0.05</v>
      </c>
      <c r="G43" s="397" t="n">
        <f aca="false">IF(AND(G6&gt;=Assumptions!$N$46,F6&lt;Assumptions!$N$46),1/Assumptions!$N$46-Depreciation!$D$43,IF(G6&lt;Assumptions!$N$46,1/Assumptions!$N$46,0))</f>
        <v>0.05</v>
      </c>
      <c r="H43" s="397" t="n">
        <f aca="false">IF(AND(H6&gt;=Assumptions!$N$46,G6&lt;Assumptions!$N$46),1/Assumptions!$N$46-Depreciation!$D$43,IF(H6&lt;Assumptions!$N$46,1/Assumptions!$N$46,0))</f>
        <v>0.05</v>
      </c>
      <c r="I43" s="397" t="n">
        <f aca="false">IF(AND(I6&gt;=Assumptions!$N$46,H6&lt;Assumptions!$N$46),1/Assumptions!$N$46-Depreciation!$D$43,IF(I6&lt;Assumptions!$N$46,1/Assumptions!$N$46,0))</f>
        <v>0.05</v>
      </c>
      <c r="J43" s="397" t="n">
        <f aca="false">IF(AND(J6&gt;=Assumptions!$N$46,I6&lt;Assumptions!$N$46),1/Assumptions!$N$46-Depreciation!$D$43,IF(J6&lt;Assumptions!$N$46,1/Assumptions!$N$46,0))</f>
        <v>0.05</v>
      </c>
      <c r="K43" s="397" t="n">
        <f aca="false">IF(AND(K6&gt;=Assumptions!$N$46,J6&lt;Assumptions!$N$46),1/Assumptions!$N$46-Depreciation!$D$43,IF(K6&lt;Assumptions!$N$46,1/Assumptions!$N$46,0))</f>
        <v>0.05</v>
      </c>
      <c r="L43" s="397" t="n">
        <f aca="false">IF(AND(L6&gt;=Assumptions!$N$46,K6&lt;Assumptions!$N$46),1/Assumptions!$N$46-Depreciation!$D$43,IF(L6&lt;Assumptions!$N$46,1/Assumptions!$N$46,0))</f>
        <v>0.05</v>
      </c>
      <c r="M43" s="397" t="n">
        <f aca="false">IF(AND(M6&gt;=Assumptions!$N$46,L6&lt;Assumptions!$N$46),1/Assumptions!$N$46-Depreciation!$D$43,IF(M6&lt;Assumptions!$N$46,1/Assumptions!$N$46,0))</f>
        <v>0.05</v>
      </c>
      <c r="N43" s="397" t="n">
        <f aca="false">IF(AND(N6&gt;=Assumptions!$N$46,M6&lt;Assumptions!$N$46),1/Assumptions!$N$46-Depreciation!$D$43,IF(N6&lt;Assumptions!$N$46,1/Assumptions!$N$46,0))</f>
        <v>0.05</v>
      </c>
      <c r="O43" s="397" t="n">
        <f aca="false">IF(AND(O6&gt;=Assumptions!$N$46,N6&lt;Assumptions!$N$46),1/Assumptions!$N$46-Depreciation!$D$43,IF(O6&lt;Assumptions!$N$46,1/Assumptions!$N$46,0))</f>
        <v>0.05</v>
      </c>
      <c r="P43" s="397" t="n">
        <f aca="false">IF(AND(P6&gt;=Assumptions!$N$46,O6&lt;Assumptions!$N$46),1/Assumptions!$N$46-Depreciation!$D$43,IF(P6&lt;Assumptions!$N$46,1/Assumptions!$N$46,0))</f>
        <v>0.05</v>
      </c>
      <c r="Q43" s="397" t="n">
        <f aca="false">IF(AND(Q6&gt;=Assumptions!$N$46,P6&lt;Assumptions!$N$46),1/Assumptions!$N$46-Depreciation!$D$43,IF(Q6&lt;Assumptions!$N$46,1/Assumptions!$N$46,0))</f>
        <v>0.05</v>
      </c>
      <c r="R43" s="397" t="n">
        <f aca="false">IF(AND(R6&gt;=Assumptions!$N$46,Q6&lt;Assumptions!$N$46),1/Assumptions!$N$46-Depreciation!$D$43,IF(R6&lt;Assumptions!$N$46,1/Assumptions!$N$46,0))</f>
        <v>0.05</v>
      </c>
      <c r="S43" s="397" t="n">
        <f aca="false">IF(AND(S6&gt;=Assumptions!$N$46,R6&lt;Assumptions!$N$46),1/Assumptions!$N$46-Depreciation!$D$43,IF(S6&lt;Assumptions!$N$46,1/Assumptions!$N$46,0))</f>
        <v>0.05</v>
      </c>
      <c r="T43" s="397" t="n">
        <f aca="false">IF(AND(T6&gt;=Assumptions!$N$46,S6&lt;Assumptions!$N$46),1/Assumptions!$N$46-Depreciation!$D$43,IF(T6&lt;Assumptions!$N$46,1/Assumptions!$N$46,0))</f>
        <v>0.05</v>
      </c>
      <c r="U43" s="397" t="n">
        <f aca="false">IF(AND(U6&gt;=Assumptions!$N$46,T6&lt;Assumptions!$N$46),1/Assumptions!$N$46-Depreciation!$D$43,IF(U6&lt;Assumptions!$N$46,1/Assumptions!$N$46,0))</f>
        <v>0.05</v>
      </c>
      <c r="V43" s="397" t="n">
        <f aca="false">IF(AND(V6&gt;=Assumptions!$N$46,U6&lt;Assumptions!$N$46),1/Assumptions!$N$46-Depreciation!$D$43,IF(V6&lt;Assumptions!$N$46,1/Assumptions!$N$46,0))</f>
        <v>0.05</v>
      </c>
      <c r="W43" s="397" t="n">
        <f aca="false">IF(AND(W6&gt;=Assumptions!$N$46,V6&lt;Assumptions!$N$46),1/Assumptions!$N$46-Depreciation!$D$43,IF(W6&lt;Assumptions!$N$46,1/Assumptions!$N$46,0))</f>
        <v>0.05</v>
      </c>
      <c r="X43" s="397" t="n">
        <f aca="false">IF(AND(X6&gt;=Assumptions!$N$46,W6&lt;Assumptions!$N$46),1/Assumptions!$N$46-Depreciation!$D$43,IF(X6&lt;Assumptions!$N$46,1/Assumptions!$N$46,0))</f>
        <v>0.0166666666666667</v>
      </c>
      <c r="Y43" s="397" t="n">
        <f aca="false">IF(AND(Y6&gt;=Assumptions!$N$46,X6&lt;Assumptions!$N$46),1/Assumptions!$N$46-Depreciation!$D$43,IF(Y6&lt;Assumptions!$N$46,1/Assumptions!$N$46,0))</f>
        <v>0</v>
      </c>
      <c r="Z43" s="397" t="n">
        <f aca="false">IF(AND(Z6&gt;=Assumptions!$N$46,Y6&lt;Assumptions!$N$46),1/Assumptions!$N$46-Depreciation!$D$43,IF(Z6&lt;Assumptions!$N$46,1/Assumptions!$N$46,0))</f>
        <v>0</v>
      </c>
      <c r="AA43" s="397" t="n">
        <f aca="false">IF(AND(AA6&gt;=Assumptions!$N$46,Z6&lt;Assumptions!$N$46),1/Assumptions!$N$46-Depreciation!$D$43,IF(AA6&lt;Assumptions!$N$46,1/Assumptions!$N$46,0))</f>
        <v>0</v>
      </c>
      <c r="AB43" s="397" t="n">
        <f aca="false">IF(AND(AB6&gt;=Assumptions!$N$46,AA6&lt;Assumptions!$N$46),1/Assumptions!$N$46-Depreciation!$D$43,IF(AB6&lt;Assumptions!$N$46,1/Assumptions!$N$46,0))</f>
        <v>0</v>
      </c>
      <c r="AC43" s="397" t="n">
        <f aca="false">IF(AND(AC6&gt;=Assumptions!$N$46,AB6&lt;Assumptions!$N$46),1/Assumptions!$N$46-Depreciation!$D$43,IF(AC6&lt;Assumptions!$N$46,1/Assumptions!$N$46,0))</f>
        <v>0</v>
      </c>
      <c r="AD43" s="397" t="n">
        <f aca="false">IF(AND(AD6&gt;=Assumptions!$N$46,AC6&lt;Assumptions!$N$46),1/Assumptions!$N$46-Depreciation!$D$43,IF(AD6&lt;Assumptions!$N$46,1/Assumptions!$N$46,0))</f>
        <v>0</v>
      </c>
      <c r="AE43" s="397" t="n">
        <f aca="false">IF(AND(AE6&gt;=Assumptions!$N$46,AD6&lt;Assumptions!$N$46),1/Assumptions!$N$46-Depreciation!$D$43,IF(AE6&lt;Assumptions!$N$46,1/Assumptions!$N$46,0))</f>
        <v>0</v>
      </c>
      <c r="AF43" s="397" t="n">
        <f aca="false">IF(AND(AF6&gt;=Assumptions!$N$46,AE6&lt;Assumptions!$N$46),1/Assumptions!$N$46-Depreciation!$D$43,IF(AF6&lt;Assumptions!$N$46,1/Assumptions!$N$46,0))</f>
        <v>0</v>
      </c>
      <c r="AG43" s="397" t="n">
        <f aca="false">IF(AND(AG6&gt;=Assumptions!$N$46,AF6&lt;Assumptions!$N$46),1/Assumptions!$N$46-Depreciation!$D$43,IF(AG6&lt;Assumptions!$N$46,1/Assumptions!$N$46,0))</f>
        <v>0</v>
      </c>
      <c r="AH43" s="397" t="n">
        <f aca="false">IF(AND(AH6&gt;=Assumptions!$N$46,AG6&lt;Assumptions!$N$46),1/Assumptions!$N$46-Depreciation!$D$43,IF(AH6&lt;Assumptions!$N$46,1/Assumptions!$N$46,0))</f>
        <v>0</v>
      </c>
      <c r="AI43" s="395"/>
      <c r="AJ43" s="395"/>
      <c r="AK43" s="395"/>
      <c r="AL43" s="395"/>
      <c r="AM43" s="395"/>
      <c r="AN43" s="395"/>
      <c r="AO43" s="395"/>
      <c r="AP43" s="395"/>
      <c r="AQ43" s="395"/>
      <c r="AR43" s="395"/>
      <c r="AS43" s="395"/>
      <c r="AT43" s="395"/>
      <c r="AU43" s="395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5"/>
      <c r="BS43" s="395"/>
      <c r="BT43" s="395"/>
      <c r="BU43" s="395"/>
      <c r="BV43" s="395"/>
      <c r="BW43" s="395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  <c r="CO43" s="395"/>
      <c r="CP43" s="395"/>
      <c r="CQ43" s="395"/>
      <c r="CR43" s="395"/>
      <c r="CS43" s="395"/>
      <c r="CT43" s="395"/>
      <c r="CU43" s="395"/>
      <c r="CV43" s="395"/>
      <c r="CW43" s="395"/>
      <c r="CX43" s="395"/>
      <c r="CY43" s="395"/>
      <c r="CZ43" s="395"/>
      <c r="DA43" s="395"/>
      <c r="DB43" s="395"/>
      <c r="DC43" s="395"/>
      <c r="DD43" s="395"/>
      <c r="DE43" s="395"/>
      <c r="DF43" s="395"/>
      <c r="DG43" s="395"/>
      <c r="DH43" s="395"/>
      <c r="DI43" s="395"/>
      <c r="DJ43" s="395"/>
      <c r="DK43" s="395"/>
      <c r="DL43" s="395"/>
      <c r="DM43" s="395"/>
      <c r="DN43" s="395"/>
      <c r="DO43" s="395"/>
      <c r="DP43" s="395"/>
      <c r="DQ43" s="395"/>
      <c r="DR43" s="395"/>
      <c r="DS43" s="395"/>
      <c r="DT43" s="395"/>
      <c r="DU43" s="395"/>
      <c r="DV43" s="395"/>
      <c r="DW43" s="395"/>
      <c r="DX43" s="395"/>
      <c r="DY43" s="395"/>
      <c r="DZ43" s="395"/>
      <c r="EA43" s="395"/>
      <c r="EB43" s="395"/>
      <c r="EC43" s="395"/>
      <c r="ED43" s="395"/>
      <c r="EE43" s="395"/>
      <c r="EF43" s="395"/>
      <c r="EG43" s="395"/>
      <c r="EH43" s="395"/>
      <c r="EI43" s="395"/>
      <c r="EJ43" s="395"/>
      <c r="EK43" s="395"/>
      <c r="EL43" s="395"/>
      <c r="EM43" s="395"/>
      <c r="EN43" s="395"/>
      <c r="EO43" s="395"/>
      <c r="EP43" s="395"/>
      <c r="EQ43" s="395"/>
      <c r="ER43" s="395"/>
      <c r="ES43" s="395"/>
      <c r="ET43" s="395"/>
      <c r="EU43" s="395"/>
      <c r="EV43" s="395"/>
      <c r="EW43" s="395"/>
      <c r="EX43" s="395"/>
      <c r="EY43" s="395"/>
      <c r="EZ43" s="395"/>
      <c r="FA43" s="395"/>
      <c r="FB43" s="395"/>
      <c r="FC43" s="395"/>
      <c r="FD43" s="395"/>
      <c r="FE43" s="395"/>
      <c r="FF43" s="395"/>
      <c r="FG43" s="395"/>
      <c r="FH43" s="395"/>
      <c r="FI43" s="395"/>
      <c r="FJ43" s="395"/>
      <c r="FK43" s="395"/>
      <c r="FL43" s="395"/>
      <c r="FM43" s="395"/>
      <c r="FN43" s="395"/>
      <c r="FO43" s="395"/>
      <c r="FP43" s="395"/>
      <c r="FQ43" s="395"/>
      <c r="FR43" s="395"/>
      <c r="FS43" s="395"/>
      <c r="FT43" s="395"/>
      <c r="FU43" s="395"/>
      <c r="FV43" s="395"/>
      <c r="FW43" s="395"/>
      <c r="FX43" s="395"/>
      <c r="FY43" s="395"/>
      <c r="FZ43" s="395"/>
      <c r="GA43" s="395"/>
      <c r="GB43" s="395"/>
      <c r="GC43" s="395"/>
      <c r="GD43" s="395"/>
      <c r="GE43" s="395"/>
      <c r="GF43" s="395"/>
      <c r="GG43" s="395"/>
      <c r="GH43" s="395"/>
      <c r="GI43" s="395"/>
      <c r="GJ43" s="395"/>
      <c r="GK43" s="395"/>
      <c r="GL43" s="395"/>
      <c r="GM43" s="395"/>
      <c r="GN43" s="395"/>
      <c r="GO43" s="395"/>
      <c r="GP43" s="395"/>
      <c r="GQ43" s="395"/>
      <c r="GR43" s="395"/>
      <c r="GS43" s="395"/>
      <c r="GT43" s="395"/>
      <c r="GU43" s="395"/>
      <c r="GV43" s="395"/>
      <c r="GW43" s="395"/>
      <c r="GX43" s="395"/>
      <c r="GY43" s="395"/>
      <c r="GZ43" s="395"/>
      <c r="HA43" s="395"/>
      <c r="HB43" s="395"/>
      <c r="HC43" s="395"/>
      <c r="HD43" s="395"/>
      <c r="HE43" s="395"/>
      <c r="HF43" s="395"/>
      <c r="HG43" s="395"/>
      <c r="HH43" s="395"/>
      <c r="HI43" s="395"/>
      <c r="HJ43" s="395"/>
      <c r="HK43" s="395"/>
      <c r="HL43" s="395"/>
      <c r="HM43" s="395"/>
      <c r="HN43" s="395"/>
      <c r="HO43" s="395"/>
      <c r="HP43" s="395"/>
      <c r="HQ43" s="395"/>
      <c r="HR43" s="395"/>
      <c r="HS43" s="395"/>
      <c r="HT43" s="395"/>
      <c r="HU43" s="395"/>
      <c r="HV43" s="395"/>
      <c r="HW43" s="395"/>
      <c r="HX43" s="395"/>
      <c r="HY43" s="395"/>
      <c r="HZ43" s="395"/>
      <c r="IA43" s="395"/>
      <c r="IB43" s="395"/>
      <c r="IC43" s="395"/>
      <c r="ID43" s="395"/>
      <c r="IE43" s="395"/>
      <c r="IF43" s="395"/>
      <c r="IG43" s="395"/>
      <c r="IH43" s="395"/>
      <c r="II43" s="395"/>
      <c r="IJ43" s="395"/>
      <c r="IK43" s="395"/>
      <c r="IL43" s="395"/>
      <c r="IM43" s="395"/>
      <c r="IN43" s="395"/>
      <c r="IO43" s="395"/>
      <c r="IP43" s="395"/>
      <c r="IQ43" s="395"/>
      <c r="IR43" s="395"/>
      <c r="IS43" s="395"/>
      <c r="IT43" s="395"/>
      <c r="IU43" s="395"/>
      <c r="IV43" s="395"/>
      <c r="IW43" s="395"/>
    </row>
    <row r="44" customFormat="false" ht="12.75" hidden="false" customHeight="false" outlineLevel="0" collapsed="false">
      <c r="B44" s="396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395"/>
      <c r="CX44" s="395"/>
      <c r="CY44" s="395"/>
      <c r="CZ44" s="395"/>
      <c r="DA44" s="395"/>
      <c r="DB44" s="395"/>
      <c r="DC44" s="395"/>
      <c r="DD44" s="395"/>
      <c r="DE44" s="395"/>
      <c r="DF44" s="395"/>
      <c r="DG44" s="395"/>
      <c r="DH44" s="395"/>
      <c r="DI44" s="395"/>
      <c r="DJ44" s="395"/>
      <c r="DK44" s="395"/>
      <c r="DL44" s="395"/>
      <c r="DM44" s="395"/>
      <c r="DN44" s="395"/>
      <c r="DO44" s="395"/>
      <c r="DP44" s="395"/>
      <c r="DQ44" s="395"/>
      <c r="DR44" s="395"/>
      <c r="DS44" s="395"/>
      <c r="DT44" s="395"/>
      <c r="DU44" s="395"/>
      <c r="DV44" s="395"/>
      <c r="DW44" s="395"/>
      <c r="DX44" s="395"/>
      <c r="DY44" s="395"/>
      <c r="DZ44" s="395"/>
      <c r="EA44" s="395"/>
      <c r="EB44" s="395"/>
      <c r="EC44" s="395"/>
      <c r="ED44" s="395"/>
      <c r="EE44" s="395"/>
      <c r="EF44" s="395"/>
      <c r="EG44" s="395"/>
      <c r="EH44" s="395"/>
      <c r="EI44" s="395"/>
      <c r="EJ44" s="395"/>
      <c r="EK44" s="395"/>
      <c r="EL44" s="395"/>
      <c r="EM44" s="395"/>
      <c r="EN44" s="395"/>
      <c r="EO44" s="395"/>
      <c r="EP44" s="395"/>
      <c r="EQ44" s="395"/>
      <c r="ER44" s="395"/>
      <c r="ES44" s="395"/>
      <c r="ET44" s="395"/>
      <c r="EU44" s="395"/>
      <c r="EV44" s="395"/>
      <c r="EW44" s="395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395"/>
      <c r="FM44" s="395"/>
      <c r="FN44" s="395"/>
      <c r="FO44" s="395"/>
      <c r="FP44" s="395"/>
      <c r="FQ44" s="395"/>
      <c r="FR44" s="395"/>
      <c r="FS44" s="395"/>
      <c r="FT44" s="395"/>
      <c r="FU44" s="395"/>
      <c r="FV44" s="395"/>
      <c r="FW44" s="395"/>
      <c r="FX44" s="395"/>
      <c r="FY44" s="395"/>
      <c r="FZ44" s="395"/>
      <c r="GA44" s="395"/>
      <c r="GB44" s="395"/>
      <c r="GC44" s="395"/>
      <c r="GD44" s="395"/>
      <c r="GE44" s="395"/>
      <c r="GF44" s="395"/>
      <c r="GG44" s="395"/>
      <c r="GH44" s="395"/>
      <c r="GI44" s="395"/>
      <c r="GJ44" s="395"/>
      <c r="GK44" s="395"/>
      <c r="GL44" s="395"/>
      <c r="GM44" s="395"/>
      <c r="GN44" s="395"/>
      <c r="GO44" s="395"/>
      <c r="GP44" s="395"/>
      <c r="GQ44" s="395"/>
      <c r="GR44" s="395"/>
      <c r="GS44" s="395"/>
      <c r="GT44" s="395"/>
      <c r="GU44" s="395"/>
      <c r="GV44" s="395"/>
      <c r="GW44" s="395"/>
      <c r="GX44" s="395"/>
      <c r="GY44" s="395"/>
      <c r="GZ44" s="395"/>
      <c r="HA44" s="395"/>
      <c r="HB44" s="395"/>
      <c r="HC44" s="395"/>
      <c r="HD44" s="395"/>
      <c r="HE44" s="395"/>
      <c r="HF44" s="395"/>
      <c r="HG44" s="395"/>
      <c r="HH44" s="395"/>
      <c r="HI44" s="395"/>
      <c r="HJ44" s="395"/>
      <c r="HK44" s="395"/>
      <c r="HL44" s="395"/>
      <c r="HM44" s="395"/>
      <c r="HN44" s="395"/>
      <c r="HO44" s="395"/>
      <c r="HP44" s="395"/>
      <c r="HQ44" s="395"/>
      <c r="HR44" s="395"/>
      <c r="HS44" s="395"/>
      <c r="HT44" s="395"/>
      <c r="HU44" s="395"/>
      <c r="HV44" s="395"/>
      <c r="HW44" s="395"/>
      <c r="HX44" s="395"/>
      <c r="HY44" s="395"/>
      <c r="HZ44" s="395"/>
      <c r="IA44" s="395"/>
      <c r="IB44" s="395"/>
      <c r="IC44" s="395"/>
      <c r="ID44" s="395"/>
      <c r="IE44" s="395"/>
      <c r="IF44" s="395"/>
      <c r="IG44" s="395"/>
      <c r="IH44" s="395"/>
      <c r="II44" s="395"/>
      <c r="IJ44" s="395"/>
      <c r="IK44" s="395"/>
      <c r="IL44" s="395"/>
      <c r="IM44" s="395"/>
      <c r="IN44" s="395"/>
      <c r="IO44" s="395"/>
      <c r="IP44" s="395"/>
      <c r="IQ44" s="395"/>
      <c r="IR44" s="395"/>
      <c r="IS44" s="395"/>
      <c r="IT44" s="395"/>
      <c r="IU44" s="395"/>
      <c r="IV44" s="395"/>
      <c r="IW44" s="395"/>
    </row>
    <row r="45" customFormat="false" ht="12.75" hidden="false" customHeight="false" outlineLevel="0" collapsed="false">
      <c r="A45" s="399" t="s">
        <v>375</v>
      </c>
      <c r="B45" s="185" t="n">
        <f aca="false">B16</f>
        <v>27062.6506367135</v>
      </c>
      <c r="C45" s="407"/>
      <c r="D45" s="185" t="n">
        <f aca="false">D41*$B$45</f>
        <v>541.253012734269</v>
      </c>
      <c r="E45" s="185" t="n">
        <f aca="false">E41*$B$45</f>
        <v>811.879519101404</v>
      </c>
      <c r="F45" s="185" t="n">
        <f aca="false">F41*$B$45</f>
        <v>811.879519101404</v>
      </c>
      <c r="G45" s="185" t="n">
        <f aca="false">G41*$B$45</f>
        <v>811.879519101404</v>
      </c>
      <c r="H45" s="185" t="n">
        <f aca="false">H41*$B$45</f>
        <v>811.879519101404</v>
      </c>
      <c r="I45" s="185" t="n">
        <f aca="false">I41*$B$45</f>
        <v>811.879519101404</v>
      </c>
      <c r="J45" s="185" t="n">
        <f aca="false">J41*$B$45</f>
        <v>811.879519101404</v>
      </c>
      <c r="K45" s="185" t="n">
        <f aca="false">K41*$B$45</f>
        <v>811.879519101404</v>
      </c>
      <c r="L45" s="185" t="n">
        <f aca="false">L41*$B$45</f>
        <v>811.879519101404</v>
      </c>
      <c r="M45" s="185" t="n">
        <f aca="false">M41*$B$45</f>
        <v>811.879519101404</v>
      </c>
      <c r="N45" s="185" t="n">
        <f aca="false">N41*$B$45</f>
        <v>811.879519101404</v>
      </c>
      <c r="O45" s="185" t="n">
        <f aca="false">O41*$B$45</f>
        <v>811.879519101404</v>
      </c>
      <c r="P45" s="185" t="n">
        <f aca="false">P41*$B$45</f>
        <v>811.879519101404</v>
      </c>
      <c r="Q45" s="185" t="n">
        <f aca="false">Q41*$B$45</f>
        <v>811.879519101404</v>
      </c>
      <c r="R45" s="185" t="n">
        <f aca="false">R41*$B$45</f>
        <v>811.879519101404</v>
      </c>
      <c r="S45" s="185" t="n">
        <f aca="false">S41*$B$45</f>
        <v>811.879519101404</v>
      </c>
      <c r="T45" s="185" t="n">
        <f aca="false">T41*$B$45</f>
        <v>811.879519101404</v>
      </c>
      <c r="U45" s="185" t="n">
        <f aca="false">U41*$B$45</f>
        <v>811.879519101404</v>
      </c>
      <c r="V45" s="185" t="n">
        <f aca="false">V41*$B$45</f>
        <v>811.879519101404</v>
      </c>
      <c r="W45" s="185" t="n">
        <f aca="false">W41*$B$45</f>
        <v>811.879519101404</v>
      </c>
      <c r="X45" s="185" t="n">
        <f aca="false">X41*$B$45</f>
        <v>811.879519101404</v>
      </c>
      <c r="Y45" s="185" t="n">
        <f aca="false">Y41*$B$45</f>
        <v>811.879519101404</v>
      </c>
      <c r="Z45" s="185" t="n">
        <f aca="false">Z41*$B$45</f>
        <v>811.879519101404</v>
      </c>
      <c r="AA45" s="185" t="n">
        <f aca="false">AA41*$B$45</f>
        <v>811.879519101404</v>
      </c>
      <c r="AB45" s="185" t="n">
        <f aca="false">AB41*$B$45</f>
        <v>811.879519101404</v>
      </c>
      <c r="AC45" s="185" t="n">
        <f aca="false">AC41*$B$45</f>
        <v>811.879519101404</v>
      </c>
      <c r="AD45" s="185" t="n">
        <f aca="false">AD41*$B$45</f>
        <v>811.879519101404</v>
      </c>
      <c r="AE45" s="185" t="n">
        <f aca="false">AE41*$B$45</f>
        <v>811.879519101404</v>
      </c>
      <c r="AF45" s="185" t="n">
        <f aca="false">AF41*$B$45</f>
        <v>811.879519101404</v>
      </c>
      <c r="AG45" s="185" t="n">
        <f aca="false">AG41*$B$45</f>
        <v>811.879519101404</v>
      </c>
      <c r="AH45" s="185" t="n">
        <f aca="false">AH41*$B$45</f>
        <v>270.626506367135</v>
      </c>
      <c r="AI45" s="417"/>
      <c r="AJ45" s="417"/>
      <c r="AK45" s="417"/>
      <c r="AL45" s="417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395"/>
      <c r="CX45" s="395"/>
      <c r="CY45" s="395"/>
      <c r="CZ45" s="395"/>
      <c r="DA45" s="395"/>
      <c r="DB45" s="395"/>
      <c r="DC45" s="395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T45" s="395"/>
      <c r="DU45" s="395"/>
      <c r="DV45" s="395"/>
      <c r="DW45" s="395"/>
      <c r="DX45" s="395"/>
      <c r="DY45" s="395"/>
      <c r="DZ45" s="395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395"/>
      <c r="ER45" s="395"/>
      <c r="ES45" s="395"/>
      <c r="ET45" s="395"/>
      <c r="EU45" s="395"/>
      <c r="EV45" s="395"/>
      <c r="EW45" s="395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395"/>
      <c r="FM45" s="395"/>
      <c r="FN45" s="395"/>
      <c r="FO45" s="395"/>
      <c r="FP45" s="395"/>
      <c r="FQ45" s="395"/>
      <c r="FR45" s="395"/>
      <c r="FS45" s="395"/>
      <c r="FT45" s="395"/>
      <c r="FU45" s="395"/>
      <c r="FV45" s="395"/>
      <c r="FW45" s="395"/>
      <c r="FX45" s="395"/>
      <c r="FY45" s="395"/>
      <c r="FZ45" s="395"/>
      <c r="GA45" s="395"/>
      <c r="GB45" s="395"/>
      <c r="GC45" s="395"/>
      <c r="GD45" s="395"/>
      <c r="GE45" s="395"/>
      <c r="GF45" s="395"/>
      <c r="GG45" s="395"/>
      <c r="GH45" s="395"/>
      <c r="GI45" s="395"/>
      <c r="GJ45" s="395"/>
      <c r="GK45" s="395"/>
      <c r="GL45" s="395"/>
      <c r="GM45" s="395"/>
      <c r="GN45" s="395"/>
      <c r="GO45" s="395"/>
      <c r="GP45" s="395"/>
      <c r="GQ45" s="395"/>
      <c r="GR45" s="395"/>
      <c r="GS45" s="395"/>
      <c r="GT45" s="395"/>
      <c r="GU45" s="395"/>
      <c r="GV45" s="395"/>
      <c r="GW45" s="395"/>
      <c r="GX45" s="395"/>
      <c r="GY45" s="395"/>
      <c r="GZ45" s="395"/>
      <c r="HA45" s="395"/>
      <c r="HB45" s="395"/>
      <c r="HC45" s="395"/>
      <c r="HD45" s="395"/>
      <c r="HE45" s="395"/>
      <c r="HF45" s="395"/>
      <c r="HG45" s="395"/>
      <c r="HH45" s="395"/>
      <c r="HI45" s="395"/>
      <c r="HJ45" s="395"/>
      <c r="HK45" s="395"/>
      <c r="HL45" s="395"/>
      <c r="HM45" s="395"/>
      <c r="HN45" s="395"/>
      <c r="HO45" s="395"/>
      <c r="HP45" s="395"/>
      <c r="HQ45" s="395"/>
      <c r="HR45" s="395"/>
      <c r="HS45" s="395"/>
      <c r="HT45" s="395"/>
      <c r="HU45" s="395"/>
      <c r="HV45" s="395"/>
      <c r="HW45" s="395"/>
      <c r="HX45" s="395"/>
      <c r="HY45" s="395"/>
      <c r="HZ45" s="395"/>
      <c r="IA45" s="395"/>
      <c r="IB45" s="395"/>
      <c r="IC45" s="395"/>
      <c r="ID45" s="395"/>
      <c r="IE45" s="395"/>
      <c r="IF45" s="395"/>
      <c r="IG45" s="395"/>
      <c r="IH45" s="395"/>
      <c r="II45" s="395"/>
      <c r="IJ45" s="395"/>
      <c r="IK45" s="395"/>
      <c r="IL45" s="395"/>
      <c r="IM45" s="395"/>
      <c r="IN45" s="395"/>
      <c r="IO45" s="395"/>
      <c r="IP45" s="395"/>
      <c r="IQ45" s="395"/>
      <c r="IR45" s="395"/>
      <c r="IS45" s="395"/>
      <c r="IT45" s="395"/>
      <c r="IU45" s="395"/>
      <c r="IV45" s="395"/>
      <c r="IW45" s="395"/>
    </row>
    <row r="46" customFormat="false" ht="12.75" hidden="false" customHeight="false" outlineLevel="0" collapsed="false">
      <c r="A46" s="399" t="s">
        <v>376</v>
      </c>
      <c r="B46" s="408" t="n">
        <f aca="false">B17</f>
        <v>2272.022</v>
      </c>
      <c r="C46" s="407"/>
      <c r="D46" s="185" t="n">
        <f aca="false">D42*$B$46</f>
        <v>302.936266666667</v>
      </c>
      <c r="E46" s="185" t="n">
        <f aca="false">E42*$B$46</f>
        <v>454.4044</v>
      </c>
      <c r="F46" s="185" t="n">
        <f aca="false">F42*$B$46</f>
        <v>454.4044</v>
      </c>
      <c r="G46" s="185" t="n">
        <f aca="false">G42*$B$46</f>
        <v>454.4044</v>
      </c>
      <c r="H46" s="185" t="n">
        <f aca="false">H42*$B$46</f>
        <v>454.4044</v>
      </c>
      <c r="I46" s="185" t="n">
        <f aca="false">I42*$B$46</f>
        <v>151.468133333333</v>
      </c>
      <c r="J46" s="185" t="n">
        <f aca="false">J42*$B$46</f>
        <v>0</v>
      </c>
      <c r="K46" s="185" t="n">
        <f aca="false">K42*$B$46</f>
        <v>0</v>
      </c>
      <c r="L46" s="185" t="n">
        <f aca="false">L42*$B$46</f>
        <v>0</v>
      </c>
      <c r="M46" s="185" t="n">
        <f aca="false">M42*$B$46</f>
        <v>0</v>
      </c>
      <c r="N46" s="185" t="n">
        <f aca="false">N42*$B$46</f>
        <v>0</v>
      </c>
      <c r="O46" s="185" t="n">
        <f aca="false">O42*$B$46</f>
        <v>0</v>
      </c>
      <c r="P46" s="185" t="n">
        <f aca="false">P42*$B$46</f>
        <v>0</v>
      </c>
      <c r="Q46" s="185" t="n">
        <f aca="false">Q42*$B$46</f>
        <v>0</v>
      </c>
      <c r="R46" s="185" t="n">
        <f aca="false">R42*$B$46</f>
        <v>0</v>
      </c>
      <c r="S46" s="185" t="n">
        <f aca="false">S42*$B$46</f>
        <v>0</v>
      </c>
      <c r="T46" s="185" t="n">
        <f aca="false">T42*$B$46</f>
        <v>0</v>
      </c>
      <c r="U46" s="185" t="n">
        <f aca="false">U42*$B$46</f>
        <v>0</v>
      </c>
      <c r="V46" s="185" t="n">
        <f aca="false">V42*$B$46</f>
        <v>0</v>
      </c>
      <c r="W46" s="185" t="n">
        <f aca="false">W42*$B$46</f>
        <v>0</v>
      </c>
      <c r="X46" s="185" t="n">
        <f aca="false">X42*$B$46</f>
        <v>0</v>
      </c>
      <c r="Y46" s="185" t="n">
        <f aca="false">Y42*$B$46</f>
        <v>0</v>
      </c>
      <c r="Z46" s="185" t="n">
        <f aca="false">Z42*$B$46</f>
        <v>0</v>
      </c>
      <c r="AA46" s="185" t="n">
        <f aca="false">AA42*$B$46</f>
        <v>0</v>
      </c>
      <c r="AB46" s="185" t="n">
        <f aca="false">AB42*$B$46</f>
        <v>0</v>
      </c>
      <c r="AC46" s="185" t="n">
        <f aca="false">AC42*$B$46</f>
        <v>0</v>
      </c>
      <c r="AD46" s="185" t="n">
        <f aca="false">AD42*$B$46</f>
        <v>0</v>
      </c>
      <c r="AE46" s="185" t="n">
        <f aca="false">AE42*$B$46</f>
        <v>0</v>
      </c>
      <c r="AF46" s="185" t="n">
        <f aca="false">AF42*$B$46</f>
        <v>0</v>
      </c>
      <c r="AG46" s="185" t="n">
        <f aca="false">AG42*$B$46</f>
        <v>0</v>
      </c>
      <c r="AH46" s="185" t="n">
        <f aca="false">AH42*$B$46</f>
        <v>0</v>
      </c>
      <c r="AI46" s="417"/>
      <c r="AJ46" s="417"/>
      <c r="AK46" s="417"/>
      <c r="AL46" s="417"/>
      <c r="AM46" s="395"/>
      <c r="AN46" s="395"/>
      <c r="AO46" s="395"/>
      <c r="AP46" s="395"/>
      <c r="AQ46" s="395"/>
      <c r="AR46" s="395"/>
      <c r="AS46" s="395"/>
      <c r="AT46" s="395"/>
      <c r="AU46" s="395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5"/>
      <c r="CU46" s="395"/>
      <c r="CV46" s="395"/>
      <c r="CW46" s="395"/>
      <c r="CX46" s="395"/>
      <c r="CY46" s="395"/>
      <c r="CZ46" s="395"/>
      <c r="DA46" s="395"/>
      <c r="DB46" s="395"/>
      <c r="DC46" s="395"/>
      <c r="DD46" s="395"/>
      <c r="DE46" s="395"/>
      <c r="DF46" s="395"/>
      <c r="DG46" s="395"/>
      <c r="DH46" s="395"/>
      <c r="DI46" s="395"/>
      <c r="DJ46" s="395"/>
      <c r="DK46" s="395"/>
      <c r="DL46" s="395"/>
      <c r="DM46" s="395"/>
      <c r="DN46" s="395"/>
      <c r="DO46" s="395"/>
      <c r="DP46" s="395"/>
      <c r="DQ46" s="395"/>
      <c r="DR46" s="395"/>
      <c r="DS46" s="395"/>
      <c r="DT46" s="395"/>
      <c r="DU46" s="395"/>
      <c r="DV46" s="395"/>
      <c r="DW46" s="395"/>
      <c r="DX46" s="395"/>
      <c r="DY46" s="395"/>
      <c r="DZ46" s="395"/>
      <c r="EA46" s="395"/>
      <c r="EB46" s="395"/>
      <c r="EC46" s="395"/>
      <c r="ED46" s="395"/>
      <c r="EE46" s="395"/>
      <c r="EF46" s="395"/>
      <c r="EG46" s="395"/>
      <c r="EH46" s="395"/>
      <c r="EI46" s="395"/>
      <c r="EJ46" s="395"/>
      <c r="EK46" s="395"/>
      <c r="EL46" s="395"/>
      <c r="EM46" s="395"/>
      <c r="EN46" s="395"/>
      <c r="EO46" s="395"/>
      <c r="EP46" s="395"/>
      <c r="EQ46" s="395"/>
      <c r="ER46" s="395"/>
      <c r="ES46" s="395"/>
      <c r="ET46" s="395"/>
      <c r="EU46" s="395"/>
      <c r="EV46" s="395"/>
      <c r="EW46" s="395"/>
      <c r="EX46" s="395"/>
      <c r="EY46" s="395"/>
      <c r="EZ46" s="395"/>
      <c r="FA46" s="395"/>
      <c r="FB46" s="395"/>
      <c r="FC46" s="395"/>
      <c r="FD46" s="395"/>
      <c r="FE46" s="395"/>
      <c r="FF46" s="395"/>
      <c r="FG46" s="395"/>
      <c r="FH46" s="395"/>
      <c r="FI46" s="395"/>
      <c r="FJ46" s="395"/>
      <c r="FK46" s="395"/>
      <c r="FL46" s="395"/>
      <c r="FM46" s="395"/>
      <c r="FN46" s="395"/>
      <c r="FO46" s="395"/>
      <c r="FP46" s="395"/>
      <c r="FQ46" s="395"/>
      <c r="FR46" s="395"/>
      <c r="FS46" s="395"/>
      <c r="FT46" s="395"/>
      <c r="FU46" s="395"/>
      <c r="FV46" s="395"/>
      <c r="FW46" s="395"/>
      <c r="FX46" s="395"/>
      <c r="FY46" s="395"/>
      <c r="FZ46" s="395"/>
      <c r="GA46" s="395"/>
      <c r="GB46" s="395"/>
      <c r="GC46" s="395"/>
      <c r="GD46" s="395"/>
      <c r="GE46" s="395"/>
      <c r="GF46" s="395"/>
      <c r="GG46" s="395"/>
      <c r="GH46" s="395"/>
      <c r="GI46" s="395"/>
      <c r="GJ46" s="395"/>
      <c r="GK46" s="395"/>
      <c r="GL46" s="395"/>
      <c r="GM46" s="395"/>
      <c r="GN46" s="395"/>
      <c r="GO46" s="395"/>
      <c r="GP46" s="395"/>
      <c r="GQ46" s="395"/>
      <c r="GR46" s="395"/>
      <c r="GS46" s="395"/>
      <c r="GT46" s="395"/>
      <c r="GU46" s="395"/>
      <c r="GV46" s="395"/>
      <c r="GW46" s="395"/>
      <c r="GX46" s="395"/>
      <c r="GY46" s="395"/>
      <c r="GZ46" s="395"/>
      <c r="HA46" s="395"/>
      <c r="HB46" s="395"/>
      <c r="HC46" s="395"/>
      <c r="HD46" s="395"/>
      <c r="HE46" s="395"/>
      <c r="HF46" s="395"/>
      <c r="HG46" s="395"/>
      <c r="HH46" s="395"/>
      <c r="HI46" s="395"/>
      <c r="HJ46" s="395"/>
      <c r="HK46" s="395"/>
      <c r="HL46" s="395"/>
      <c r="HM46" s="395"/>
      <c r="HN46" s="395"/>
      <c r="HO46" s="395"/>
      <c r="HP46" s="395"/>
      <c r="HQ46" s="395"/>
      <c r="HR46" s="395"/>
      <c r="HS46" s="395"/>
      <c r="HT46" s="395"/>
      <c r="HU46" s="395"/>
      <c r="HV46" s="395"/>
      <c r="HW46" s="395"/>
      <c r="HX46" s="395"/>
      <c r="HY46" s="395"/>
      <c r="HZ46" s="395"/>
      <c r="IA46" s="395"/>
      <c r="IB46" s="395"/>
      <c r="IC46" s="395"/>
      <c r="ID46" s="395"/>
      <c r="IE46" s="395"/>
      <c r="IF46" s="395"/>
      <c r="IG46" s="395"/>
      <c r="IH46" s="395"/>
      <c r="II46" s="395"/>
      <c r="IJ46" s="395"/>
      <c r="IK46" s="395"/>
      <c r="IL46" s="395"/>
      <c r="IM46" s="395"/>
      <c r="IN46" s="395"/>
      <c r="IO46" s="395"/>
      <c r="IP46" s="395"/>
      <c r="IQ46" s="395"/>
      <c r="IR46" s="395"/>
      <c r="IS46" s="395"/>
      <c r="IT46" s="395"/>
      <c r="IU46" s="395"/>
      <c r="IV46" s="395"/>
      <c r="IW46" s="395"/>
    </row>
    <row r="47" customFormat="false" ht="15" hidden="false" customHeight="false" outlineLevel="0" collapsed="false">
      <c r="A47" s="402" t="s">
        <v>377</v>
      </c>
      <c r="B47" s="302" t="n">
        <f aca="false">B18</f>
        <v>0</v>
      </c>
      <c r="C47" s="407"/>
      <c r="D47" s="302" t="n">
        <f aca="false">D43*$B$47</f>
        <v>0</v>
      </c>
      <c r="E47" s="302" t="n">
        <f aca="false">E43*$B$47</f>
        <v>0</v>
      </c>
      <c r="F47" s="302" t="n">
        <f aca="false">F43*$B$47</f>
        <v>0</v>
      </c>
      <c r="G47" s="302" t="n">
        <f aca="false">G43*$B$47</f>
        <v>0</v>
      </c>
      <c r="H47" s="302" t="n">
        <f aca="false">H43*$B$47</f>
        <v>0</v>
      </c>
      <c r="I47" s="302" t="n">
        <f aca="false">I43*$B$47</f>
        <v>0</v>
      </c>
      <c r="J47" s="302" t="n">
        <f aca="false">J43*$B$47</f>
        <v>0</v>
      </c>
      <c r="K47" s="302" t="n">
        <f aca="false">K43*$B$47</f>
        <v>0</v>
      </c>
      <c r="L47" s="302" t="n">
        <f aca="false">L43*$B$47</f>
        <v>0</v>
      </c>
      <c r="M47" s="302" t="n">
        <f aca="false">M43*$B$47</f>
        <v>0</v>
      </c>
      <c r="N47" s="302" t="n">
        <f aca="false">N43*$B$47</f>
        <v>0</v>
      </c>
      <c r="O47" s="302" t="n">
        <f aca="false">O43*$B$47</f>
        <v>0</v>
      </c>
      <c r="P47" s="302" t="n">
        <f aca="false">P43*$B$47</f>
        <v>0</v>
      </c>
      <c r="Q47" s="302" t="n">
        <f aca="false">Q43*$B$47</f>
        <v>0</v>
      </c>
      <c r="R47" s="302" t="n">
        <f aca="false">R43*$B$47</f>
        <v>0</v>
      </c>
      <c r="S47" s="302" t="n">
        <f aca="false">S43*$B$47</f>
        <v>0</v>
      </c>
      <c r="T47" s="302" t="n">
        <f aca="false">T43*$B$47</f>
        <v>0</v>
      </c>
      <c r="U47" s="302" t="n">
        <f aca="false">U43*$B$47</f>
        <v>0</v>
      </c>
      <c r="V47" s="302" t="n">
        <f aca="false">V43*$B$47</f>
        <v>0</v>
      </c>
      <c r="W47" s="302" t="n">
        <f aca="false">W43*$B$47</f>
        <v>0</v>
      </c>
      <c r="X47" s="302" t="n">
        <f aca="false">X43*$B$47</f>
        <v>0</v>
      </c>
      <c r="Y47" s="302" t="n">
        <f aca="false">Y43*$B$47</f>
        <v>0</v>
      </c>
      <c r="Z47" s="302" t="n">
        <f aca="false">Z43*$B$47</f>
        <v>0</v>
      </c>
      <c r="AA47" s="302" t="n">
        <f aca="false">AA43*$B$47</f>
        <v>0</v>
      </c>
      <c r="AB47" s="302" t="n">
        <f aca="false">AB43*$B$47</f>
        <v>0</v>
      </c>
      <c r="AC47" s="302" t="n">
        <f aca="false">AC43*$B$47</f>
        <v>0</v>
      </c>
      <c r="AD47" s="302" t="n">
        <f aca="false">AD43*$B$47</f>
        <v>0</v>
      </c>
      <c r="AE47" s="302" t="n">
        <f aca="false">AE43*$B$47</f>
        <v>0</v>
      </c>
      <c r="AF47" s="302" t="n">
        <f aca="false">AF43*$B$47</f>
        <v>0</v>
      </c>
      <c r="AG47" s="302" t="n">
        <f aca="false">AG43*$B$47</f>
        <v>0</v>
      </c>
      <c r="AH47" s="302" t="n">
        <f aca="false">AH43*$B$47</f>
        <v>0</v>
      </c>
      <c r="AI47" s="417"/>
      <c r="AJ47" s="417"/>
      <c r="AK47" s="417"/>
      <c r="AL47" s="417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5"/>
      <c r="DF47" s="395"/>
      <c r="DG47" s="395"/>
      <c r="DH47" s="395"/>
      <c r="DI47" s="395"/>
      <c r="DJ47" s="395"/>
      <c r="DK47" s="395"/>
      <c r="DL47" s="395"/>
      <c r="DM47" s="395"/>
      <c r="DN47" s="395"/>
      <c r="DO47" s="395"/>
      <c r="DP47" s="395"/>
      <c r="DQ47" s="395"/>
      <c r="DR47" s="395"/>
      <c r="DS47" s="395"/>
      <c r="DT47" s="395"/>
      <c r="DU47" s="395"/>
      <c r="DV47" s="395"/>
      <c r="DW47" s="395"/>
      <c r="DX47" s="395"/>
      <c r="DY47" s="395"/>
      <c r="DZ47" s="395"/>
      <c r="EA47" s="395"/>
      <c r="EB47" s="395"/>
      <c r="EC47" s="395"/>
      <c r="ED47" s="395"/>
      <c r="EE47" s="395"/>
      <c r="EF47" s="395"/>
      <c r="EG47" s="395"/>
      <c r="EH47" s="395"/>
      <c r="EI47" s="395"/>
      <c r="EJ47" s="395"/>
      <c r="EK47" s="395"/>
      <c r="EL47" s="395"/>
      <c r="EM47" s="395"/>
      <c r="EN47" s="395"/>
      <c r="EO47" s="395"/>
      <c r="EP47" s="395"/>
      <c r="EQ47" s="395"/>
      <c r="ER47" s="395"/>
      <c r="ES47" s="395"/>
      <c r="ET47" s="395"/>
      <c r="EU47" s="395"/>
      <c r="EV47" s="395"/>
      <c r="EW47" s="395"/>
      <c r="EX47" s="395"/>
      <c r="EY47" s="395"/>
      <c r="EZ47" s="395"/>
      <c r="FA47" s="395"/>
      <c r="FB47" s="395"/>
      <c r="FC47" s="395"/>
      <c r="FD47" s="395"/>
      <c r="FE47" s="395"/>
      <c r="FF47" s="395"/>
      <c r="FG47" s="395"/>
      <c r="FH47" s="395"/>
      <c r="FI47" s="395"/>
      <c r="FJ47" s="395"/>
      <c r="FK47" s="395"/>
      <c r="FL47" s="395"/>
      <c r="FM47" s="395"/>
      <c r="FN47" s="395"/>
      <c r="FO47" s="395"/>
      <c r="FP47" s="395"/>
      <c r="FQ47" s="395"/>
      <c r="FR47" s="395"/>
      <c r="FS47" s="395"/>
      <c r="FT47" s="395"/>
      <c r="FU47" s="395"/>
      <c r="FV47" s="395"/>
      <c r="FW47" s="395"/>
      <c r="FX47" s="395"/>
      <c r="FY47" s="395"/>
      <c r="FZ47" s="395"/>
      <c r="GA47" s="395"/>
      <c r="GB47" s="395"/>
      <c r="GC47" s="395"/>
      <c r="GD47" s="395"/>
      <c r="GE47" s="395"/>
      <c r="GF47" s="395"/>
      <c r="GG47" s="395"/>
      <c r="GH47" s="395"/>
      <c r="GI47" s="395"/>
      <c r="GJ47" s="395"/>
      <c r="GK47" s="395"/>
      <c r="GL47" s="395"/>
      <c r="GM47" s="395"/>
      <c r="GN47" s="395"/>
      <c r="GO47" s="395"/>
      <c r="GP47" s="395"/>
      <c r="GQ47" s="395"/>
      <c r="GR47" s="395"/>
      <c r="GS47" s="395"/>
      <c r="GT47" s="395"/>
      <c r="GU47" s="395"/>
      <c r="GV47" s="395"/>
      <c r="GW47" s="395"/>
      <c r="GX47" s="395"/>
      <c r="GY47" s="395"/>
      <c r="GZ47" s="395"/>
      <c r="HA47" s="395"/>
      <c r="HB47" s="395"/>
      <c r="HC47" s="395"/>
      <c r="HD47" s="395"/>
      <c r="HE47" s="395"/>
      <c r="HF47" s="395"/>
      <c r="HG47" s="395"/>
      <c r="HH47" s="395"/>
      <c r="HI47" s="395"/>
      <c r="HJ47" s="395"/>
      <c r="HK47" s="395"/>
      <c r="HL47" s="395"/>
      <c r="HM47" s="395"/>
      <c r="HN47" s="395"/>
      <c r="HO47" s="395"/>
      <c r="HP47" s="395"/>
      <c r="HQ47" s="395"/>
      <c r="HR47" s="395"/>
      <c r="HS47" s="395"/>
      <c r="HT47" s="395"/>
      <c r="HU47" s="395"/>
      <c r="HV47" s="395"/>
      <c r="HW47" s="395"/>
      <c r="HX47" s="395"/>
      <c r="HY47" s="395"/>
      <c r="HZ47" s="395"/>
      <c r="IA47" s="395"/>
      <c r="IB47" s="395"/>
      <c r="IC47" s="395"/>
      <c r="ID47" s="395"/>
      <c r="IE47" s="395"/>
      <c r="IF47" s="395"/>
      <c r="IG47" s="395"/>
      <c r="IH47" s="395"/>
      <c r="II47" s="395"/>
      <c r="IJ47" s="395"/>
      <c r="IK47" s="395"/>
      <c r="IL47" s="395"/>
      <c r="IM47" s="395"/>
      <c r="IN47" s="395"/>
      <c r="IO47" s="395"/>
      <c r="IP47" s="395"/>
      <c r="IQ47" s="395"/>
      <c r="IR47" s="395"/>
      <c r="IS47" s="395"/>
      <c r="IT47" s="395"/>
      <c r="IU47" s="395"/>
      <c r="IV47" s="395"/>
      <c r="IW47" s="395"/>
    </row>
    <row r="48" customFormat="false" ht="12.75" hidden="false" customHeight="false" outlineLevel="0" collapsed="false">
      <c r="A48" s="413" t="s">
        <v>378</v>
      </c>
      <c r="B48" s="185" t="n">
        <f aca="false">SUM(B45:B47)</f>
        <v>29334.6726367135</v>
      </c>
      <c r="C48" s="407"/>
      <c r="D48" s="185" t="n">
        <f aca="false">SUM(D45:D47)</f>
        <v>844.189279400936</v>
      </c>
      <c r="E48" s="185" t="n">
        <f aca="false">SUM(E45:E47)</f>
        <v>1266.2839191014</v>
      </c>
      <c r="F48" s="185" t="n">
        <f aca="false">SUM(F45:F47)</f>
        <v>1266.2839191014</v>
      </c>
      <c r="G48" s="185" t="n">
        <f aca="false">SUM(G45:G47)</f>
        <v>1266.2839191014</v>
      </c>
      <c r="H48" s="185" t="n">
        <f aca="false">SUM(H45:H47)</f>
        <v>1266.2839191014</v>
      </c>
      <c r="I48" s="185" t="n">
        <f aca="false">SUM(I45:I47)</f>
        <v>963.347652434737</v>
      </c>
      <c r="J48" s="185" t="n">
        <f aca="false">SUM(J45:J47)</f>
        <v>811.879519101404</v>
      </c>
      <c r="K48" s="185" t="n">
        <f aca="false">SUM(K45:K47)</f>
        <v>811.879519101404</v>
      </c>
      <c r="L48" s="185" t="n">
        <f aca="false">SUM(L45:L47)</f>
        <v>811.879519101404</v>
      </c>
      <c r="M48" s="185" t="n">
        <f aca="false">SUM(M45:M47)</f>
        <v>811.879519101404</v>
      </c>
      <c r="N48" s="185" t="n">
        <f aca="false">SUM(N45:N47)</f>
        <v>811.879519101404</v>
      </c>
      <c r="O48" s="185" t="n">
        <f aca="false">SUM(O45:O47)</f>
        <v>811.879519101404</v>
      </c>
      <c r="P48" s="185" t="n">
        <f aca="false">SUM(P45:P47)</f>
        <v>811.879519101404</v>
      </c>
      <c r="Q48" s="185" t="n">
        <f aca="false">SUM(Q45:Q47)</f>
        <v>811.879519101404</v>
      </c>
      <c r="R48" s="185" t="n">
        <f aca="false">SUM(R45:R47)</f>
        <v>811.879519101404</v>
      </c>
      <c r="S48" s="185" t="n">
        <f aca="false">SUM(S45:S47)</f>
        <v>811.879519101404</v>
      </c>
      <c r="T48" s="185" t="n">
        <f aca="false">SUM(T45:T47)</f>
        <v>811.879519101404</v>
      </c>
      <c r="U48" s="185" t="n">
        <f aca="false">SUM(U45:U47)</f>
        <v>811.879519101404</v>
      </c>
      <c r="V48" s="185" t="n">
        <f aca="false">SUM(V45:V47)</f>
        <v>811.879519101404</v>
      </c>
      <c r="W48" s="185" t="n">
        <f aca="false">SUM(W45:W47)</f>
        <v>811.879519101404</v>
      </c>
      <c r="X48" s="185" t="n">
        <f aca="false">SUM(X45:X47)</f>
        <v>811.879519101404</v>
      </c>
      <c r="Y48" s="185" t="n">
        <f aca="false">SUM(Y45:Y47)</f>
        <v>811.879519101404</v>
      </c>
      <c r="Z48" s="185" t="n">
        <f aca="false">SUM(Z45:Z47)</f>
        <v>811.879519101404</v>
      </c>
      <c r="AA48" s="185" t="n">
        <f aca="false">SUM(AA45:AA47)</f>
        <v>811.879519101404</v>
      </c>
      <c r="AB48" s="185" t="n">
        <f aca="false">SUM(AB45:AB47)</f>
        <v>811.879519101404</v>
      </c>
      <c r="AC48" s="185" t="n">
        <f aca="false">SUM(AC45:AC47)</f>
        <v>811.879519101404</v>
      </c>
      <c r="AD48" s="185" t="n">
        <f aca="false">SUM(AD45:AD47)</f>
        <v>811.879519101404</v>
      </c>
      <c r="AE48" s="185" t="n">
        <f aca="false">SUM(AE45:AE47)</f>
        <v>811.879519101404</v>
      </c>
      <c r="AF48" s="185" t="n">
        <f aca="false">SUM(AF45:AF47)</f>
        <v>811.879519101404</v>
      </c>
      <c r="AG48" s="185" t="n">
        <f aca="false">SUM(AG45:AG47)</f>
        <v>811.879519101404</v>
      </c>
      <c r="AH48" s="185" t="n">
        <f aca="false">SUM(AH45:AH47)</f>
        <v>270.626506367135</v>
      </c>
      <c r="AI48" s="417"/>
      <c r="AJ48" s="417"/>
      <c r="AK48" s="417"/>
      <c r="AL48" s="417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395"/>
      <c r="CX48" s="395"/>
      <c r="CY48" s="395"/>
      <c r="CZ48" s="395"/>
      <c r="DA48" s="395"/>
      <c r="DB48" s="395"/>
      <c r="DC48" s="395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395"/>
      <c r="EN48" s="395"/>
      <c r="EO48" s="395"/>
      <c r="EP48" s="395"/>
      <c r="EQ48" s="395"/>
      <c r="ER48" s="395"/>
      <c r="ES48" s="395"/>
      <c r="ET48" s="395"/>
      <c r="EU48" s="395"/>
      <c r="EV48" s="395"/>
      <c r="EW48" s="395"/>
      <c r="EX48" s="395"/>
      <c r="EY48" s="395"/>
      <c r="EZ48" s="395"/>
      <c r="FA48" s="395"/>
      <c r="FB48" s="395"/>
      <c r="FC48" s="395"/>
      <c r="FD48" s="395"/>
      <c r="FE48" s="395"/>
      <c r="FF48" s="395"/>
      <c r="FG48" s="395"/>
      <c r="FH48" s="395"/>
      <c r="FI48" s="395"/>
      <c r="FJ48" s="395"/>
      <c r="FK48" s="395"/>
      <c r="FL48" s="395"/>
      <c r="FM48" s="395"/>
      <c r="FN48" s="395"/>
      <c r="FO48" s="395"/>
      <c r="FP48" s="395"/>
      <c r="FQ48" s="395"/>
      <c r="FR48" s="395"/>
      <c r="FS48" s="395"/>
      <c r="FT48" s="395"/>
      <c r="FU48" s="395"/>
      <c r="FV48" s="395"/>
      <c r="FW48" s="395"/>
      <c r="FX48" s="395"/>
      <c r="FY48" s="395"/>
      <c r="FZ48" s="395"/>
      <c r="GA48" s="395"/>
      <c r="GB48" s="395"/>
      <c r="GC48" s="395"/>
      <c r="GD48" s="395"/>
      <c r="GE48" s="395"/>
      <c r="GF48" s="395"/>
      <c r="GG48" s="395"/>
      <c r="GH48" s="395"/>
      <c r="GI48" s="395"/>
      <c r="GJ48" s="395"/>
      <c r="GK48" s="395"/>
      <c r="GL48" s="395"/>
      <c r="GM48" s="395"/>
      <c r="GN48" s="395"/>
      <c r="GO48" s="395"/>
      <c r="GP48" s="395"/>
      <c r="GQ48" s="395"/>
      <c r="GR48" s="395"/>
      <c r="GS48" s="395"/>
      <c r="GT48" s="395"/>
      <c r="GU48" s="395"/>
      <c r="GV48" s="395"/>
      <c r="GW48" s="395"/>
      <c r="GX48" s="395"/>
      <c r="GY48" s="395"/>
      <c r="GZ48" s="395"/>
      <c r="HA48" s="395"/>
      <c r="HB48" s="395"/>
      <c r="HC48" s="395"/>
      <c r="HD48" s="395"/>
      <c r="HE48" s="395"/>
      <c r="HF48" s="395"/>
      <c r="HG48" s="395"/>
      <c r="HH48" s="395"/>
      <c r="HI48" s="395"/>
      <c r="HJ48" s="395"/>
      <c r="HK48" s="395"/>
      <c r="HL48" s="395"/>
      <c r="HM48" s="395"/>
      <c r="HN48" s="395"/>
      <c r="HO48" s="395"/>
      <c r="HP48" s="395"/>
      <c r="HQ48" s="395"/>
      <c r="HR48" s="395"/>
      <c r="HS48" s="395"/>
      <c r="HT48" s="395"/>
      <c r="HU48" s="395"/>
      <c r="HV48" s="395"/>
      <c r="HW48" s="395"/>
      <c r="HX48" s="395"/>
      <c r="HY48" s="395"/>
      <c r="HZ48" s="395"/>
      <c r="IA48" s="395"/>
      <c r="IB48" s="395"/>
      <c r="IC48" s="395"/>
      <c r="ID48" s="395"/>
      <c r="IE48" s="395"/>
      <c r="IF48" s="395"/>
      <c r="IG48" s="395"/>
      <c r="IH48" s="395"/>
      <c r="II48" s="395"/>
      <c r="IJ48" s="395"/>
      <c r="IK48" s="395"/>
      <c r="IL48" s="395"/>
      <c r="IM48" s="395"/>
      <c r="IN48" s="395"/>
      <c r="IO48" s="395"/>
      <c r="IP48" s="395"/>
      <c r="IQ48" s="395"/>
      <c r="IR48" s="395"/>
      <c r="IS48" s="395"/>
      <c r="IT48" s="395"/>
      <c r="IU48" s="395"/>
      <c r="IV48" s="395"/>
      <c r="IW48" s="395"/>
    </row>
    <row r="49" customFormat="false" ht="12.75" hidden="false" customHeight="false" outlineLevel="0" collapsed="false">
      <c r="A49" s="402"/>
      <c r="B49" s="185"/>
      <c r="C49" s="407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</row>
    <row r="50" customFormat="false" ht="12.75" hidden="false" customHeight="false" outlineLevel="0" collapsed="false">
      <c r="A50" s="422" t="s">
        <v>384</v>
      </c>
      <c r="B50" s="423" t="n">
        <f aca="false">B48</f>
        <v>29334.6726367135</v>
      </c>
      <c r="C50" s="409"/>
      <c r="D50" s="303" t="n">
        <f aca="false">B48-D48</f>
        <v>28490.4833573125</v>
      </c>
      <c r="E50" s="303" t="n">
        <f aca="false">D50-E48</f>
        <v>27224.1994382111</v>
      </c>
      <c r="F50" s="303" t="n">
        <f aca="false">E50-F48</f>
        <v>25957.9155191097</v>
      </c>
      <c r="G50" s="303" t="n">
        <f aca="false">F50-G48</f>
        <v>24691.6316000083</v>
      </c>
      <c r="H50" s="303" t="n">
        <f aca="false">G50-H48</f>
        <v>23425.3476809069</v>
      </c>
      <c r="I50" s="303" t="n">
        <f aca="false">H50-I48</f>
        <v>22462.0000284722</v>
      </c>
      <c r="J50" s="303" t="n">
        <f aca="false">I50-J48</f>
        <v>21650.1205093708</v>
      </c>
      <c r="K50" s="303" t="n">
        <f aca="false">J50-K48</f>
        <v>20838.2409902694</v>
      </c>
      <c r="L50" s="303" t="n">
        <f aca="false">K50-L48</f>
        <v>20026.361471168</v>
      </c>
      <c r="M50" s="303" t="n">
        <f aca="false">L50-M48</f>
        <v>19214.4819520666</v>
      </c>
      <c r="N50" s="303" t="n">
        <f aca="false">M50-N48</f>
        <v>18402.6024329652</v>
      </c>
      <c r="O50" s="303" t="n">
        <f aca="false">N50-O48</f>
        <v>17590.7229138638</v>
      </c>
      <c r="P50" s="303" t="n">
        <f aca="false">O50-P48</f>
        <v>16778.8433947623</v>
      </c>
      <c r="Q50" s="303" t="n">
        <f aca="false">P50-Q48</f>
        <v>15966.9638756609</v>
      </c>
      <c r="R50" s="303" t="n">
        <f aca="false">Q50-R48</f>
        <v>15155.0843565595</v>
      </c>
      <c r="S50" s="303" t="n">
        <f aca="false">R50-S48</f>
        <v>14343.2048374581</v>
      </c>
      <c r="T50" s="303" t="n">
        <f aca="false">S50-T48</f>
        <v>13531.3253183567</v>
      </c>
      <c r="U50" s="303" t="n">
        <f aca="false">T50-U48</f>
        <v>12719.4457992553</v>
      </c>
      <c r="V50" s="303" t="n">
        <f aca="false">U50-V48</f>
        <v>11907.5662801539</v>
      </c>
      <c r="W50" s="303" t="n">
        <f aca="false">V50-W48</f>
        <v>11095.6867610525</v>
      </c>
      <c r="X50" s="303" t="n">
        <f aca="false">W50-X48</f>
        <v>10283.8072419511</v>
      </c>
      <c r="Y50" s="303" t="n">
        <f aca="false">X50-Y48</f>
        <v>9471.92772284972</v>
      </c>
      <c r="Z50" s="303" t="n">
        <f aca="false">Y50-Z48</f>
        <v>8660.04820374831</v>
      </c>
      <c r="AA50" s="303" t="n">
        <f aca="false">Z50-AA48</f>
        <v>7848.16868464691</v>
      </c>
      <c r="AB50" s="303" t="n">
        <f aca="false">AA50-AB48</f>
        <v>7036.28916554551</v>
      </c>
      <c r="AC50" s="303" t="n">
        <f aca="false">AB50-AC48</f>
        <v>6224.4096464441</v>
      </c>
      <c r="AD50" s="303" t="n">
        <f aca="false">AC50-AD48</f>
        <v>5412.5301273427</v>
      </c>
      <c r="AE50" s="303" t="n">
        <f aca="false">AD50-AE48</f>
        <v>4600.6506082413</v>
      </c>
      <c r="AF50" s="303" t="n">
        <f aca="false">AE50-AF48</f>
        <v>3788.77108913989</v>
      </c>
      <c r="AG50" s="303" t="n">
        <f aca="false">AF50-AG48</f>
        <v>2976.89157003849</v>
      </c>
      <c r="AH50" s="303" t="n">
        <f aca="false">AG50-AH48</f>
        <v>2706.26506367135</v>
      </c>
      <c r="AI50" s="424"/>
      <c r="AJ50" s="424"/>
      <c r="AK50" s="424"/>
      <c r="AL50" s="424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389"/>
      <c r="CZ50" s="389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389"/>
      <c r="GM50" s="389"/>
      <c r="GN50" s="389"/>
      <c r="GO50" s="389"/>
      <c r="GP50" s="389"/>
      <c r="GQ50" s="389"/>
      <c r="GR50" s="389"/>
      <c r="GS50" s="389"/>
      <c r="GT50" s="389"/>
      <c r="GU50" s="389"/>
      <c r="GV50" s="389"/>
      <c r="GW50" s="389"/>
      <c r="GX50" s="389"/>
      <c r="GY50" s="389"/>
      <c r="GZ50" s="389"/>
      <c r="HA50" s="389"/>
      <c r="HB50" s="389"/>
      <c r="HC50" s="389"/>
      <c r="HD50" s="389"/>
      <c r="HE50" s="389"/>
      <c r="HF50" s="389"/>
      <c r="HG50" s="389"/>
      <c r="HH50" s="389"/>
      <c r="HI50" s="389"/>
      <c r="HJ50" s="389"/>
      <c r="HK50" s="389"/>
      <c r="HL50" s="389"/>
      <c r="HM50" s="389"/>
      <c r="HN50" s="389"/>
      <c r="HO50" s="389"/>
      <c r="HP50" s="389"/>
      <c r="HQ50" s="389"/>
      <c r="HR50" s="389"/>
      <c r="HS50" s="389"/>
      <c r="HT50" s="389"/>
      <c r="HU50" s="389"/>
      <c r="HV50" s="389"/>
      <c r="HW50" s="389"/>
      <c r="HX50" s="389"/>
      <c r="HY50" s="389"/>
      <c r="HZ50" s="389"/>
      <c r="IA50" s="389"/>
      <c r="IB50" s="389"/>
      <c r="IC50" s="389"/>
      <c r="ID50" s="389"/>
      <c r="IE50" s="389"/>
      <c r="IF50" s="389"/>
      <c r="IG50" s="389"/>
      <c r="IH50" s="389"/>
      <c r="II50" s="389"/>
      <c r="IJ50" s="389"/>
      <c r="IK50" s="389"/>
      <c r="IL50" s="389"/>
      <c r="IM50" s="389"/>
      <c r="IN50" s="389"/>
      <c r="IO50" s="389"/>
      <c r="IP50" s="389"/>
      <c r="IQ50" s="389"/>
      <c r="IR50" s="389"/>
      <c r="IS50" s="389"/>
      <c r="IT50" s="389"/>
      <c r="IU50" s="389"/>
      <c r="IV50" s="389"/>
      <c r="IW50" s="389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Rochester</v>
      </c>
    </row>
    <row r="4" customFormat="false" ht="18.75" hidden="false" customHeight="false" outlineLevel="0" collapsed="false">
      <c r="A4" s="425" t="s">
        <v>385</v>
      </c>
      <c r="B4" s="42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7"/>
      <c r="C5" s="419"/>
      <c r="D5" s="419"/>
      <c r="E5" s="419"/>
      <c r="F5" s="419"/>
      <c r="G5" s="419"/>
      <c r="H5" s="419"/>
      <c r="I5" s="428"/>
      <c r="J5" s="419"/>
      <c r="K5" s="419"/>
      <c r="L5" s="419"/>
      <c r="M5" s="419"/>
      <c r="N5" s="419"/>
      <c r="O5" s="428"/>
      <c r="P5" s="419"/>
      <c r="Q5" s="419"/>
      <c r="R5" s="419"/>
      <c r="S5" s="419"/>
      <c r="T5" s="419"/>
      <c r="U5" s="428"/>
      <c r="V5" s="419"/>
      <c r="W5" s="419"/>
      <c r="X5" s="427"/>
      <c r="Y5" s="427"/>
    </row>
    <row r="6" customFormat="false" ht="12.75" hidden="false" customHeight="false" outlineLevel="0" collapsed="false">
      <c r="A6" s="305"/>
      <c r="B6" s="429" t="n">
        <f aca="false">'Price_Technical Assumption'!D7</f>
        <v>0.666666666666667</v>
      </c>
      <c r="C6" s="429" t="n">
        <f aca="false">'Price_Technical Assumption'!E7</f>
        <v>1.66666666666667</v>
      </c>
      <c r="D6" s="429" t="n">
        <f aca="false">'Price_Technical Assumption'!F7</f>
        <v>2.66666666666667</v>
      </c>
      <c r="E6" s="429" t="n">
        <f aca="false">'Price_Technical Assumption'!G7</f>
        <v>3.66666666666667</v>
      </c>
      <c r="F6" s="429" t="n">
        <f aca="false">'Price_Technical Assumption'!H7</f>
        <v>4.66666666666667</v>
      </c>
      <c r="G6" s="429" t="n">
        <f aca="false">'Price_Technical Assumption'!I7</f>
        <v>5.66666666666667</v>
      </c>
      <c r="H6" s="429" t="n">
        <f aca="false">'Price_Technical Assumption'!J7</f>
        <v>6.66666666666667</v>
      </c>
      <c r="I6" s="429" t="n">
        <f aca="false">'Price_Technical Assumption'!K7</f>
        <v>7.66666666666667</v>
      </c>
      <c r="J6" s="429" t="n">
        <f aca="false">'Price_Technical Assumption'!L7</f>
        <v>8.66666666666667</v>
      </c>
      <c r="K6" s="429" t="n">
        <f aca="false">'Price_Technical Assumption'!M7</f>
        <v>9.66666666666667</v>
      </c>
      <c r="L6" s="429" t="n">
        <f aca="false">'Price_Technical Assumption'!N7</f>
        <v>10.6666666666667</v>
      </c>
      <c r="M6" s="429" t="n">
        <f aca="false">'Price_Technical Assumption'!O7</f>
        <v>11.6666666666667</v>
      </c>
      <c r="N6" s="429" t="n">
        <f aca="false">'Price_Technical Assumption'!P7</f>
        <v>12.6666666666667</v>
      </c>
      <c r="O6" s="429" t="n">
        <f aca="false">'Price_Technical Assumption'!Q7</f>
        <v>13.6666666666667</v>
      </c>
      <c r="P6" s="429" t="n">
        <f aca="false">'Price_Technical Assumption'!R7</f>
        <v>14.6666666666667</v>
      </c>
      <c r="Q6" s="429" t="n">
        <f aca="false">'Price_Technical Assumption'!S7</f>
        <v>15.6666666666667</v>
      </c>
      <c r="R6" s="429" t="n">
        <f aca="false">'Price_Technical Assumption'!T7</f>
        <v>16.6666666666667</v>
      </c>
      <c r="S6" s="429" t="n">
        <f aca="false">'Price_Technical Assumption'!U7</f>
        <v>17.6666666666667</v>
      </c>
      <c r="T6" s="429" t="n">
        <f aca="false">'Price_Technical Assumption'!V7</f>
        <v>18.6666666666667</v>
      </c>
      <c r="U6" s="429" t="n">
        <f aca="false">'Price_Technical Assumption'!W7</f>
        <v>19.6666666666667</v>
      </c>
      <c r="V6" s="429" t="n">
        <f aca="false">'Price_Technical Assumption'!X7</f>
        <v>20.6666666666667</v>
      </c>
      <c r="W6" s="429" t="n">
        <f aca="false">'Price_Technical Assumption'!Y7</f>
        <v>21.6666666666667</v>
      </c>
      <c r="X6" s="429" t="n">
        <f aca="false">'Price_Technical Assumption'!Z7</f>
        <v>22.6666666666667</v>
      </c>
      <c r="Y6" s="429" t="n">
        <f aca="false">'Price_Technical Assumption'!AA7</f>
        <v>23.6666666666667</v>
      </c>
      <c r="Z6" s="429" t="n">
        <f aca="false">'Price_Technical Assumption'!AB7</f>
        <v>24.6666666666667</v>
      </c>
      <c r="AA6" s="429" t="n">
        <f aca="false">'Price_Technical Assumption'!AC7</f>
        <v>25.6666666666667</v>
      </c>
      <c r="AB6" s="429" t="n">
        <f aca="false">'Price_Technical Assumption'!AD7</f>
        <v>26.6666666666667</v>
      </c>
      <c r="AC6" s="429" t="n">
        <f aca="false">'Price_Technical Assumption'!AE7</f>
        <v>27.6666666666667</v>
      </c>
      <c r="AD6" s="429" t="n">
        <f aca="false">'Price_Technical Assumption'!AF7</f>
        <v>28.6666666666667</v>
      </c>
      <c r="AE6" s="429" t="n">
        <f aca="false">'Price_Technical Assumption'!AG7</f>
        <v>29.6666666666667</v>
      </c>
      <c r="AF6" s="429" t="n">
        <f aca="false">'Price_Technical Assumption'!AH7</f>
        <v>30.6666666666667</v>
      </c>
    </row>
    <row r="7" customFormat="false" ht="13.5" hidden="false" customHeight="false" outlineLevel="0" collapsed="false">
      <c r="A7" s="269" t="s">
        <v>278</v>
      </c>
      <c r="B7" s="270" t="n">
        <f aca="false">'Price_Technical Assumption'!D8</f>
        <v>2001</v>
      </c>
      <c r="C7" s="270" t="n">
        <f aca="false">'Price_Technical Assumption'!E8</f>
        <v>2002</v>
      </c>
      <c r="D7" s="270" t="n">
        <f aca="false">'Price_Technical Assumption'!F8</f>
        <v>2003</v>
      </c>
      <c r="E7" s="270" t="n">
        <f aca="false">'Price_Technical Assumption'!G8</f>
        <v>2004</v>
      </c>
      <c r="F7" s="270" t="n">
        <f aca="false">'Price_Technical Assumption'!H8</f>
        <v>2005</v>
      </c>
      <c r="G7" s="270" t="n">
        <f aca="false">'Price_Technical Assumption'!I8</f>
        <v>2006</v>
      </c>
      <c r="H7" s="270" t="n">
        <f aca="false">'Price_Technical Assumption'!J8</f>
        <v>2007</v>
      </c>
      <c r="I7" s="270" t="n">
        <f aca="false">'Price_Technical Assumption'!K8</f>
        <v>2008</v>
      </c>
      <c r="J7" s="270" t="n">
        <f aca="false">'Price_Technical Assumption'!L8</f>
        <v>2009</v>
      </c>
      <c r="K7" s="270" t="n">
        <f aca="false">'Price_Technical Assumption'!M8</f>
        <v>2010</v>
      </c>
      <c r="L7" s="270" t="n">
        <f aca="false">'Price_Technical Assumption'!N8</f>
        <v>2011</v>
      </c>
      <c r="M7" s="270" t="n">
        <f aca="false">'Price_Technical Assumption'!O8</f>
        <v>2012</v>
      </c>
      <c r="N7" s="270" t="n">
        <f aca="false">'Price_Technical Assumption'!P8</f>
        <v>2013</v>
      </c>
      <c r="O7" s="270" t="n">
        <f aca="false">'Price_Technical Assumption'!Q8</f>
        <v>2014</v>
      </c>
      <c r="P7" s="270" t="n">
        <f aca="false">'Price_Technical Assumption'!R8</f>
        <v>2015</v>
      </c>
      <c r="Q7" s="270" t="n">
        <f aca="false">'Price_Technical Assumption'!S8</f>
        <v>2016</v>
      </c>
      <c r="R7" s="270" t="n">
        <f aca="false">'Price_Technical Assumption'!T8</f>
        <v>2017</v>
      </c>
      <c r="S7" s="270" t="n">
        <f aca="false">'Price_Technical Assumption'!U8</f>
        <v>2018</v>
      </c>
      <c r="T7" s="270" t="n">
        <f aca="false">'Price_Technical Assumption'!V8</f>
        <v>2019</v>
      </c>
      <c r="U7" s="270" t="n">
        <f aca="false">'Price_Technical Assumption'!W8</f>
        <v>2020</v>
      </c>
      <c r="V7" s="270" t="n">
        <f aca="false">'Price_Technical Assumption'!X8</f>
        <v>2021</v>
      </c>
      <c r="W7" s="270" t="n">
        <f aca="false">'Price_Technical Assumption'!Y8</f>
        <v>2022</v>
      </c>
      <c r="X7" s="270" t="n">
        <f aca="false">'Price_Technical Assumption'!Z8</f>
        <v>2023</v>
      </c>
      <c r="Y7" s="270" t="n">
        <f aca="false">'Price_Technical Assumption'!AA8</f>
        <v>2024</v>
      </c>
      <c r="Z7" s="270" t="n">
        <f aca="false">'Price_Technical Assumption'!AB8</f>
        <v>2025</v>
      </c>
      <c r="AA7" s="270" t="n">
        <f aca="false">'Price_Technical Assumption'!AC8</f>
        <v>2026</v>
      </c>
      <c r="AB7" s="270" t="n">
        <f aca="false">'Price_Technical Assumption'!AD8</f>
        <v>2027</v>
      </c>
      <c r="AC7" s="270" t="n">
        <f aca="false">'Price_Technical Assumption'!AE8</f>
        <v>2028</v>
      </c>
      <c r="AD7" s="270" t="n">
        <f aca="false">'Price_Technical Assumption'!AF8</f>
        <v>2029</v>
      </c>
      <c r="AE7" s="270" t="n">
        <f aca="false">'Price_Technical Assumption'!AG8</f>
        <v>2030</v>
      </c>
      <c r="AF7" s="270" t="n">
        <f aca="false">'Price_Technical Assumption'!AH8</f>
        <v>2031</v>
      </c>
    </row>
    <row r="8" customFormat="false" ht="12.75" hidden="false" customHeight="false" outlineLevel="0" collapsed="false">
      <c r="A8" s="305"/>
      <c r="B8" s="391" t="n">
        <f aca="false">Depreciation!D8</f>
        <v>37256</v>
      </c>
      <c r="C8" s="391" t="n">
        <f aca="false">Depreciation!E8</f>
        <v>37621</v>
      </c>
      <c r="D8" s="391" t="n">
        <f aca="false">Depreciation!F8</f>
        <v>37986</v>
      </c>
      <c r="E8" s="391" t="n">
        <f aca="false">Depreciation!G8</f>
        <v>38352</v>
      </c>
      <c r="F8" s="391" t="n">
        <f aca="false">Depreciation!H8</f>
        <v>38717</v>
      </c>
      <c r="G8" s="391" t="n">
        <f aca="false">Depreciation!I8</f>
        <v>39082</v>
      </c>
      <c r="H8" s="391" t="n">
        <f aca="false">Depreciation!J8</f>
        <v>39447</v>
      </c>
      <c r="I8" s="391" t="n">
        <f aca="false">Depreciation!K8</f>
        <v>39813</v>
      </c>
      <c r="J8" s="391" t="n">
        <f aca="false">Depreciation!L8</f>
        <v>40178</v>
      </c>
      <c r="K8" s="391" t="n">
        <f aca="false">Depreciation!M8</f>
        <v>40543</v>
      </c>
      <c r="L8" s="391" t="n">
        <f aca="false">Depreciation!N8</f>
        <v>40908</v>
      </c>
      <c r="M8" s="391" t="n">
        <f aca="false">Depreciation!O8</f>
        <v>41274</v>
      </c>
      <c r="N8" s="391" t="n">
        <f aca="false">Depreciation!P8</f>
        <v>41639</v>
      </c>
      <c r="O8" s="391" t="n">
        <f aca="false">Depreciation!Q8</f>
        <v>42004</v>
      </c>
      <c r="P8" s="391" t="n">
        <f aca="false">Depreciation!R8</f>
        <v>42369</v>
      </c>
      <c r="Q8" s="391" t="n">
        <f aca="false">Depreciation!S8</f>
        <v>42735</v>
      </c>
      <c r="R8" s="391" t="n">
        <f aca="false">Depreciation!T8</f>
        <v>43100</v>
      </c>
      <c r="S8" s="391" t="n">
        <f aca="false">Depreciation!U8</f>
        <v>43465</v>
      </c>
      <c r="T8" s="391" t="n">
        <f aca="false">Depreciation!V8</f>
        <v>43830</v>
      </c>
      <c r="U8" s="391" t="n">
        <f aca="false">Depreciation!W8</f>
        <v>44196</v>
      </c>
      <c r="V8" s="391" t="n">
        <f aca="false">Depreciation!X8</f>
        <v>44561</v>
      </c>
      <c r="W8" s="391" t="n">
        <f aca="false">Depreciation!Y8</f>
        <v>44926</v>
      </c>
      <c r="X8" s="391" t="n">
        <f aca="false">Depreciation!Z8</f>
        <v>45291</v>
      </c>
      <c r="Y8" s="391" t="n">
        <f aca="false">Depreciation!AA8</f>
        <v>45657</v>
      </c>
      <c r="Z8" s="391" t="n">
        <f aca="false">Depreciation!AB8</f>
        <v>46022</v>
      </c>
      <c r="AA8" s="391" t="n">
        <f aca="false">Depreciation!AC8</f>
        <v>46387</v>
      </c>
      <c r="AB8" s="391" t="n">
        <f aca="false">Depreciation!AD8</f>
        <v>46752</v>
      </c>
      <c r="AC8" s="391" t="n">
        <f aca="false">Depreciation!AE8</f>
        <v>47118</v>
      </c>
      <c r="AD8" s="391" t="n">
        <f aca="false">Depreciation!AF8</f>
        <v>47483</v>
      </c>
      <c r="AE8" s="391" t="n">
        <f aca="false">Depreciation!AG8</f>
        <v>47848</v>
      </c>
      <c r="AF8" s="391" t="n">
        <f aca="false">Depreciation!AH8</f>
        <v>48213</v>
      </c>
    </row>
    <row r="9" customFormat="false" ht="12.75" hidden="false" customHeight="false" outlineLevel="0" collapsed="false">
      <c r="A9" s="430" t="s">
        <v>386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399" t="s">
        <v>387</v>
      </c>
      <c r="B10" s="185" t="n">
        <f aca="false">IS!C40</f>
        <v>-1001.21756439687</v>
      </c>
      <c r="C10" s="185" t="n">
        <f aca="false">IS!D40</f>
        <v>-1356.21673665205</v>
      </c>
      <c r="D10" s="185" t="n">
        <f aca="false">IS!E40</f>
        <v>-1418.80142312519</v>
      </c>
      <c r="E10" s="185" t="n">
        <f aca="false">IS!F40</f>
        <v>-815.54688282284</v>
      </c>
      <c r="F10" s="185" t="n">
        <f aca="false">IS!G40</f>
        <v>-527.229422863342</v>
      </c>
      <c r="G10" s="185" t="n">
        <f aca="false">IS!H40</f>
        <v>-196.088753721099</v>
      </c>
      <c r="H10" s="185" t="n">
        <f aca="false">IS!I40</f>
        <v>-13.415658313858</v>
      </c>
      <c r="I10" s="185" t="n">
        <f aca="false">IS!J40</f>
        <v>18.6244800944473</v>
      </c>
      <c r="J10" s="185" t="n">
        <f aca="false">IS!K40</f>
        <v>115.298700220355</v>
      </c>
      <c r="K10" s="185" t="n">
        <f aca="false">IS!L40</f>
        <v>154.852858552577</v>
      </c>
      <c r="L10" s="185" t="n">
        <f aca="false">IS!M40</f>
        <v>263.69895486745</v>
      </c>
      <c r="M10" s="185" t="n">
        <f aca="false">IS!N40</f>
        <v>312.505103877943</v>
      </c>
      <c r="N10" s="185" t="n">
        <f aca="false">IS!O40</f>
        <v>435.604472218906</v>
      </c>
      <c r="O10" s="185" t="n">
        <f aca="false">IS!P40</f>
        <v>495.572152225887</v>
      </c>
      <c r="P10" s="185" t="n">
        <f aca="false">IS!Q40</f>
        <v>559.00116185057</v>
      </c>
      <c r="Q10" s="185" t="n">
        <f aca="false">IS!R40</f>
        <v>625.393059565658</v>
      </c>
      <c r="R10" s="185" t="n">
        <f aca="false">IS!S40</f>
        <v>695.294307445685</v>
      </c>
      <c r="S10" s="185" t="n">
        <f aca="false">IS!T40</f>
        <v>768.443593611552</v>
      </c>
      <c r="T10" s="185" t="n">
        <f aca="false">IS!U40</f>
        <v>845.240524826884</v>
      </c>
      <c r="U10" s="185" t="n">
        <f aca="false">IS!V40</f>
        <v>924.545947574971</v>
      </c>
      <c r="V10" s="185" t="n">
        <f aca="false">IS!W40</f>
        <v>-1714.48935045591</v>
      </c>
      <c r="W10" s="185" t="n">
        <f aca="false">IS!X40</f>
        <v>-3173.49129238671</v>
      </c>
      <c r="X10" s="185" t="n">
        <f aca="false">IS!Y40</f>
        <v>-3380.59701329302</v>
      </c>
      <c r="Y10" s="185" t="n">
        <f aca="false">IS!Z40</f>
        <v>-3616.37593892577</v>
      </c>
      <c r="Z10" s="185" t="n">
        <f aca="false">IS!AA40</f>
        <v>-3872.98034236579</v>
      </c>
      <c r="AA10" s="185" t="n">
        <f aca="false">IS!AB40</f>
        <v>-4151.50729711392</v>
      </c>
      <c r="AB10" s="185" t="n">
        <f aca="false">IS!AC40</f>
        <v>-4454.16687630636</v>
      </c>
      <c r="AC10" s="185" t="n">
        <f aca="false">IS!AD40</f>
        <v>-4782.75439779306</v>
      </c>
      <c r="AD10" s="185" t="n">
        <f aca="false">IS!AE40</f>
        <v>-5140.1357105877</v>
      </c>
      <c r="AE10" s="185" t="n">
        <f aca="false">IS!AF40</f>
        <v>-5527.93003605299</v>
      </c>
      <c r="AF10" s="185" t="n">
        <f aca="false">IS!AG40</f>
        <v>-5466.37646272778</v>
      </c>
    </row>
    <row r="11" customFormat="false" ht="12.75" hidden="false" customHeight="false" outlineLevel="0" collapsed="false">
      <c r="A11" s="399" t="s">
        <v>388</v>
      </c>
      <c r="B11" s="185" t="n">
        <f aca="false">IS!C34</f>
        <v>844.189279400936</v>
      </c>
      <c r="C11" s="185" t="n">
        <f aca="false">IS!D34</f>
        <v>1266.2839191014</v>
      </c>
      <c r="D11" s="185" t="n">
        <f aca="false">IS!E34</f>
        <v>1266.2839191014</v>
      </c>
      <c r="E11" s="185" t="n">
        <f aca="false">IS!F34</f>
        <v>1266.2839191014</v>
      </c>
      <c r="F11" s="185" t="n">
        <f aca="false">IS!G34</f>
        <v>1266.2839191014</v>
      </c>
      <c r="G11" s="185" t="n">
        <f aca="false">IS!H34</f>
        <v>963.347652434737</v>
      </c>
      <c r="H11" s="185" t="n">
        <f aca="false">IS!I34</f>
        <v>811.879519101404</v>
      </c>
      <c r="I11" s="185" t="n">
        <f aca="false">IS!J34</f>
        <v>811.879519101404</v>
      </c>
      <c r="J11" s="185" t="n">
        <f aca="false">IS!K34</f>
        <v>811.879519101404</v>
      </c>
      <c r="K11" s="185" t="n">
        <f aca="false">IS!L34</f>
        <v>811.879519101404</v>
      </c>
      <c r="L11" s="185" t="n">
        <f aca="false">IS!M34</f>
        <v>811.879519101404</v>
      </c>
      <c r="M11" s="185" t="n">
        <f aca="false">IS!N34</f>
        <v>811.879519101404</v>
      </c>
      <c r="N11" s="185" t="n">
        <f aca="false">IS!O34</f>
        <v>811.879519101404</v>
      </c>
      <c r="O11" s="185" t="n">
        <f aca="false">IS!P34</f>
        <v>811.879519101404</v>
      </c>
      <c r="P11" s="185" t="n">
        <f aca="false">IS!Q34</f>
        <v>811.879519101404</v>
      </c>
      <c r="Q11" s="185" t="n">
        <f aca="false">IS!R34</f>
        <v>811.879519101404</v>
      </c>
      <c r="R11" s="185" t="n">
        <f aca="false">IS!S34</f>
        <v>811.879519101404</v>
      </c>
      <c r="S11" s="185" t="n">
        <f aca="false">IS!T34</f>
        <v>811.879519101404</v>
      </c>
      <c r="T11" s="185" t="n">
        <f aca="false">IS!U34</f>
        <v>811.879519101404</v>
      </c>
      <c r="U11" s="185" t="n">
        <f aca="false">IS!V34</f>
        <v>811.879519101404</v>
      </c>
      <c r="V11" s="185" t="n">
        <f aca="false">IS!W34</f>
        <v>811.879519101404</v>
      </c>
      <c r="W11" s="185" t="n">
        <f aca="false">IS!X34</f>
        <v>811.879519101404</v>
      </c>
      <c r="X11" s="185" t="n">
        <f aca="false">IS!Y34</f>
        <v>811.879519101404</v>
      </c>
      <c r="Y11" s="185" t="n">
        <f aca="false">IS!Z34</f>
        <v>811.879519101404</v>
      </c>
      <c r="Z11" s="185" t="n">
        <f aca="false">IS!AA34</f>
        <v>811.879519101404</v>
      </c>
      <c r="AA11" s="185" t="n">
        <f aca="false">IS!AB34</f>
        <v>811.879519101404</v>
      </c>
      <c r="AB11" s="185" t="n">
        <f aca="false">IS!AC34</f>
        <v>811.879519101404</v>
      </c>
      <c r="AC11" s="185" t="n">
        <f aca="false">IS!AD34</f>
        <v>811.879519101404</v>
      </c>
      <c r="AD11" s="185" t="n">
        <f aca="false">IS!AE34</f>
        <v>811.879519101404</v>
      </c>
      <c r="AE11" s="185" t="n">
        <f aca="false">IS!AF34</f>
        <v>811.879519101404</v>
      </c>
      <c r="AF11" s="185" t="n">
        <f aca="false">IS!AG34</f>
        <v>270.626506367135</v>
      </c>
    </row>
    <row r="12" customFormat="false" ht="15" hidden="false" customHeight="false" outlineLevel="0" collapsed="false">
      <c r="A12" s="399" t="s">
        <v>389</v>
      </c>
      <c r="B12" s="302" t="n">
        <f aca="false">-Depreciation!D34</f>
        <v>-1656.06879850234</v>
      </c>
      <c r="C12" s="302" t="n">
        <f aca="false">-Depreciation!E34</f>
        <v>-3025.35621048778</v>
      </c>
      <c r="D12" s="302" t="n">
        <f aca="false">-Depreciation!F34</f>
        <v>-2768.261029439</v>
      </c>
      <c r="E12" s="302" t="n">
        <f aca="false">-Depreciation!G34</f>
        <v>-2538.22849902694</v>
      </c>
      <c r="F12" s="302" t="n">
        <f aca="false">-Depreciation!H34</f>
        <v>-2329.84608912424</v>
      </c>
      <c r="G12" s="302" t="n">
        <f aca="false">-Depreciation!I34</f>
        <v>-1837.47126800058</v>
      </c>
      <c r="H12" s="302" t="n">
        <f aca="false">-Depreciation!J34</f>
        <v>-1596.69638756609</v>
      </c>
      <c r="I12" s="302" t="n">
        <f aca="false">-Depreciation!K34</f>
        <v>-1599.40265262977</v>
      </c>
      <c r="J12" s="302" t="n">
        <f aca="false">-Depreciation!L34</f>
        <v>-1596.69638756609</v>
      </c>
      <c r="K12" s="302" t="n">
        <f aca="false">-Depreciation!M34</f>
        <v>-1599.40265262977</v>
      </c>
      <c r="L12" s="302" t="n">
        <f aca="false">-Depreciation!N34</f>
        <v>-1596.69638756609</v>
      </c>
      <c r="M12" s="302" t="n">
        <f aca="false">-Depreciation!O34</f>
        <v>-1599.40265262977</v>
      </c>
      <c r="N12" s="302" t="n">
        <f aca="false">-Depreciation!P34</f>
        <v>-1596.69638756609</v>
      </c>
      <c r="O12" s="302" t="n">
        <f aca="false">-Depreciation!Q34</f>
        <v>-1599.40265262977</v>
      </c>
      <c r="P12" s="302" t="n">
        <f aca="false">-Depreciation!R34</f>
        <v>-1596.69638756609</v>
      </c>
      <c r="Q12" s="302" t="n">
        <f aca="false">-Depreciation!S34</f>
        <v>-798.348193783047</v>
      </c>
      <c r="R12" s="302" t="n">
        <f aca="false">-Depreciation!T34</f>
        <v>-0</v>
      </c>
      <c r="S12" s="302" t="n">
        <f aca="false">-Depreciation!U34</f>
        <v>-0</v>
      </c>
      <c r="T12" s="302" t="n">
        <f aca="false">-Depreciation!V34</f>
        <v>-0</v>
      </c>
      <c r="U12" s="302" t="n">
        <f aca="false">-Depreciation!W34</f>
        <v>-0</v>
      </c>
      <c r="V12" s="302" t="n">
        <f aca="false">-Depreciation!X34</f>
        <v>-0</v>
      </c>
      <c r="W12" s="302" t="n">
        <f aca="false">-Depreciation!Y34</f>
        <v>-0</v>
      </c>
      <c r="X12" s="302" t="n">
        <f aca="false">-Depreciation!Z34</f>
        <v>-0</v>
      </c>
      <c r="Y12" s="302" t="n">
        <f aca="false">-Depreciation!AA34</f>
        <v>-0</v>
      </c>
      <c r="Z12" s="302" t="n">
        <f aca="false">-Depreciation!AB34</f>
        <v>-0</v>
      </c>
      <c r="AA12" s="302" t="n">
        <f aca="false">-Depreciation!AC34</f>
        <v>-0</v>
      </c>
      <c r="AB12" s="302" t="n">
        <f aca="false">-Depreciation!AD34</f>
        <v>-0</v>
      </c>
      <c r="AC12" s="302" t="n">
        <f aca="false">-Depreciation!AE34</f>
        <v>-0</v>
      </c>
      <c r="AD12" s="302" t="n">
        <f aca="false">-Depreciation!AF34</f>
        <v>-0</v>
      </c>
      <c r="AE12" s="302" t="n">
        <f aca="false">-Depreciation!AG34</f>
        <v>-0</v>
      </c>
      <c r="AF12" s="302" t="n">
        <f aca="false">-Depreciation!AH34</f>
        <v>-0</v>
      </c>
    </row>
    <row r="13" customFormat="false" ht="12.75" hidden="false" customHeight="false" outlineLevel="0" collapsed="false">
      <c r="A13" s="431" t="s">
        <v>390</v>
      </c>
      <c r="B13" s="185" t="n">
        <f aca="false">SUM(B10:B12)</f>
        <v>-1813.09708349827</v>
      </c>
      <c r="C13" s="185" t="n">
        <f aca="false">SUM(C10:C12)</f>
        <v>-3115.28902803843</v>
      </c>
      <c r="D13" s="185" t="n">
        <f aca="false">SUM(D10:D12)</f>
        <v>-2920.77853346278</v>
      </c>
      <c r="E13" s="185" t="n">
        <f aca="false">SUM(E10:E12)</f>
        <v>-2087.49146274837</v>
      </c>
      <c r="F13" s="185" t="n">
        <f aca="false">SUM(F10:F12)</f>
        <v>-1590.79159288618</v>
      </c>
      <c r="G13" s="185" t="n">
        <f aca="false">SUM(G10:G12)</f>
        <v>-1070.21236928694</v>
      </c>
      <c r="H13" s="185" t="n">
        <f aca="false">SUM(H10:H12)</f>
        <v>-798.232526778548</v>
      </c>
      <c r="I13" s="185" t="n">
        <f aca="false">SUM(I10:I12)</f>
        <v>-768.898653433914</v>
      </c>
      <c r="J13" s="185" t="n">
        <f aca="false">SUM(J10:J12)</f>
        <v>-669.518168244335</v>
      </c>
      <c r="K13" s="185" t="n">
        <f aca="false">SUM(K10:K12)</f>
        <v>-632.670274975784</v>
      </c>
      <c r="L13" s="185" t="n">
        <f aca="false">SUM(L10:L12)</f>
        <v>-521.11791359724</v>
      </c>
      <c r="M13" s="185" t="n">
        <f aca="false">SUM(M10:M12)</f>
        <v>-475.018029650419</v>
      </c>
      <c r="N13" s="185" t="n">
        <f aca="false">SUM(N10:N12)</f>
        <v>-349.212396245784</v>
      </c>
      <c r="O13" s="185" t="n">
        <f aca="false">SUM(O10:O12)</f>
        <v>-291.950981302474</v>
      </c>
      <c r="P13" s="185" t="n">
        <f aca="false">SUM(P10:P12)</f>
        <v>-225.81570661412</v>
      </c>
      <c r="Q13" s="185" t="n">
        <f aca="false">SUM(Q10:Q12)</f>
        <v>638.924384884014</v>
      </c>
      <c r="R13" s="185" t="n">
        <f aca="false">SUM(R10:R12)</f>
        <v>1507.17382654709</v>
      </c>
      <c r="S13" s="185" t="n">
        <f aca="false">SUM(S10:S12)</f>
        <v>1580.32311271296</v>
      </c>
      <c r="T13" s="185" t="n">
        <f aca="false">SUM(T10:T12)</f>
        <v>1657.12004392829</v>
      </c>
      <c r="U13" s="185" t="n">
        <f aca="false">SUM(U10:U12)</f>
        <v>1736.42546667637</v>
      </c>
      <c r="V13" s="185" t="n">
        <f aca="false">SUM(V10:V12)</f>
        <v>-902.609831354506</v>
      </c>
      <c r="W13" s="185" t="n">
        <f aca="false">SUM(W10:W12)</f>
        <v>-2361.61177328531</v>
      </c>
      <c r="X13" s="185" t="n">
        <f aca="false">SUM(X10:X12)</f>
        <v>-2568.71749419162</v>
      </c>
      <c r="Y13" s="185" t="n">
        <f aca="false">SUM(Y10:Y12)</f>
        <v>-2804.49641982436</v>
      </c>
      <c r="Z13" s="185" t="n">
        <f aca="false">SUM(Z10:Z12)</f>
        <v>-3061.10082326439</v>
      </c>
      <c r="AA13" s="185" t="n">
        <f aca="false">SUM(AA10:AA12)</f>
        <v>-3339.62777801252</v>
      </c>
      <c r="AB13" s="185" t="n">
        <f aca="false">SUM(AB10:AB12)</f>
        <v>-3642.28735720496</v>
      </c>
      <c r="AC13" s="185" t="n">
        <f aca="false">SUM(AC10:AC12)</f>
        <v>-3970.87487869165</v>
      </c>
      <c r="AD13" s="185" t="n">
        <f aca="false">SUM(AD10:AD12)</f>
        <v>-4328.25619148629</v>
      </c>
      <c r="AE13" s="185" t="n">
        <f aca="false">SUM(AE10:AE12)</f>
        <v>-4716.05051695158</v>
      </c>
      <c r="AF13" s="185" t="n">
        <f aca="false">SUM(AF10:AF12)</f>
        <v>-5195.74995636064</v>
      </c>
    </row>
    <row r="14" customFormat="false" ht="12.75" hidden="false" customHeight="false" outlineLevel="0" collapsed="false">
      <c r="A14" s="399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</row>
    <row r="15" customFormat="false" ht="12.75" hidden="false" customHeight="false" outlineLevel="0" collapsed="false">
      <c r="A15" s="399" t="s">
        <v>391</v>
      </c>
      <c r="B15" s="432" t="n">
        <f aca="false">Assumptions!$N$51</f>
        <v>0.07</v>
      </c>
      <c r="C15" s="432" t="n">
        <f aca="false">Assumptions!$N$51</f>
        <v>0.07</v>
      </c>
      <c r="D15" s="432" t="n">
        <f aca="false">Assumptions!$N$51</f>
        <v>0.07</v>
      </c>
      <c r="E15" s="432" t="n">
        <f aca="false">Assumptions!$N$51</f>
        <v>0.07</v>
      </c>
      <c r="F15" s="432" t="n">
        <f aca="false">Assumptions!$N$51</f>
        <v>0.07</v>
      </c>
      <c r="G15" s="432" t="n">
        <f aca="false">Assumptions!$N$51</f>
        <v>0.07</v>
      </c>
      <c r="H15" s="432" t="n">
        <f aca="false">Assumptions!$N$51</f>
        <v>0.07</v>
      </c>
      <c r="I15" s="432" t="n">
        <f aca="false">Assumptions!$N$51</f>
        <v>0.07</v>
      </c>
      <c r="J15" s="432" t="n">
        <f aca="false">Assumptions!$N$51</f>
        <v>0.07</v>
      </c>
      <c r="K15" s="432" t="n">
        <f aca="false">Assumptions!$N$51</f>
        <v>0.07</v>
      </c>
      <c r="L15" s="432" t="n">
        <f aca="false">Assumptions!$N$51</f>
        <v>0.07</v>
      </c>
      <c r="M15" s="432" t="n">
        <f aca="false">Assumptions!$N$51</f>
        <v>0.07</v>
      </c>
      <c r="N15" s="432" t="n">
        <f aca="false">Assumptions!$N$51</f>
        <v>0.07</v>
      </c>
      <c r="O15" s="432" t="n">
        <f aca="false">Assumptions!$N$51</f>
        <v>0.07</v>
      </c>
      <c r="P15" s="432" t="n">
        <f aca="false">Assumptions!$N$51</f>
        <v>0.07</v>
      </c>
      <c r="Q15" s="432" t="n">
        <f aca="false">Assumptions!$N$51</f>
        <v>0.07</v>
      </c>
      <c r="R15" s="432" t="n">
        <f aca="false">Assumptions!$N$51</f>
        <v>0.07</v>
      </c>
      <c r="S15" s="432" t="n">
        <f aca="false">Assumptions!$N$51</f>
        <v>0.07</v>
      </c>
      <c r="T15" s="432" t="n">
        <f aca="false">Assumptions!$N$51</f>
        <v>0.07</v>
      </c>
      <c r="U15" s="432" t="n">
        <f aca="false">Assumptions!$N$51</f>
        <v>0.07</v>
      </c>
      <c r="V15" s="432" t="n">
        <f aca="false">Assumptions!$N$51</f>
        <v>0.07</v>
      </c>
      <c r="W15" s="432" t="n">
        <f aca="false">Assumptions!$N$51</f>
        <v>0.07</v>
      </c>
      <c r="X15" s="432" t="n">
        <f aca="false">Assumptions!$N$51</f>
        <v>0.07</v>
      </c>
      <c r="Y15" s="432" t="n">
        <f aca="false">Assumptions!$N$51</f>
        <v>0.07</v>
      </c>
      <c r="Z15" s="432" t="n">
        <f aca="false">Assumptions!$N$51</f>
        <v>0.07</v>
      </c>
      <c r="AA15" s="432" t="n">
        <f aca="false">Assumptions!$N$51</f>
        <v>0.07</v>
      </c>
      <c r="AB15" s="432" t="n">
        <f aca="false">Assumptions!$N$51</f>
        <v>0.07</v>
      </c>
      <c r="AC15" s="432" t="n">
        <f aca="false">Assumptions!$N$51</f>
        <v>0.07</v>
      </c>
      <c r="AD15" s="432" t="n">
        <f aca="false">Assumptions!$N$51</f>
        <v>0.07</v>
      </c>
      <c r="AE15" s="432" t="n">
        <f aca="false">Assumptions!$N$51</f>
        <v>0.07</v>
      </c>
      <c r="AF15" s="432" t="n">
        <f aca="false">Assumptions!$N$51</f>
        <v>0.07</v>
      </c>
    </row>
    <row r="16" customFormat="false" ht="12.75" hidden="false" customHeight="false" outlineLevel="0" collapsed="false">
      <c r="A16" s="399" t="s">
        <v>392</v>
      </c>
      <c r="B16" s="185" t="n">
        <f aca="false">B13*B15</f>
        <v>-126.916795844879</v>
      </c>
      <c r="C16" s="185" t="n">
        <f aca="false">C13*C15</f>
        <v>-218.07023196269</v>
      </c>
      <c r="D16" s="185" t="n">
        <f aca="false">D13*D15</f>
        <v>-204.454497342395</v>
      </c>
      <c r="E16" s="185" t="n">
        <f aca="false">E13*E15</f>
        <v>-146.124402392386</v>
      </c>
      <c r="F16" s="185" t="n">
        <f aca="false">F13*F15</f>
        <v>-111.355411502033</v>
      </c>
      <c r="G16" s="185" t="n">
        <f aca="false">G13*G15</f>
        <v>-74.9148658500861</v>
      </c>
      <c r="H16" s="185" t="n">
        <f aca="false">H13*H15</f>
        <v>-55.8762768744984</v>
      </c>
      <c r="I16" s="185" t="n">
        <f aca="false">I13*I15</f>
        <v>-53.822905740374</v>
      </c>
      <c r="J16" s="185" t="n">
        <f aca="false">J13*J15</f>
        <v>-46.8662717771035</v>
      </c>
      <c r="K16" s="185" t="n">
        <f aca="false">K13*K15</f>
        <v>-44.2869192483049</v>
      </c>
      <c r="L16" s="185" t="n">
        <f aca="false">L13*L15</f>
        <v>-36.4782539518068</v>
      </c>
      <c r="M16" s="185" t="n">
        <f aca="false">M13*M15</f>
        <v>-33.2512620755293</v>
      </c>
      <c r="N16" s="185" t="n">
        <f aca="false">N13*N15</f>
        <v>-24.4448677372049</v>
      </c>
      <c r="O16" s="185" t="n">
        <f aca="false">O13*O15</f>
        <v>-20.4365686911732</v>
      </c>
      <c r="P16" s="185" t="n">
        <f aca="false">P13*P15</f>
        <v>-15.8070994629884</v>
      </c>
      <c r="Q16" s="185" t="n">
        <f aca="false">Q13*Q15</f>
        <v>44.724706941881</v>
      </c>
      <c r="R16" s="185" t="n">
        <f aca="false">R13*R15</f>
        <v>105.502167858296</v>
      </c>
      <c r="S16" s="185" t="n">
        <f aca="false">S13*S15</f>
        <v>110.622617889907</v>
      </c>
      <c r="T16" s="185" t="n">
        <f aca="false">T13*T15</f>
        <v>115.99840307498</v>
      </c>
      <c r="U16" s="185" t="n">
        <f aca="false">U13*U15</f>
        <v>121.549782667346</v>
      </c>
      <c r="V16" s="185" t="n">
        <f aca="false">V13*V15</f>
        <v>-63.1826881948154</v>
      </c>
      <c r="W16" s="185" t="n">
        <f aca="false">W13*W15</f>
        <v>-165.312824129971</v>
      </c>
      <c r="X16" s="185" t="n">
        <f aca="false">X13*X15</f>
        <v>-179.810224593413</v>
      </c>
      <c r="Y16" s="185" t="n">
        <f aca="false">Y13*Y15</f>
        <v>-196.314749387705</v>
      </c>
      <c r="Z16" s="185" t="n">
        <f aca="false">Z13*Z15</f>
        <v>-214.277057628507</v>
      </c>
      <c r="AA16" s="185" t="n">
        <f aca="false">AA13*AA15</f>
        <v>-233.773944460876</v>
      </c>
      <c r="AB16" s="185" t="n">
        <f aca="false">AB13*AB15</f>
        <v>-254.960115004347</v>
      </c>
      <c r="AC16" s="185" t="n">
        <f aca="false">AC13*AC15</f>
        <v>-277.961241508416</v>
      </c>
      <c r="AD16" s="185" t="n">
        <f aca="false">AD13*AD15</f>
        <v>-302.977933404041</v>
      </c>
      <c r="AE16" s="185" t="n">
        <f aca="false">AE13*AE15</f>
        <v>-330.123536186611</v>
      </c>
      <c r="AF16" s="185" t="n">
        <f aca="false">AF13*AF15</f>
        <v>-363.702496945245</v>
      </c>
    </row>
    <row r="17" customFormat="false" ht="12.75" hidden="false" customHeight="false" outlineLevel="0" collapsed="false">
      <c r="A17" s="399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</row>
    <row r="18" customFormat="false" ht="12.75" hidden="false" customHeight="false" outlineLevel="0" collapsed="false">
      <c r="A18" s="399" t="s">
        <v>393</v>
      </c>
      <c r="B18" s="185" t="n">
        <v>0</v>
      </c>
      <c r="C18" s="185" t="n">
        <f aca="false">B22</f>
        <v>126.916795844879</v>
      </c>
      <c r="D18" s="185" t="n">
        <f aca="false">C22</f>
        <v>344.987027807569</v>
      </c>
      <c r="E18" s="185" t="n">
        <f aca="false">D22</f>
        <v>549.441525149964</v>
      </c>
      <c r="F18" s="185" t="n">
        <f aca="false">E22</f>
        <v>695.56592754235</v>
      </c>
      <c r="G18" s="185" t="n">
        <f aca="false">F22</f>
        <v>806.921339044382</v>
      </c>
      <c r="H18" s="185" t="n">
        <f aca="false">G22</f>
        <v>881.836204894468</v>
      </c>
      <c r="I18" s="185" t="n">
        <f aca="false">H22</f>
        <v>937.712481768967</v>
      </c>
      <c r="J18" s="185" t="n">
        <f aca="false">I22</f>
        <v>991.535387509341</v>
      </c>
      <c r="K18" s="185" t="n">
        <f aca="false">J22</f>
        <v>911.484863441565</v>
      </c>
      <c r="L18" s="185" t="n">
        <f aca="false">K22</f>
        <v>864.618346572059</v>
      </c>
      <c r="M18" s="185" t="n">
        <f aca="false">L22</f>
        <v>901.096600523866</v>
      </c>
      <c r="N18" s="185" t="n">
        <f aca="false">M22</f>
        <v>934.347862599395</v>
      </c>
      <c r="O18" s="185" t="n">
        <f aca="false">N22</f>
        <v>958.7927303366</v>
      </c>
      <c r="P18" s="185" t="n">
        <f aca="false">O22</f>
        <v>979.229299027773</v>
      </c>
      <c r="Q18" s="185" t="n">
        <f aca="false">P22</f>
        <v>995.036398490762</v>
      </c>
      <c r="R18" s="185" t="n">
        <f aca="false">Q22</f>
        <v>950.311691548881</v>
      </c>
      <c r="S18" s="185" t="n">
        <f aca="false">R22</f>
        <v>844.809523690585</v>
      </c>
      <c r="T18" s="185" t="n">
        <v>0</v>
      </c>
      <c r="U18" s="185" t="n">
        <f aca="false">T22</f>
        <v>0</v>
      </c>
      <c r="V18" s="185" t="n">
        <f aca="false">U22</f>
        <v>0</v>
      </c>
      <c r="W18" s="185" t="n">
        <f aca="false">V22</f>
        <v>63.1826881948154</v>
      </c>
      <c r="X18" s="185" t="n">
        <f aca="false">W22</f>
        <v>228.495512324787</v>
      </c>
      <c r="Y18" s="185" t="n">
        <f aca="false">X22</f>
        <v>408.3057369182</v>
      </c>
      <c r="Z18" s="185" t="n">
        <f aca="false">Y22</f>
        <v>604.620486305906</v>
      </c>
      <c r="AA18" s="185" t="n">
        <f aca="false">Z22</f>
        <v>818.897543934413</v>
      </c>
      <c r="AB18" s="185" t="n">
        <f aca="false">AA22</f>
        <v>1052.67148839529</v>
      </c>
      <c r="AC18" s="185" t="n">
        <f aca="false">AB22</f>
        <v>1307.63160339964</v>
      </c>
      <c r="AD18" s="185" t="n">
        <f aca="false">AC22</f>
        <v>1585.59284490805</v>
      </c>
      <c r="AE18" s="185" t="n">
        <f aca="false">AD22</f>
        <v>1825.38809011728</v>
      </c>
      <c r="AF18" s="185" t="n">
        <f aca="false">AE22</f>
        <v>2053.38149036873</v>
      </c>
    </row>
    <row r="19" customFormat="false" ht="12.75" hidden="false" customHeight="false" outlineLevel="0" collapsed="false">
      <c r="A19" s="399" t="s">
        <v>394</v>
      </c>
      <c r="B19" s="185" t="n">
        <f aca="false">IF(B16&lt;0,-B16,0)</f>
        <v>126.916795844879</v>
      </c>
      <c r="C19" s="185" t="n">
        <f aca="false">IF(C16&lt;0,-C16,0)</f>
        <v>218.07023196269</v>
      </c>
      <c r="D19" s="185" t="n">
        <f aca="false">IF(D16&lt;0,-D16,0)</f>
        <v>204.454497342395</v>
      </c>
      <c r="E19" s="185" t="n">
        <f aca="false">IF(E16&lt;0,-E16,0)</f>
        <v>146.124402392386</v>
      </c>
      <c r="F19" s="185" t="n">
        <f aca="false">IF(F16&lt;0,-F16,0)</f>
        <v>111.355411502033</v>
      </c>
      <c r="G19" s="185" t="n">
        <f aca="false">IF(G16&lt;0,-G16,0)</f>
        <v>74.9148658500861</v>
      </c>
      <c r="H19" s="185" t="n">
        <f aca="false">IF(H16&lt;0,-H16,0)</f>
        <v>55.8762768744984</v>
      </c>
      <c r="I19" s="185" t="n">
        <f aca="false">IF(I16&lt;0,-I16,0)</f>
        <v>53.822905740374</v>
      </c>
      <c r="J19" s="185" t="n">
        <f aca="false">IF(J16&lt;0,-J16,0)</f>
        <v>46.8662717771035</v>
      </c>
      <c r="K19" s="185" t="n">
        <f aca="false">IF(K16&lt;0,-K16,0)</f>
        <v>44.2869192483049</v>
      </c>
      <c r="L19" s="185" t="n">
        <f aca="false">IF(L16&lt;0,-L16,0)</f>
        <v>36.4782539518068</v>
      </c>
      <c r="M19" s="185" t="n">
        <f aca="false">IF(M16&lt;0,-M16,0)</f>
        <v>33.2512620755293</v>
      </c>
      <c r="N19" s="185" t="n">
        <f aca="false">IF(N16&lt;0,-N16,0)</f>
        <v>24.4448677372049</v>
      </c>
      <c r="O19" s="185" t="n">
        <f aca="false">IF(O16&lt;0,-O16,0)</f>
        <v>20.4365686911732</v>
      </c>
      <c r="P19" s="185" t="n">
        <f aca="false">IF(P16&lt;0,-P16,0)</f>
        <v>15.8070994629884</v>
      </c>
      <c r="Q19" s="185" t="n">
        <f aca="false">IF(Q16&lt;0,-Q16,0)</f>
        <v>0</v>
      </c>
      <c r="R19" s="185" t="n">
        <f aca="false">IF(R16&lt;0,-R16,0)</f>
        <v>0</v>
      </c>
      <c r="S19" s="185" t="n">
        <f aca="false">IF(S16&lt;0,-S16,0)</f>
        <v>0</v>
      </c>
      <c r="T19" s="185" t="n">
        <f aca="false">IF(T16&lt;0,-T16,0)</f>
        <v>0</v>
      </c>
      <c r="U19" s="185" t="n">
        <f aca="false">IF(U16&lt;0,-U16,0)</f>
        <v>0</v>
      </c>
      <c r="V19" s="185" t="n">
        <f aca="false">IF(V16&lt;0,-V16,0)</f>
        <v>63.1826881948154</v>
      </c>
      <c r="W19" s="185" t="n">
        <f aca="false">IF(W16&lt;0,-W16,0)</f>
        <v>165.312824129971</v>
      </c>
      <c r="X19" s="185" t="n">
        <f aca="false">IF(X16&lt;0,-X16,0)</f>
        <v>179.810224593413</v>
      </c>
      <c r="Y19" s="185" t="n">
        <f aca="false">IF(Y16&lt;0,-Y16,0)</f>
        <v>196.314749387705</v>
      </c>
      <c r="Z19" s="185" t="n">
        <f aca="false">IF(Z16&lt;0,-Z16,0)</f>
        <v>214.277057628507</v>
      </c>
      <c r="AA19" s="185" t="n">
        <f aca="false">IF(AA16&lt;0,-AA16,0)</f>
        <v>233.773944460876</v>
      </c>
      <c r="AB19" s="185" t="n">
        <f aca="false">IF(AB16&lt;0,-AB16,0)</f>
        <v>254.960115004347</v>
      </c>
      <c r="AC19" s="185" t="n">
        <f aca="false">IF(AC16&lt;0,-AC16,0)</f>
        <v>277.961241508416</v>
      </c>
      <c r="AD19" s="185" t="n">
        <f aca="false">IF(AD16&lt;0,-AD16,0)</f>
        <v>302.977933404041</v>
      </c>
      <c r="AE19" s="185" t="n">
        <f aca="false">IF(AE16&lt;0,-AE16,0)</f>
        <v>330.123536186611</v>
      </c>
      <c r="AF19" s="185" t="n">
        <f aca="false">IF(AF16&lt;0,-AF16,0)</f>
        <v>363.702496945245</v>
      </c>
    </row>
    <row r="20" customFormat="false" ht="12.75" hidden="false" customHeight="false" outlineLevel="0" collapsed="false">
      <c r="A20" s="31" t="s">
        <v>395</v>
      </c>
      <c r="B20" s="433" t="n">
        <v>0</v>
      </c>
      <c r="C20" s="434" t="n">
        <v>0</v>
      </c>
      <c r="D20" s="434" t="n">
        <v>0</v>
      </c>
      <c r="E20" s="434" t="n">
        <v>0</v>
      </c>
      <c r="F20" s="434" t="n">
        <v>0</v>
      </c>
      <c r="G20" s="434" t="n">
        <v>0</v>
      </c>
      <c r="H20" s="434" t="n">
        <v>0</v>
      </c>
      <c r="I20" s="435" t="n">
        <v>0</v>
      </c>
      <c r="J20" s="436" t="n">
        <f aca="false">IF(-SUM(B21:I21,B20:I20)&gt;B19,0,-B19-SUM(B21:I21,B20:I20))</f>
        <v>-126.916795844879</v>
      </c>
      <c r="K20" s="436" t="n">
        <f aca="false">IF(-SUM(C21:J21,C20:J20)&gt;C19,0,-C19-SUM(C21:J21,C20:J20))</f>
        <v>-91.1534361178109</v>
      </c>
      <c r="L20" s="436" t="n">
        <f aca="false">IF(-SUM(D21:K21,D20:K20)&gt;D19,0,-D19-SUM(D21:K21,D20:K20))</f>
        <v>0</v>
      </c>
      <c r="M20" s="436" t="n">
        <f aca="false">IF(-SUM(E21:L21,E20:L20)&gt;E19,0,-E19-SUM(E21:L21,E20:L20))</f>
        <v>0</v>
      </c>
      <c r="N20" s="436" t="n">
        <f aca="false">IF(-SUM(F21:M21,F20:M20)&gt;F19,0,-F19-SUM(F21:M21,F20:M20))</f>
        <v>0</v>
      </c>
      <c r="O20" s="436" t="n">
        <f aca="false">IF(-SUM(G21:N21,G20:N20)&gt;G19,0,-G19-SUM(G21:N21,G20:N20))</f>
        <v>0</v>
      </c>
      <c r="P20" s="436" t="n">
        <f aca="false">IF(-SUM(H21:O21,H20:O20)&gt;H19,0,-H19-SUM(H21:O21,H20:O20))</f>
        <v>0</v>
      </c>
      <c r="Q20" s="436" t="n">
        <f aca="false">IF(-SUM(I21:P21,I20:P20)&gt;I19,0,-I19-SUM(I21:P21,I20:P20))</f>
        <v>0</v>
      </c>
      <c r="R20" s="436" t="n">
        <f aca="false">IF(-SUM(J21:Q21,J20:Q20)&gt;J19,0,-J19-SUM(J21:Q21,J20:Q20))</f>
        <v>0</v>
      </c>
      <c r="S20" s="436" t="n">
        <f aca="false">IF(-SUM(K21:R21,K20:R20)&gt;K19,0,-K19-SUM(K21:R21,K20:R20))</f>
        <v>0</v>
      </c>
      <c r="T20" s="436" t="n">
        <f aca="false">IF(-SUM(L21:S21,L20:S20)&gt;L19,0,-L19-SUM(L21:S21,L20:S20))</f>
        <v>0</v>
      </c>
      <c r="U20" s="436" t="n">
        <f aca="false">IF(-SUM(M21:T21,M20:T20)&gt;M19,0,-M19-SUM(M21:T21,M20:T20))</f>
        <v>0</v>
      </c>
      <c r="V20" s="436" t="n">
        <f aca="false">IF(-SUM(N21:U21,N20:U20)&gt;N19,0,-N19-SUM(N21:U21,N20:U20))</f>
        <v>0</v>
      </c>
      <c r="W20" s="436" t="n">
        <f aca="false">IF(-SUM(O21:V21,O20:V20)&gt;O19,0,-O19-SUM(O21:V21,O20:V20))</f>
        <v>0</v>
      </c>
      <c r="X20" s="436" t="n">
        <f aca="false">IF(-SUM(P21:W21,P20:W20)&gt;P19,0,-P19-SUM(P21:W21,P20:W20))</f>
        <v>0</v>
      </c>
      <c r="Y20" s="436" t="n">
        <f aca="false">IF(-SUM(Q21:X21,Q20:X20)&gt;Q19,0,-Q19-SUM(Q21:X21,Q20:X20))</f>
        <v>0</v>
      </c>
      <c r="Z20" s="436" t="n">
        <f aca="false">IF(-SUM(R21:Y21,R20:Y20)&gt;R19,0,-R19-SUM(R21:Y21,R20:Y20))</f>
        <v>0</v>
      </c>
      <c r="AA20" s="436" t="n">
        <f aca="false">IF(-SUM(S21:Z21,S20:Z20)&gt;S19,0,-S19-SUM(S21:Z21,S20:Z20))</f>
        <v>0</v>
      </c>
      <c r="AB20" s="436" t="n">
        <f aca="false">IF(-SUM(T21:AA21,T20:AA20)&gt;T19,0,-T19-SUM(T21:AA21,T20:AA20))</f>
        <v>-0</v>
      </c>
      <c r="AC20" s="436" t="n">
        <f aca="false">IF(-SUM(U21:AB21,U20:AB20)&gt;U19,0,-U19-SUM(U21:AB21,U20:AB20))</f>
        <v>-0</v>
      </c>
      <c r="AD20" s="436" t="n">
        <f aca="false">IF(-SUM(V21:AC21,V20:AC20)&gt;V19,0,-V19-SUM(V21:AC21,V20:AC20))</f>
        <v>-63.1826881948154</v>
      </c>
      <c r="AE20" s="436" t="n">
        <f aca="false">IF(-SUM(W21:AD21,W20:AD20)&gt;W19,0,-W19-SUM(W21:AD21,W20:AD20))</f>
        <v>-102.130135935156</v>
      </c>
      <c r="AF20" s="436" t="n">
        <f aca="false">IF(-SUM(X21:AE21,X20:AE20)&gt;X19,0,-X19-SUM(X21:AE21,X20:AE20))</f>
        <v>-14.4974004634418</v>
      </c>
    </row>
    <row r="21" customFormat="false" ht="12.75" hidden="false" customHeight="false" outlineLevel="0" collapsed="false">
      <c r="A21" s="31" t="s">
        <v>396</v>
      </c>
      <c r="B21" s="302" t="n">
        <f aca="false">IF(B16&lt;0,0,IF(B18&gt;B16,-B16,-B18))</f>
        <v>0</v>
      </c>
      <c r="C21" s="302" t="n">
        <f aca="false">IF(C16&lt;0,0,IF(C18&gt;C16,-C16,-C18))</f>
        <v>0</v>
      </c>
      <c r="D21" s="302" t="n">
        <f aca="false">IF(D16&lt;0,0,IF(D18&gt;D16,-D16,-D18))</f>
        <v>0</v>
      </c>
      <c r="E21" s="302" t="n">
        <f aca="false">IF(E16&lt;0,0,IF(E18&gt;E16,-E16,-E18))</f>
        <v>0</v>
      </c>
      <c r="F21" s="302" t="n">
        <f aca="false">IF(F16&lt;0,0,IF(F18&gt;F16,-F16,-F18))</f>
        <v>0</v>
      </c>
      <c r="G21" s="302" t="n">
        <f aca="false">IF(G16&lt;0,0,IF(G18&gt;G16,-G16,-G18))</f>
        <v>0</v>
      </c>
      <c r="H21" s="302" t="n">
        <f aca="false">IF(H16&lt;0,0,IF(H18&gt;H16,-H16,-H18))</f>
        <v>0</v>
      </c>
      <c r="I21" s="302" t="n">
        <f aca="false">IF(I16&lt;0,0,IF(I18&gt;I16,-I16,-I18))</f>
        <v>0</v>
      </c>
      <c r="J21" s="302" t="n">
        <f aca="false">IF(J16&lt;0,0,IF(J18&gt;J16,-J16,-J18))</f>
        <v>0</v>
      </c>
      <c r="K21" s="302" t="n">
        <f aca="false">IF(K16&lt;0,0,IF(K18&gt;K16,-K16,-K18))</f>
        <v>0</v>
      </c>
      <c r="L21" s="302" t="n">
        <f aca="false">IF(L16&lt;0,0,IF(L18&gt;L16,-L16,-L18))</f>
        <v>0</v>
      </c>
      <c r="M21" s="302" t="n">
        <f aca="false">IF(M16&lt;0,0,IF(M18&gt;M16,-M16,-M18))</f>
        <v>0</v>
      </c>
      <c r="N21" s="302" t="n">
        <f aca="false">IF(N16&lt;0,0,IF(N18&gt;N16,-N16,-N18))</f>
        <v>0</v>
      </c>
      <c r="O21" s="302" t="n">
        <f aca="false">IF(O16&lt;0,0,IF(O18&gt;O16,-O16,-O18))</f>
        <v>0</v>
      </c>
      <c r="P21" s="302" t="n">
        <f aca="false">IF(P16&lt;0,0,IF(P18&gt;P16,-P16,-P18))</f>
        <v>0</v>
      </c>
      <c r="Q21" s="302" t="n">
        <f aca="false">IF(Q16&lt;0,0,IF(Q18&gt;Q16,-Q16,-Q18))</f>
        <v>-44.724706941881</v>
      </c>
      <c r="R21" s="302" t="n">
        <f aca="false">IF(R16&lt;0,0,IF(R18&gt;R16,-R16,-R18))</f>
        <v>-105.502167858296</v>
      </c>
      <c r="S21" s="302" t="n">
        <f aca="false">IF(S16&lt;0,0,IF(S18&gt;S16,-S16,-S18))</f>
        <v>-110.622617889907</v>
      </c>
      <c r="T21" s="302" t="n">
        <f aca="false">IF(T16&lt;0,0,IF(T18&gt;T16,-T16,-T18))</f>
        <v>-0</v>
      </c>
      <c r="U21" s="302" t="n">
        <f aca="false">IF(U16&lt;0,0,IF(U18&gt;U16,-U16,-U18))</f>
        <v>-0</v>
      </c>
      <c r="V21" s="302" t="n">
        <f aca="false">IF(V16&lt;0,0,IF(V18&gt;V16,-V16,-V18))</f>
        <v>0</v>
      </c>
      <c r="W21" s="302" t="n">
        <f aca="false">IF(W16&lt;0,0,IF(W18&gt;W16,-W16,-W18))</f>
        <v>0</v>
      </c>
      <c r="X21" s="302" t="n">
        <f aca="false">IF(X16&lt;0,0,IF(X18&gt;X16,-X16,-X18))</f>
        <v>0</v>
      </c>
      <c r="Y21" s="302" t="n">
        <f aca="false">IF(Y16&lt;0,0,IF(Y18&gt;Y16,-Y16,-Y18))</f>
        <v>0</v>
      </c>
      <c r="Z21" s="302" t="n">
        <f aca="false">IF(Z16&lt;0,0,IF(Z18&gt;Z16,-Z16,-Z18))</f>
        <v>0</v>
      </c>
      <c r="AA21" s="302" t="n">
        <f aca="false">IF(AA16&lt;0,0,IF(AA18&gt;AA16,-AA16,-AA18))</f>
        <v>0</v>
      </c>
      <c r="AB21" s="302" t="n">
        <f aca="false">IF(AB16&lt;0,0,IF(AB18&gt;AB16,-AB16,-AB18))</f>
        <v>0</v>
      </c>
      <c r="AC21" s="302" t="n">
        <f aca="false">IF(AC16&lt;0,0,IF(AC18&gt;AC16,-AC16,-AC18))</f>
        <v>0</v>
      </c>
      <c r="AD21" s="302" t="n">
        <f aca="false">IF(AD16&lt;0,0,IF(AD18&gt;AD16,-AD16,-AD18))</f>
        <v>0</v>
      </c>
      <c r="AE21" s="302" t="n">
        <f aca="false">IF(AE16&lt;0,0,IF(AE18&gt;AE16,-AE16,-AE18))</f>
        <v>0</v>
      </c>
      <c r="AF21" s="302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397</v>
      </c>
      <c r="B22" s="302" t="n">
        <f aca="false">SUM(B18:B21)</f>
        <v>126.916795844879</v>
      </c>
      <c r="C22" s="302" t="n">
        <f aca="false">SUM(C18:C21)</f>
        <v>344.987027807569</v>
      </c>
      <c r="D22" s="302" t="n">
        <f aca="false">SUM(D18:D21)</f>
        <v>549.441525149964</v>
      </c>
      <c r="E22" s="302" t="n">
        <f aca="false">SUM(E18:E21)</f>
        <v>695.56592754235</v>
      </c>
      <c r="F22" s="302" t="n">
        <f aca="false">SUM(F18:F21)</f>
        <v>806.921339044382</v>
      </c>
      <c r="G22" s="302" t="n">
        <f aca="false">SUM(G18:G21)</f>
        <v>881.836204894468</v>
      </c>
      <c r="H22" s="302" t="n">
        <f aca="false">SUM(H18:H21)</f>
        <v>937.712481768967</v>
      </c>
      <c r="I22" s="302" t="n">
        <f aca="false">SUM(I18:I21)</f>
        <v>991.535387509341</v>
      </c>
      <c r="J22" s="302" t="n">
        <f aca="false">SUM(J18:J21)</f>
        <v>911.484863441565</v>
      </c>
      <c r="K22" s="302" t="n">
        <f aca="false">SUM(K18:K21)</f>
        <v>864.618346572059</v>
      </c>
      <c r="L22" s="302" t="n">
        <f aca="false">SUM(L18:L21)</f>
        <v>901.096600523866</v>
      </c>
      <c r="M22" s="302" t="n">
        <f aca="false">SUM(M18:M21)</f>
        <v>934.347862599395</v>
      </c>
      <c r="N22" s="302" t="n">
        <f aca="false">SUM(N18:N21)</f>
        <v>958.7927303366</v>
      </c>
      <c r="O22" s="302" t="n">
        <f aca="false">SUM(O18:O21)</f>
        <v>979.229299027773</v>
      </c>
      <c r="P22" s="302" t="n">
        <f aca="false">SUM(P18:P21)</f>
        <v>995.036398490762</v>
      </c>
      <c r="Q22" s="302" t="n">
        <f aca="false">SUM(Q18:Q21)</f>
        <v>950.311691548881</v>
      </c>
      <c r="R22" s="302" t="n">
        <f aca="false">SUM(R18:R21)</f>
        <v>844.809523690585</v>
      </c>
      <c r="S22" s="302" t="n">
        <f aca="false">SUM(S18:S21)</f>
        <v>734.186905800678</v>
      </c>
      <c r="T22" s="302" t="n">
        <f aca="false">SUM(T18:T21)</f>
        <v>0</v>
      </c>
      <c r="U22" s="302" t="n">
        <f aca="false">SUM(U18:U21)</f>
        <v>0</v>
      </c>
      <c r="V22" s="302" t="n">
        <f aca="false">SUM(V18:V21)</f>
        <v>63.1826881948154</v>
      </c>
      <c r="W22" s="302" t="n">
        <f aca="false">SUM(W18:W21)</f>
        <v>228.495512324787</v>
      </c>
      <c r="X22" s="302" t="n">
        <f aca="false">SUM(X18:X21)</f>
        <v>408.3057369182</v>
      </c>
      <c r="Y22" s="302" t="n">
        <f aca="false">SUM(Y18:Y21)</f>
        <v>604.620486305906</v>
      </c>
      <c r="Z22" s="302" t="n">
        <f aca="false">SUM(Z18:Z21)</f>
        <v>818.897543934413</v>
      </c>
      <c r="AA22" s="302" t="n">
        <f aca="false">SUM(AA18:AA21)</f>
        <v>1052.67148839529</v>
      </c>
      <c r="AB22" s="302" t="n">
        <f aca="false">SUM(AB18:AB21)</f>
        <v>1307.63160339964</v>
      </c>
      <c r="AC22" s="302" t="n">
        <f aca="false">SUM(AC18:AC21)</f>
        <v>1585.59284490805</v>
      </c>
      <c r="AD22" s="302" t="n">
        <f aca="false">SUM(AD18:AD21)</f>
        <v>1825.38809011728</v>
      </c>
      <c r="AE22" s="302" t="n">
        <f aca="false">SUM(AE18:AE21)</f>
        <v>2053.38149036873</v>
      </c>
      <c r="AF22" s="302" t="n">
        <f aca="false">SUM(AF18:AF21)</f>
        <v>2402.58658685054</v>
      </c>
    </row>
    <row r="23" customFormat="false" ht="12.75" hidden="false" customHeight="false" outlineLevel="0" collapsed="false">
      <c r="A23" s="31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</row>
    <row r="24" customFormat="false" ht="12.75" hidden="false" customHeight="false" outlineLevel="0" collapsed="false">
      <c r="A24" s="191" t="s">
        <v>398</v>
      </c>
      <c r="B24" s="303" t="n">
        <f aca="false">IF(B13&lt;0,0,B21+B16)</f>
        <v>0</v>
      </c>
      <c r="C24" s="303" t="n">
        <f aca="false">IF(C13&lt;0,0,C21+C16)</f>
        <v>0</v>
      </c>
      <c r="D24" s="303" t="n">
        <f aca="false">IF(D13&lt;0,0,D21+D16)</f>
        <v>0</v>
      </c>
      <c r="E24" s="303" t="n">
        <f aca="false">IF(E13&lt;0,0,E21+E16)</f>
        <v>0</v>
      </c>
      <c r="F24" s="303" t="n">
        <f aca="false">IF(F13&lt;0,0,F21+F16)</f>
        <v>0</v>
      </c>
      <c r="G24" s="303" t="n">
        <f aca="false">IF(G13&lt;0,0,G21+G16)</f>
        <v>0</v>
      </c>
      <c r="H24" s="303" t="n">
        <f aca="false">IF(H13&lt;0,0,H21+H16)</f>
        <v>0</v>
      </c>
      <c r="I24" s="303" t="n">
        <f aca="false">IF(I13&lt;0,0,I21+I16)</f>
        <v>0</v>
      </c>
      <c r="J24" s="303" t="n">
        <f aca="false">IF(J13&lt;0,0,J21+J16)</f>
        <v>0</v>
      </c>
      <c r="K24" s="303" t="n">
        <f aca="false">IF(K13&lt;0,0,K21+K16)</f>
        <v>0</v>
      </c>
      <c r="L24" s="303" t="n">
        <f aca="false">IF(L13&lt;0,0,L21+L16)</f>
        <v>0</v>
      </c>
      <c r="M24" s="303" t="n">
        <f aca="false">IF(M13&lt;0,0,M21+M16)</f>
        <v>0</v>
      </c>
      <c r="N24" s="303" t="n">
        <f aca="false">IF(N13&lt;0,0,N21+N16)</f>
        <v>0</v>
      </c>
      <c r="O24" s="303" t="n">
        <f aca="false">IF(O13&lt;0,0,O21+O16)</f>
        <v>0</v>
      </c>
      <c r="P24" s="303" t="n">
        <f aca="false">IF(P13&lt;0,0,P21+P16)</f>
        <v>0</v>
      </c>
      <c r="Q24" s="303" t="n">
        <f aca="false">IF(Q13&lt;0,0,Q21+Q16)</f>
        <v>0</v>
      </c>
      <c r="R24" s="303" t="n">
        <f aca="false">IF(R13&lt;0,0,R21+R16)</f>
        <v>0</v>
      </c>
      <c r="S24" s="303" t="n">
        <f aca="false">IF(S13&lt;0,0,S21+S16)</f>
        <v>0</v>
      </c>
      <c r="T24" s="303" t="n">
        <f aca="false">IF(T13&lt;0,0,T21+T16)</f>
        <v>115.99840307498</v>
      </c>
      <c r="U24" s="303" t="n">
        <f aca="false">IF(U13&lt;0,0,U21+U16)</f>
        <v>121.549782667346</v>
      </c>
      <c r="V24" s="303" t="n">
        <f aca="false">IF(V13&lt;0,0,V21+V16)</f>
        <v>0</v>
      </c>
      <c r="W24" s="303" t="n">
        <f aca="false">IF(W13&lt;0,0,W21+W16)</f>
        <v>0</v>
      </c>
      <c r="X24" s="303" t="n">
        <f aca="false">IF(X13&lt;0,0,X21+X16)</f>
        <v>0</v>
      </c>
      <c r="Y24" s="303" t="n">
        <f aca="false">IF(Y13&lt;0,0,Y21+Y16)</f>
        <v>0</v>
      </c>
      <c r="Z24" s="303" t="n">
        <f aca="false">IF(Z13&lt;0,0,Z21+Z16)</f>
        <v>0</v>
      </c>
      <c r="AA24" s="303" t="n">
        <f aca="false">IF(AA13&lt;0,0,AA21+AA16)</f>
        <v>0</v>
      </c>
      <c r="AB24" s="303" t="n">
        <f aca="false">IF(AB13&lt;0,0,AB21+AB16)</f>
        <v>0</v>
      </c>
      <c r="AC24" s="303" t="n">
        <f aca="false">IF(AC13&lt;0,0,AC21+AC16)</f>
        <v>0</v>
      </c>
      <c r="AD24" s="303" t="n">
        <f aca="false">IF(AD13&lt;0,0,AD21+AD16)</f>
        <v>0</v>
      </c>
      <c r="AE24" s="303" t="n">
        <f aca="false">IF(AE13&lt;0,0,AE21+AE16)</f>
        <v>0</v>
      </c>
      <c r="AF24" s="303" t="n">
        <f aca="false">IF(AF13&lt;0,0,AF21+AF16)</f>
        <v>0</v>
      </c>
    </row>
    <row r="25" customFormat="false" ht="12.75" hidden="false" customHeight="false" outlineLevel="0" collapsed="false">
      <c r="A25" s="191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</row>
    <row r="26" customFormat="false" ht="12.75" hidden="false" customHeight="false" outlineLevel="0" collapsed="false">
      <c r="A26" s="399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</row>
    <row r="27" customFormat="false" ht="12.75" hidden="false" customHeight="false" outlineLevel="0" collapsed="false">
      <c r="A27" s="430" t="s">
        <v>399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</row>
    <row r="28" customFormat="false" ht="12.75" hidden="false" customHeight="false" outlineLevel="0" collapsed="false">
      <c r="A28" s="399" t="s">
        <v>390</v>
      </c>
      <c r="B28" s="185" t="n">
        <f aca="false">B13</f>
        <v>-1813.09708349827</v>
      </c>
      <c r="C28" s="185" t="n">
        <f aca="false">C13</f>
        <v>-3115.28902803843</v>
      </c>
      <c r="D28" s="185" t="n">
        <f aca="false">D13</f>
        <v>-2920.77853346278</v>
      </c>
      <c r="E28" s="185" t="n">
        <f aca="false">E13</f>
        <v>-2087.49146274837</v>
      </c>
      <c r="F28" s="185" t="n">
        <f aca="false">F13</f>
        <v>-1590.79159288618</v>
      </c>
      <c r="G28" s="185" t="n">
        <f aca="false">G13</f>
        <v>-1070.21236928694</v>
      </c>
      <c r="H28" s="185" t="n">
        <f aca="false">H13</f>
        <v>-798.232526778548</v>
      </c>
      <c r="I28" s="185" t="n">
        <f aca="false">I13</f>
        <v>-768.898653433914</v>
      </c>
      <c r="J28" s="185" t="n">
        <f aca="false">J13</f>
        <v>-669.518168244335</v>
      </c>
      <c r="K28" s="185" t="n">
        <f aca="false">K13</f>
        <v>-632.670274975784</v>
      </c>
      <c r="L28" s="185" t="n">
        <f aca="false">L13</f>
        <v>-521.11791359724</v>
      </c>
      <c r="M28" s="185" t="n">
        <f aca="false">M13</f>
        <v>-475.018029650419</v>
      </c>
      <c r="N28" s="185" t="n">
        <f aca="false">N13</f>
        <v>-349.212396245784</v>
      </c>
      <c r="O28" s="185" t="n">
        <f aca="false">O13</f>
        <v>-291.950981302474</v>
      </c>
      <c r="P28" s="185" t="n">
        <f aca="false">P13</f>
        <v>-225.81570661412</v>
      </c>
      <c r="Q28" s="185" t="n">
        <f aca="false">Q13</f>
        <v>638.924384884014</v>
      </c>
      <c r="R28" s="185" t="n">
        <f aca="false">R13</f>
        <v>1507.17382654709</v>
      </c>
      <c r="S28" s="185" t="n">
        <f aca="false">S13</f>
        <v>1580.32311271296</v>
      </c>
      <c r="T28" s="185" t="n">
        <f aca="false">T13</f>
        <v>1657.12004392829</v>
      </c>
      <c r="U28" s="185" t="n">
        <f aca="false">U13</f>
        <v>1736.42546667637</v>
      </c>
      <c r="V28" s="185" t="n">
        <f aca="false">V13</f>
        <v>-902.609831354506</v>
      </c>
      <c r="W28" s="185" t="n">
        <f aca="false">W13</f>
        <v>-2361.61177328531</v>
      </c>
      <c r="X28" s="185" t="n">
        <f aca="false">X13</f>
        <v>-2568.71749419162</v>
      </c>
      <c r="Y28" s="185" t="n">
        <f aca="false">Y13</f>
        <v>-2804.49641982436</v>
      </c>
      <c r="Z28" s="185" t="n">
        <f aca="false">Z13</f>
        <v>-3061.10082326439</v>
      </c>
      <c r="AA28" s="185" t="n">
        <f aca="false">AA13</f>
        <v>-3339.62777801252</v>
      </c>
      <c r="AB28" s="185" t="n">
        <f aca="false">AB13</f>
        <v>-3642.28735720496</v>
      </c>
      <c r="AC28" s="185" t="n">
        <f aca="false">AC13</f>
        <v>-3970.87487869165</v>
      </c>
      <c r="AD28" s="185" t="n">
        <f aca="false">AD13</f>
        <v>-4328.25619148629</v>
      </c>
      <c r="AE28" s="185" t="n">
        <f aca="false">AE13</f>
        <v>-4716.05051695158</v>
      </c>
      <c r="AF28" s="185" t="n">
        <f aca="false">AF13</f>
        <v>-5195.74995636064</v>
      </c>
    </row>
    <row r="29" customFormat="false" ht="15" hidden="false" customHeight="false" outlineLevel="0" collapsed="false">
      <c r="A29" s="399" t="s">
        <v>400</v>
      </c>
      <c r="B29" s="302" t="n">
        <f aca="false">-B24</f>
        <v>-0</v>
      </c>
      <c r="C29" s="302" t="n">
        <f aca="false">-C24</f>
        <v>-0</v>
      </c>
      <c r="D29" s="302" t="n">
        <f aca="false">-D24</f>
        <v>-0</v>
      </c>
      <c r="E29" s="302" t="n">
        <f aca="false">-E24</f>
        <v>-0</v>
      </c>
      <c r="F29" s="302" t="n">
        <f aca="false">-F24</f>
        <v>-0</v>
      </c>
      <c r="G29" s="302" t="n">
        <f aca="false">-G24</f>
        <v>-0</v>
      </c>
      <c r="H29" s="302" t="n">
        <f aca="false">-H24</f>
        <v>-0</v>
      </c>
      <c r="I29" s="302" t="n">
        <f aca="false">-I24</f>
        <v>-0</v>
      </c>
      <c r="J29" s="302" t="n">
        <f aca="false">-J24</f>
        <v>-0</v>
      </c>
      <c r="K29" s="302" t="n">
        <f aca="false">-K24</f>
        <v>-0</v>
      </c>
      <c r="L29" s="302" t="n">
        <f aca="false">-L24</f>
        <v>-0</v>
      </c>
      <c r="M29" s="302" t="n">
        <f aca="false">-M24</f>
        <v>-0</v>
      </c>
      <c r="N29" s="302" t="n">
        <f aca="false">-N24</f>
        <v>-0</v>
      </c>
      <c r="O29" s="302" t="n">
        <f aca="false">-O24</f>
        <v>-0</v>
      </c>
      <c r="P29" s="302" t="n">
        <f aca="false">-P24</f>
        <v>-0</v>
      </c>
      <c r="Q29" s="302" t="n">
        <f aca="false">-Q24</f>
        <v>-0</v>
      </c>
      <c r="R29" s="302" t="n">
        <f aca="false">-R24</f>
        <v>-0</v>
      </c>
      <c r="S29" s="302" t="n">
        <f aca="false">-S24</f>
        <v>-0</v>
      </c>
      <c r="T29" s="302" t="n">
        <f aca="false">-T24</f>
        <v>-115.99840307498</v>
      </c>
      <c r="U29" s="302" t="n">
        <f aca="false">-U24</f>
        <v>-121.549782667346</v>
      </c>
      <c r="V29" s="302" t="n">
        <f aca="false">-V24</f>
        <v>-0</v>
      </c>
      <c r="W29" s="302" t="n">
        <f aca="false">-W24</f>
        <v>-0</v>
      </c>
      <c r="X29" s="302" t="n">
        <f aca="false">-X24</f>
        <v>-0</v>
      </c>
      <c r="Y29" s="302" t="n">
        <f aca="false">-Y24</f>
        <v>-0</v>
      </c>
      <c r="Z29" s="302" t="n">
        <f aca="false">-Z24</f>
        <v>-0</v>
      </c>
      <c r="AA29" s="302" t="n">
        <f aca="false">-AA24</f>
        <v>-0</v>
      </c>
      <c r="AB29" s="302" t="n">
        <f aca="false">-AB24</f>
        <v>-0</v>
      </c>
      <c r="AC29" s="302" t="n">
        <f aca="false">-AC24</f>
        <v>-0</v>
      </c>
      <c r="AD29" s="302" t="n">
        <f aca="false">-AD24</f>
        <v>-0</v>
      </c>
      <c r="AE29" s="302" t="n">
        <f aca="false">-AE24</f>
        <v>-0</v>
      </c>
      <c r="AF29" s="302" t="n">
        <f aca="false">-AF24</f>
        <v>-0</v>
      </c>
    </row>
    <row r="30" customFormat="false" ht="12.75" hidden="false" customHeight="false" outlineLevel="0" collapsed="false">
      <c r="A30" s="431" t="s">
        <v>401</v>
      </c>
      <c r="B30" s="303" t="n">
        <f aca="false">SUM(B28:B29)</f>
        <v>-1813.09708349827</v>
      </c>
      <c r="C30" s="303" t="n">
        <f aca="false">SUM(C28:C29)</f>
        <v>-3115.28902803843</v>
      </c>
      <c r="D30" s="303" t="n">
        <f aca="false">SUM(D28:D29)</f>
        <v>-2920.77853346278</v>
      </c>
      <c r="E30" s="303" t="n">
        <f aca="false">SUM(E28:E29)</f>
        <v>-2087.49146274837</v>
      </c>
      <c r="F30" s="303" t="n">
        <f aca="false">SUM(F28:F29)</f>
        <v>-1590.79159288618</v>
      </c>
      <c r="G30" s="303" t="n">
        <f aca="false">SUM(G28:G29)</f>
        <v>-1070.21236928694</v>
      </c>
      <c r="H30" s="303" t="n">
        <f aca="false">SUM(H28:H29)</f>
        <v>-798.232526778548</v>
      </c>
      <c r="I30" s="303" t="n">
        <f aca="false">SUM(I28:I29)</f>
        <v>-768.898653433914</v>
      </c>
      <c r="J30" s="303" t="n">
        <f aca="false">SUM(J28:J29)</f>
        <v>-669.518168244335</v>
      </c>
      <c r="K30" s="303" t="n">
        <f aca="false">SUM(K28:K29)</f>
        <v>-632.670274975784</v>
      </c>
      <c r="L30" s="303" t="n">
        <f aca="false">SUM(L28:L29)</f>
        <v>-521.11791359724</v>
      </c>
      <c r="M30" s="303" t="n">
        <f aca="false">SUM(M28:M29)</f>
        <v>-475.018029650419</v>
      </c>
      <c r="N30" s="303" t="n">
        <f aca="false">SUM(N28:N29)</f>
        <v>-349.212396245784</v>
      </c>
      <c r="O30" s="303" t="n">
        <f aca="false">SUM(O28:O29)</f>
        <v>-291.950981302474</v>
      </c>
      <c r="P30" s="303" t="n">
        <f aca="false">SUM(P28:P29)</f>
        <v>-225.81570661412</v>
      </c>
      <c r="Q30" s="303" t="n">
        <f aca="false">SUM(Q28:Q29)</f>
        <v>638.924384884014</v>
      </c>
      <c r="R30" s="303" t="n">
        <f aca="false">SUM(R28:R29)</f>
        <v>1507.17382654709</v>
      </c>
      <c r="S30" s="303" t="n">
        <f aca="false">SUM(S28:S29)</f>
        <v>1580.32311271296</v>
      </c>
      <c r="T30" s="303" t="n">
        <f aca="false">SUM(T28:T29)</f>
        <v>1541.12164085331</v>
      </c>
      <c r="U30" s="303" t="n">
        <f aca="false">SUM(U28:U29)</f>
        <v>1614.87568400903</v>
      </c>
      <c r="V30" s="303" t="n">
        <f aca="false">SUM(V28:V29)</f>
        <v>-902.609831354506</v>
      </c>
      <c r="W30" s="303" t="n">
        <f aca="false">SUM(W28:W29)</f>
        <v>-2361.61177328531</v>
      </c>
      <c r="X30" s="303" t="n">
        <f aca="false">SUM(X28:X29)</f>
        <v>-2568.71749419162</v>
      </c>
      <c r="Y30" s="303" t="n">
        <f aca="false">SUM(Y28:Y29)</f>
        <v>-2804.49641982436</v>
      </c>
      <c r="Z30" s="303" t="n">
        <f aca="false">SUM(Z28:Z29)</f>
        <v>-3061.10082326439</v>
      </c>
      <c r="AA30" s="303" t="n">
        <f aca="false">SUM(AA28:AA29)</f>
        <v>-3339.62777801252</v>
      </c>
      <c r="AB30" s="303" t="n">
        <f aca="false">SUM(AB28:AB29)</f>
        <v>-3642.28735720496</v>
      </c>
      <c r="AC30" s="303" t="n">
        <f aca="false">SUM(AC28:AC29)</f>
        <v>-3970.87487869165</v>
      </c>
      <c r="AD30" s="303" t="n">
        <f aca="false">SUM(AD28:AD29)</f>
        <v>-4328.25619148629</v>
      </c>
      <c r="AE30" s="303" t="n">
        <f aca="false">SUM(AE28:AE29)</f>
        <v>-4716.05051695158</v>
      </c>
      <c r="AF30" s="303" t="n">
        <f aca="false">SUM(AF28:AF29)</f>
        <v>-5195.74995636064</v>
      </c>
    </row>
    <row r="31" customFormat="false" ht="12.75" hidden="false" customHeight="false" outlineLevel="0" collapsed="false">
      <c r="A31" s="431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</row>
    <row r="32" customFormat="false" ht="12.75" hidden="false" customHeight="false" outlineLevel="0" collapsed="false">
      <c r="A32" s="399" t="s">
        <v>402</v>
      </c>
      <c r="B32" s="437" t="n">
        <f aca="false">Assumptions!$N$50</f>
        <v>0.35</v>
      </c>
      <c r="C32" s="437" t="n">
        <f aca="false">Assumptions!$N$50</f>
        <v>0.35</v>
      </c>
      <c r="D32" s="437" t="n">
        <f aca="false">Assumptions!$N$50</f>
        <v>0.35</v>
      </c>
      <c r="E32" s="437" t="n">
        <f aca="false">Assumptions!$N$50</f>
        <v>0.35</v>
      </c>
      <c r="F32" s="437" t="n">
        <f aca="false">Assumptions!$N$50</f>
        <v>0.35</v>
      </c>
      <c r="G32" s="437" t="n">
        <f aca="false">Assumptions!$N$50</f>
        <v>0.35</v>
      </c>
      <c r="H32" s="437" t="n">
        <f aca="false">Assumptions!$N$50</f>
        <v>0.35</v>
      </c>
      <c r="I32" s="437" t="n">
        <f aca="false">Assumptions!$N$50</f>
        <v>0.35</v>
      </c>
      <c r="J32" s="437" t="n">
        <f aca="false">Assumptions!$N$50</f>
        <v>0.35</v>
      </c>
      <c r="K32" s="437" t="n">
        <f aca="false">Assumptions!$N$50</f>
        <v>0.35</v>
      </c>
      <c r="L32" s="437" t="n">
        <f aca="false">Assumptions!$N$50</f>
        <v>0.35</v>
      </c>
      <c r="M32" s="437" t="n">
        <f aca="false">Assumptions!$N$50</f>
        <v>0.35</v>
      </c>
      <c r="N32" s="437" t="n">
        <f aca="false">Assumptions!$N$50</f>
        <v>0.35</v>
      </c>
      <c r="O32" s="437" t="n">
        <f aca="false">Assumptions!$N$50</f>
        <v>0.35</v>
      </c>
      <c r="P32" s="437" t="n">
        <f aca="false">Assumptions!$N$50</f>
        <v>0.35</v>
      </c>
      <c r="Q32" s="437" t="n">
        <f aca="false">Assumptions!$N$50</f>
        <v>0.35</v>
      </c>
      <c r="R32" s="437" t="n">
        <f aca="false">Assumptions!$N$50</f>
        <v>0.35</v>
      </c>
      <c r="S32" s="437" t="n">
        <f aca="false">Assumptions!$N$50</f>
        <v>0.35</v>
      </c>
      <c r="T32" s="437" t="n">
        <f aca="false">Assumptions!$N$50</f>
        <v>0.35</v>
      </c>
      <c r="U32" s="437" t="n">
        <f aca="false">Assumptions!$N$50</f>
        <v>0.35</v>
      </c>
      <c r="V32" s="437" t="n">
        <f aca="false">Assumptions!$N$50</f>
        <v>0.35</v>
      </c>
      <c r="W32" s="437" t="n">
        <f aca="false">Assumptions!$N$50</f>
        <v>0.35</v>
      </c>
      <c r="X32" s="437" t="n">
        <f aca="false">Assumptions!$N$50</f>
        <v>0.35</v>
      </c>
      <c r="Y32" s="437" t="n">
        <f aca="false">Assumptions!$N$50</f>
        <v>0.35</v>
      </c>
      <c r="Z32" s="437" t="n">
        <f aca="false">Assumptions!$N$50</f>
        <v>0.35</v>
      </c>
      <c r="AA32" s="437" t="n">
        <f aca="false">Assumptions!$N$50</f>
        <v>0.35</v>
      </c>
      <c r="AB32" s="437" t="n">
        <f aca="false">Assumptions!$N$50</f>
        <v>0.35</v>
      </c>
      <c r="AC32" s="437" t="n">
        <f aca="false">Assumptions!$N$50</f>
        <v>0.35</v>
      </c>
      <c r="AD32" s="437" t="n">
        <f aca="false">Assumptions!$N$50</f>
        <v>0.35</v>
      </c>
      <c r="AE32" s="437" t="n">
        <f aca="false">Assumptions!$N$50</f>
        <v>0.35</v>
      </c>
      <c r="AF32" s="437" t="n">
        <f aca="false">Assumptions!$N$50</f>
        <v>0.35</v>
      </c>
    </row>
    <row r="33" customFormat="false" ht="12.75" hidden="false" customHeight="false" outlineLevel="0" collapsed="false">
      <c r="A33" s="399" t="s">
        <v>403</v>
      </c>
      <c r="B33" s="185" t="n">
        <f aca="false">B30*B32</f>
        <v>-634.583979224395</v>
      </c>
      <c r="C33" s="185" t="n">
        <f aca="false">C30*C32</f>
        <v>-1090.35115981345</v>
      </c>
      <c r="D33" s="185" t="n">
        <f aca="false">D30*D32</f>
        <v>-1022.27248671197</v>
      </c>
      <c r="E33" s="185" t="n">
        <f aca="false">E30*E32</f>
        <v>-730.62201196193</v>
      </c>
      <c r="F33" s="185" t="n">
        <f aca="false">F30*F32</f>
        <v>-556.777057510163</v>
      </c>
      <c r="G33" s="185" t="n">
        <f aca="false">G30*G32</f>
        <v>-374.57432925043</v>
      </c>
      <c r="H33" s="185" t="n">
        <f aca="false">H30*H32</f>
        <v>-279.381384372492</v>
      </c>
      <c r="I33" s="185" t="n">
        <f aca="false">I30*I32</f>
        <v>-269.11452870187</v>
      </c>
      <c r="J33" s="185" t="n">
        <f aca="false">J30*J32</f>
        <v>-234.331358885517</v>
      </c>
      <c r="K33" s="185" t="n">
        <f aca="false">K30*K32</f>
        <v>-221.434596241524</v>
      </c>
      <c r="L33" s="185" t="n">
        <f aca="false">L30*L32</f>
        <v>-182.391269759034</v>
      </c>
      <c r="M33" s="185" t="n">
        <f aca="false">M30*M32</f>
        <v>-166.256310377647</v>
      </c>
      <c r="N33" s="185" t="n">
        <f aca="false">N30*N32</f>
        <v>-122.224338686024</v>
      </c>
      <c r="O33" s="185" t="n">
        <f aca="false">O30*O32</f>
        <v>-102.182843455866</v>
      </c>
      <c r="P33" s="185" t="n">
        <f aca="false">P30*P32</f>
        <v>-79.035497314942</v>
      </c>
      <c r="Q33" s="185" t="n">
        <f aca="false">Q30*Q32</f>
        <v>223.623534709405</v>
      </c>
      <c r="R33" s="185" t="n">
        <f aca="false">R30*R32</f>
        <v>527.510839291481</v>
      </c>
      <c r="S33" s="185" t="n">
        <f aca="false">S30*S32</f>
        <v>553.113089449534</v>
      </c>
      <c r="T33" s="185" t="n">
        <f aca="false">T30*T32</f>
        <v>539.392574298658</v>
      </c>
      <c r="U33" s="185" t="n">
        <f aca="false">U30*U32</f>
        <v>565.20648940316</v>
      </c>
      <c r="V33" s="185" t="n">
        <f aca="false">V30*V32</f>
        <v>-315.913440974077</v>
      </c>
      <c r="W33" s="185" t="n">
        <f aca="false">W30*W32</f>
        <v>-826.564120649857</v>
      </c>
      <c r="X33" s="185" t="n">
        <f aca="false">X30*X32</f>
        <v>-899.051122967066</v>
      </c>
      <c r="Y33" s="185" t="n">
        <f aca="false">Y30*Y32</f>
        <v>-981.573746938527</v>
      </c>
      <c r="Z33" s="185" t="n">
        <f aca="false">Z30*Z32</f>
        <v>-1071.38528814254</v>
      </c>
      <c r="AA33" s="185" t="n">
        <f aca="false">AA30*AA32</f>
        <v>-1168.86972230438</v>
      </c>
      <c r="AB33" s="185" t="n">
        <f aca="false">AB30*AB32</f>
        <v>-1274.80057502174</v>
      </c>
      <c r="AC33" s="185" t="n">
        <f aca="false">AC30*AC32</f>
        <v>-1389.80620754208</v>
      </c>
      <c r="AD33" s="185" t="n">
        <f aca="false">AD30*AD32</f>
        <v>-1514.8896670202</v>
      </c>
      <c r="AE33" s="185" t="n">
        <f aca="false">AE30*AE32</f>
        <v>-1650.61768093305</v>
      </c>
      <c r="AF33" s="185" t="n">
        <f aca="false">AF30*AF32</f>
        <v>-1818.51248472623</v>
      </c>
    </row>
    <row r="34" customFormat="false" ht="12.75" hidden="false" customHeight="false" outlineLevel="0" collapsed="false">
      <c r="A34" s="31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</row>
    <row r="35" customFormat="false" ht="12.75" hidden="false" customHeight="false" outlineLevel="0" collapsed="false">
      <c r="A35" s="399" t="s">
        <v>393</v>
      </c>
      <c r="B35" s="185" t="n">
        <v>0</v>
      </c>
      <c r="C35" s="185" t="n">
        <f aca="false">B39</f>
        <v>634.583979224395</v>
      </c>
      <c r="D35" s="185" t="n">
        <f aca="false">C39</f>
        <v>1724.93513903784</v>
      </c>
      <c r="E35" s="185" t="n">
        <f aca="false">D39</f>
        <v>2747.20762574982</v>
      </c>
      <c r="F35" s="185" t="n">
        <f aca="false">E39</f>
        <v>3477.82963771175</v>
      </c>
      <c r="G35" s="185" t="n">
        <f aca="false">F39</f>
        <v>4034.60669522191</v>
      </c>
      <c r="H35" s="185" t="n">
        <f aca="false">G39</f>
        <v>4409.18102447234</v>
      </c>
      <c r="I35" s="185" t="n">
        <f aca="false">H39</f>
        <v>4688.56240884483</v>
      </c>
      <c r="J35" s="185" t="n">
        <f aca="false">I39</f>
        <v>4957.6769375467</v>
      </c>
      <c r="K35" s="185" t="n">
        <f aca="false">J39</f>
        <v>5192.00829643222</v>
      </c>
      <c r="L35" s="185" t="n">
        <f aca="false">K39</f>
        <v>5413.44289267375</v>
      </c>
      <c r="M35" s="185" t="n">
        <f aca="false">L39</f>
        <v>5595.83416243278</v>
      </c>
      <c r="N35" s="185" t="n">
        <f aca="false">M39</f>
        <v>5762.09047281043</v>
      </c>
      <c r="O35" s="185" t="n">
        <f aca="false">N39</f>
        <v>5884.31481149645</v>
      </c>
      <c r="P35" s="185" t="n">
        <f aca="false">O39</f>
        <v>5986.49765495232</v>
      </c>
      <c r="Q35" s="185" t="n">
        <f aca="false">P39</f>
        <v>6065.53315226726</v>
      </c>
      <c r="R35" s="185" t="n">
        <f aca="false">Q39</f>
        <v>5207.32563833346</v>
      </c>
      <c r="S35" s="185" t="n">
        <f aca="false">R39</f>
        <v>4447.67115316233</v>
      </c>
      <c r="T35" s="185" t="n">
        <v>0</v>
      </c>
      <c r="U35" s="185" t="n">
        <f aca="false">T39</f>
        <v>0</v>
      </c>
      <c r="V35" s="185" t="n">
        <f aca="false">U39</f>
        <v>0</v>
      </c>
      <c r="W35" s="185" t="n">
        <f aca="false">V39</f>
        <v>315.913440974077</v>
      </c>
      <c r="X35" s="185" t="n">
        <f aca="false">W39</f>
        <v>1142.47756162393</v>
      </c>
      <c r="Y35" s="185" t="n">
        <f aca="false">X39</f>
        <v>2041.528684591</v>
      </c>
      <c r="Z35" s="185" t="n">
        <f aca="false">Y39</f>
        <v>3023.10243152953</v>
      </c>
      <c r="AA35" s="185" t="n">
        <f aca="false">Z39</f>
        <v>4094.48771967206</v>
      </c>
      <c r="AB35" s="185" t="n">
        <f aca="false">AA39</f>
        <v>5263.35744197644</v>
      </c>
      <c r="AC35" s="185" t="n">
        <f aca="false">AB39</f>
        <v>6538.15801699818</v>
      </c>
      <c r="AD35" s="185" t="n">
        <f aca="false">AC39</f>
        <v>7927.96422454026</v>
      </c>
      <c r="AE35" s="185" t="n">
        <f aca="false">AD39</f>
        <v>9442.85389156046</v>
      </c>
      <c r="AF35" s="185" t="n">
        <f aca="false">AE39</f>
        <v>11093.4715724935</v>
      </c>
    </row>
    <row r="36" customFormat="false" ht="12.75" hidden="false" customHeight="false" outlineLevel="0" collapsed="false">
      <c r="A36" s="399" t="s">
        <v>394</v>
      </c>
      <c r="B36" s="185" t="n">
        <f aca="false">IF(B33&lt;0,-B33,0)</f>
        <v>634.583979224395</v>
      </c>
      <c r="C36" s="185" t="n">
        <f aca="false">IF(C33&lt;0,-C33,0)</f>
        <v>1090.35115981345</v>
      </c>
      <c r="D36" s="185" t="n">
        <f aca="false">IF(D33&lt;0,-D33,0)</f>
        <v>1022.27248671197</v>
      </c>
      <c r="E36" s="185" t="n">
        <f aca="false">IF(E33&lt;0,-E33,0)</f>
        <v>730.62201196193</v>
      </c>
      <c r="F36" s="185" t="n">
        <f aca="false">IF(F33&lt;0,-F33,0)</f>
        <v>556.777057510163</v>
      </c>
      <c r="G36" s="185" t="n">
        <f aca="false">IF(G33&lt;0,-G33,0)</f>
        <v>374.57432925043</v>
      </c>
      <c r="H36" s="185" t="n">
        <f aca="false">IF(H33&lt;0,-H33,0)</f>
        <v>279.381384372492</v>
      </c>
      <c r="I36" s="185" t="n">
        <f aca="false">IF(I33&lt;0,-I33,0)</f>
        <v>269.11452870187</v>
      </c>
      <c r="J36" s="185" t="n">
        <f aca="false">IF(J33&lt;0,-J33,0)</f>
        <v>234.331358885517</v>
      </c>
      <c r="K36" s="185" t="n">
        <f aca="false">IF(K33&lt;0,-K33,0)</f>
        <v>221.434596241524</v>
      </c>
      <c r="L36" s="185" t="n">
        <f aca="false">IF(L33&lt;0,-L33,0)</f>
        <v>182.391269759034</v>
      </c>
      <c r="M36" s="185" t="n">
        <f aca="false">IF(M33&lt;0,-M33,0)</f>
        <v>166.256310377647</v>
      </c>
      <c r="N36" s="185" t="n">
        <f aca="false">IF(N33&lt;0,-N33,0)</f>
        <v>122.224338686024</v>
      </c>
      <c r="O36" s="185" t="n">
        <f aca="false">IF(O33&lt;0,-O33,0)</f>
        <v>102.182843455866</v>
      </c>
      <c r="P36" s="185" t="n">
        <f aca="false">IF(P33&lt;0,-P33,0)</f>
        <v>79.035497314942</v>
      </c>
      <c r="Q36" s="185" t="n">
        <f aca="false">IF(Q33&lt;0,-Q33,0)</f>
        <v>0</v>
      </c>
      <c r="R36" s="185" t="n">
        <f aca="false">IF(R33&lt;0,-R33,0)</f>
        <v>0</v>
      </c>
      <c r="S36" s="185" t="n">
        <f aca="false">IF(S33&lt;0,-S33,0)</f>
        <v>0</v>
      </c>
      <c r="T36" s="185" t="n">
        <f aca="false">IF(T33&lt;0,-T33,0)</f>
        <v>0</v>
      </c>
      <c r="U36" s="185" t="n">
        <f aca="false">IF(U33&lt;0,-U33,0)</f>
        <v>0</v>
      </c>
      <c r="V36" s="185" t="n">
        <f aca="false">IF(V33&lt;0,-V33,0)</f>
        <v>315.913440974077</v>
      </c>
      <c r="W36" s="185" t="n">
        <f aca="false">IF(W33&lt;0,-W33,0)</f>
        <v>826.564120649857</v>
      </c>
      <c r="X36" s="185" t="n">
        <f aca="false">IF(X33&lt;0,-X33,0)</f>
        <v>899.051122967066</v>
      </c>
      <c r="Y36" s="185" t="n">
        <f aca="false">IF(Y33&lt;0,-Y33,0)</f>
        <v>981.573746938527</v>
      </c>
      <c r="Z36" s="185" t="n">
        <f aca="false">IF(Z33&lt;0,-Z33,0)</f>
        <v>1071.38528814254</v>
      </c>
      <c r="AA36" s="185" t="n">
        <f aca="false">IF(AA33&lt;0,-AA33,0)</f>
        <v>1168.86972230438</v>
      </c>
      <c r="AB36" s="185" t="n">
        <f aca="false">IF(AB33&lt;0,-AB33,0)</f>
        <v>1274.80057502174</v>
      </c>
      <c r="AC36" s="185" t="n">
        <f aca="false">IF(AC33&lt;0,-AC33,0)</f>
        <v>1389.80620754208</v>
      </c>
      <c r="AD36" s="185" t="n">
        <f aca="false">IF(AD33&lt;0,-AD33,0)</f>
        <v>1514.8896670202</v>
      </c>
      <c r="AE36" s="185" t="n">
        <f aca="false">IF(AE33&lt;0,-AE33,0)</f>
        <v>1650.61768093305</v>
      </c>
      <c r="AF36" s="185" t="n">
        <f aca="false">IF(AF33&lt;0,-AF33,0)</f>
        <v>1818.51248472623</v>
      </c>
    </row>
    <row r="37" customFormat="false" ht="12.75" hidden="false" customHeight="false" outlineLevel="0" collapsed="false">
      <c r="A37" s="31" t="s">
        <v>395</v>
      </c>
      <c r="B37" s="433" t="n">
        <v>0</v>
      </c>
      <c r="C37" s="434" t="n">
        <v>0</v>
      </c>
      <c r="D37" s="434" t="n">
        <v>0</v>
      </c>
      <c r="E37" s="434" t="n">
        <v>0</v>
      </c>
      <c r="F37" s="434" t="n">
        <v>0</v>
      </c>
      <c r="G37" s="434" t="n">
        <v>0</v>
      </c>
      <c r="H37" s="434" t="n">
        <v>0</v>
      </c>
      <c r="I37" s="434" t="n">
        <v>0</v>
      </c>
      <c r="J37" s="434" t="n">
        <v>0</v>
      </c>
      <c r="K37" s="434" t="n">
        <v>0</v>
      </c>
      <c r="L37" s="434" t="n">
        <v>0</v>
      </c>
      <c r="M37" s="434" t="n">
        <v>0</v>
      </c>
      <c r="N37" s="434" t="n">
        <v>0</v>
      </c>
      <c r="O37" s="434" t="n">
        <v>0</v>
      </c>
      <c r="P37" s="435" t="n">
        <v>0</v>
      </c>
      <c r="Q37" s="436" t="n">
        <f aca="false">IF(-SUM(B38:P38,B37:P37)&gt;B36,0,-B36-SUM(B38:P38,B37:P37))</f>
        <v>-634.583979224395</v>
      </c>
      <c r="R37" s="436" t="n">
        <f aca="false">IF(-SUM(C38:Q38,C37:Q37)&gt;C36,0,-C36-SUM(C38:Q38,C37:Q37))</f>
        <v>-232.14364587965</v>
      </c>
      <c r="S37" s="436" t="n">
        <f aca="false">IF(-SUM(D38:R38,D37:R37)&gt;D36,0,-D36-SUM(D38:R38,D37:R37))</f>
        <v>0</v>
      </c>
      <c r="T37" s="436" t="n">
        <f aca="false">IF(-SUM(E38:S38,E37:S37)&gt;E36,0,-E36-SUM(E38:S38,E37:S37))</f>
        <v>0</v>
      </c>
      <c r="U37" s="436" t="n">
        <f aca="false">IF(-SUM(F38:T38,F37:T37)&gt;F36,0,-F36-SUM(F38:T38,F37:T37))</f>
        <v>0</v>
      </c>
      <c r="V37" s="436" t="n">
        <f aca="false">IF(-SUM(G38:U38,G37:U37)&gt;G36,0,-G36-SUM(G38:U38,G37:U37))</f>
        <v>0</v>
      </c>
      <c r="W37" s="436" t="n">
        <f aca="false">IF(-SUM(H38:V38,H37:V37)&gt;H36,0,-H36-SUM(H38:V38,H37:V37))</f>
        <v>0</v>
      </c>
      <c r="X37" s="436" t="n">
        <f aca="false">IF(-SUM(I38:W38,I37:W37)&gt;I36,0,-I36-SUM(I38:W38,I37:W37))</f>
        <v>0</v>
      </c>
      <c r="Y37" s="436" t="n">
        <f aca="false">IF(-SUM(J38:X38,J37:X37)&gt;J36,0,-J36-SUM(J38:X38,J37:X37))</f>
        <v>0</v>
      </c>
      <c r="Z37" s="436" t="n">
        <f aca="false">IF(-SUM(K38:Y38,K37:Y37)&gt;K36,0,-K36-SUM(K38:Y38,K37:Y37))</f>
        <v>0</v>
      </c>
      <c r="AA37" s="436" t="n">
        <f aca="false">IF(-SUM(L38:Z38,L37:Z37)&gt;L36,0,-L36-SUM(L38:Z38,L37:Z37))</f>
        <v>0</v>
      </c>
      <c r="AB37" s="436" t="n">
        <f aca="false">IF(-SUM(M38:AA38,M37:AA37)&gt;M36,0,-M36-SUM(M38:AA38,M37:AA37))</f>
        <v>0</v>
      </c>
      <c r="AC37" s="436" t="n">
        <f aca="false">IF(-SUM(N38:AB38,N37:AB37)&gt;N36,0,-N36-SUM(N38:AB38,N37:AB37))</f>
        <v>0</v>
      </c>
      <c r="AD37" s="436" t="n">
        <f aca="false">IF(-SUM(O38:AC38,O37:AC37)&gt;O36,0,-O36-SUM(O38:AC38,O37:AC37))</f>
        <v>0</v>
      </c>
      <c r="AE37" s="436" t="n">
        <f aca="false">IF(-SUM(P38:AD38,P37:AD37)&gt;P36,0,-P36-SUM(P38:AD38,P37:AD37))</f>
        <v>0</v>
      </c>
      <c r="AF37" s="436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404</v>
      </c>
      <c r="B38" s="302" t="n">
        <f aca="false">IF(B33&lt;0,0,IF(B35&gt;B33,-B33,-B35))</f>
        <v>0</v>
      </c>
      <c r="C38" s="302" t="n">
        <f aca="false">IF(C33&lt;0,0,IF(C35&gt;C33,-C33,-C35))</f>
        <v>0</v>
      </c>
      <c r="D38" s="302" t="n">
        <f aca="false">IF(D33&lt;0,0,IF(D35&gt;D33,-D33,-D35))</f>
        <v>0</v>
      </c>
      <c r="E38" s="302" t="n">
        <f aca="false">IF(E33&lt;0,0,IF(E35&gt;E33,-E33,-E35))</f>
        <v>0</v>
      </c>
      <c r="F38" s="302" t="n">
        <f aca="false">IF(F33&lt;0,0,IF(F35&gt;F33,-F33,-F35))</f>
        <v>0</v>
      </c>
      <c r="G38" s="302" t="n">
        <f aca="false">IF(G33&lt;0,0,IF(G35&gt;G33,-G33,-G35))</f>
        <v>0</v>
      </c>
      <c r="H38" s="302" t="n">
        <f aca="false">IF(H33&lt;0,0,IF(H35&gt;H33,-H33,-H35))</f>
        <v>0</v>
      </c>
      <c r="I38" s="302" t="n">
        <f aca="false">IF(I33&lt;0,0,IF(I35&gt;I33,-I33,-I35))</f>
        <v>0</v>
      </c>
      <c r="J38" s="302" t="n">
        <f aca="false">IF(J33&lt;0,0,IF(J35&gt;J33,-J33,-J35))</f>
        <v>0</v>
      </c>
      <c r="K38" s="302" t="n">
        <f aca="false">IF(K33&lt;0,0,IF(K35&gt;K33,-K33,-K35))</f>
        <v>0</v>
      </c>
      <c r="L38" s="302" t="n">
        <f aca="false">IF(L33&lt;0,0,IF(L35&gt;L33,-L33,-L35))</f>
        <v>0</v>
      </c>
      <c r="M38" s="302" t="n">
        <f aca="false">IF(M33&lt;0,0,IF(M35&gt;M33,-M33,-M35))</f>
        <v>0</v>
      </c>
      <c r="N38" s="302" t="n">
        <f aca="false">IF(N33&lt;0,0,IF(N35&gt;N33,-N33,-N35))</f>
        <v>0</v>
      </c>
      <c r="O38" s="302" t="n">
        <f aca="false">IF(O33&lt;0,0,IF(O35&gt;O33,-O33,-O35))</f>
        <v>0</v>
      </c>
      <c r="P38" s="302" t="n">
        <f aca="false">IF(P33&lt;0,0,IF(P35&gt;P33,-P33,-P35))</f>
        <v>0</v>
      </c>
      <c r="Q38" s="302" t="n">
        <f aca="false">IF(Q33&lt;0,0,IF(Q35&gt;Q33,-Q33,-Q35))</f>
        <v>-223.623534709405</v>
      </c>
      <c r="R38" s="302" t="n">
        <f aca="false">IF(R33&lt;0,0,IF(R35&gt;R33,-R33,-R35))</f>
        <v>-527.510839291481</v>
      </c>
      <c r="S38" s="302" t="n">
        <f aca="false">IF(S33&lt;0,0,IF(S35&gt;S33,-S33,-S35))</f>
        <v>-553.113089449534</v>
      </c>
      <c r="T38" s="302" t="n">
        <f aca="false">IF(T33&lt;0,0,IF(T35&gt;T33,-T33,-T35))</f>
        <v>-0</v>
      </c>
      <c r="U38" s="302" t="n">
        <f aca="false">IF(U33&lt;0,0,IF(U35&gt;U33,-U33,-U35))</f>
        <v>-0</v>
      </c>
      <c r="V38" s="302" t="n">
        <f aca="false">IF(V33&lt;0,0,IF(V35&gt;V33,-V33,-V35))</f>
        <v>0</v>
      </c>
      <c r="W38" s="302" t="n">
        <f aca="false">IF(W33&lt;0,0,IF(W35&gt;W33,-W33,-W35))</f>
        <v>0</v>
      </c>
      <c r="X38" s="302" t="n">
        <f aca="false">IF(X33&lt;0,0,IF(X35&gt;X33,-X33,-X35))</f>
        <v>0</v>
      </c>
      <c r="Y38" s="302" t="n">
        <f aca="false">IF(Y33&lt;0,0,IF(Y35&gt;Y33,-Y33,-Y35))</f>
        <v>0</v>
      </c>
      <c r="Z38" s="302" t="n">
        <f aca="false">IF(Z33&lt;0,0,IF(Z35&gt;Z33,-Z33,-Z35))</f>
        <v>0</v>
      </c>
      <c r="AA38" s="302" t="n">
        <f aca="false">IF(AA33&lt;0,0,IF(AA35&gt;AA33,-AA33,-AA35))</f>
        <v>0</v>
      </c>
      <c r="AB38" s="302" t="n">
        <f aca="false">IF(AB33&lt;0,0,IF(AB35&gt;AB33,-AB33,-AB35))</f>
        <v>0</v>
      </c>
      <c r="AC38" s="302" t="n">
        <f aca="false">IF(AC33&lt;0,0,IF(AC35&gt;AC33,-AC33,-AC35))</f>
        <v>0</v>
      </c>
      <c r="AD38" s="302" t="n">
        <f aca="false">IF(AD33&lt;0,0,IF(AD35&gt;AD33,-AD33,-AD35))</f>
        <v>0</v>
      </c>
      <c r="AE38" s="302" t="n">
        <f aca="false">IF(AE33&lt;0,0,IF(AE35&gt;AE33,-AE33,-AE35))</f>
        <v>0</v>
      </c>
      <c r="AF38" s="302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397</v>
      </c>
      <c r="B39" s="302" t="n">
        <f aca="false">SUM(B35:B38)</f>
        <v>634.583979224395</v>
      </c>
      <c r="C39" s="302" t="n">
        <f aca="false">SUM(C35:C38)</f>
        <v>1724.93513903784</v>
      </c>
      <c r="D39" s="302" t="n">
        <f aca="false">SUM(D35:D38)</f>
        <v>2747.20762574982</v>
      </c>
      <c r="E39" s="302" t="n">
        <f aca="false">SUM(E35:E38)</f>
        <v>3477.82963771175</v>
      </c>
      <c r="F39" s="302" t="n">
        <f aca="false">SUM(F35:F38)</f>
        <v>4034.60669522191</v>
      </c>
      <c r="G39" s="302" t="n">
        <f aca="false">SUM(G35:G38)</f>
        <v>4409.18102447234</v>
      </c>
      <c r="H39" s="302" t="n">
        <f aca="false">SUM(H35:H38)</f>
        <v>4688.56240884483</v>
      </c>
      <c r="I39" s="302" t="n">
        <f aca="false">SUM(I35:I38)</f>
        <v>4957.6769375467</v>
      </c>
      <c r="J39" s="302" t="n">
        <f aca="false">SUM(J35:J38)</f>
        <v>5192.00829643222</v>
      </c>
      <c r="K39" s="302" t="n">
        <f aca="false">SUM(K35:K38)</f>
        <v>5413.44289267375</v>
      </c>
      <c r="L39" s="302" t="n">
        <f aca="false">SUM(L35:L38)</f>
        <v>5595.83416243278</v>
      </c>
      <c r="M39" s="302" t="n">
        <f aca="false">SUM(M35:M38)</f>
        <v>5762.09047281043</v>
      </c>
      <c r="N39" s="302" t="n">
        <f aca="false">SUM(N35:N38)</f>
        <v>5884.31481149645</v>
      </c>
      <c r="O39" s="302" t="n">
        <f aca="false">SUM(O35:O38)</f>
        <v>5986.49765495232</v>
      </c>
      <c r="P39" s="302" t="n">
        <f aca="false">SUM(P35:P38)</f>
        <v>6065.53315226726</v>
      </c>
      <c r="Q39" s="302" t="n">
        <f aca="false">SUM(Q35:Q38)</f>
        <v>5207.32563833346</v>
      </c>
      <c r="R39" s="302" t="n">
        <f aca="false">SUM(R35:R38)</f>
        <v>4447.67115316233</v>
      </c>
      <c r="S39" s="302" t="n">
        <f aca="false">SUM(S35:S38)</f>
        <v>3894.55806371279</v>
      </c>
      <c r="T39" s="302" t="n">
        <f aca="false">SUM(T35:T38)</f>
        <v>0</v>
      </c>
      <c r="U39" s="302" t="n">
        <f aca="false">SUM(U35:U38)</f>
        <v>0</v>
      </c>
      <c r="V39" s="302" t="n">
        <f aca="false">SUM(V35:V38)</f>
        <v>315.913440974077</v>
      </c>
      <c r="W39" s="302" t="n">
        <f aca="false">SUM(W35:W38)</f>
        <v>1142.47756162393</v>
      </c>
      <c r="X39" s="302" t="n">
        <f aca="false">SUM(X35:X38)</f>
        <v>2041.528684591</v>
      </c>
      <c r="Y39" s="302" t="n">
        <f aca="false">SUM(Y35:Y38)</f>
        <v>3023.10243152953</v>
      </c>
      <c r="Z39" s="302" t="n">
        <f aca="false">SUM(Z35:Z38)</f>
        <v>4094.48771967206</v>
      </c>
      <c r="AA39" s="302" t="n">
        <f aca="false">SUM(AA35:AA38)</f>
        <v>5263.35744197644</v>
      </c>
      <c r="AB39" s="302" t="n">
        <f aca="false">SUM(AB35:AB38)</f>
        <v>6538.15801699818</v>
      </c>
      <c r="AC39" s="302" t="n">
        <f aca="false">SUM(AC35:AC38)</f>
        <v>7927.96422454026</v>
      </c>
      <c r="AD39" s="302" t="n">
        <f aca="false">SUM(AD35:AD38)</f>
        <v>9442.85389156046</v>
      </c>
      <c r="AE39" s="302" t="n">
        <f aca="false">SUM(AE35:AE38)</f>
        <v>11093.4715724935</v>
      </c>
      <c r="AF39" s="302" t="n">
        <f aca="false">SUM(AF35:AF38)</f>
        <v>12911.9840572197</v>
      </c>
    </row>
    <row r="40" customFormat="false" ht="12.75" hidden="false" customHeight="false" outlineLevel="0" collapsed="false">
      <c r="A40" s="31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</row>
    <row r="41" customFormat="false" ht="12.75" hidden="false" customHeight="false" outlineLevel="0" collapsed="false">
      <c r="A41" s="191" t="s">
        <v>398</v>
      </c>
      <c r="B41" s="303" t="n">
        <f aca="false">IF(B30&lt;0,0,B38+B33)</f>
        <v>0</v>
      </c>
      <c r="C41" s="303" t="n">
        <f aca="false">IF(C30&lt;0,0,C38+C33)</f>
        <v>0</v>
      </c>
      <c r="D41" s="303" t="n">
        <f aca="false">IF(D30&lt;0,0,D38+D33)</f>
        <v>0</v>
      </c>
      <c r="E41" s="303" t="n">
        <f aca="false">IF(E30&lt;0,0,E38+E33)</f>
        <v>0</v>
      </c>
      <c r="F41" s="303" t="n">
        <f aca="false">IF(F30&lt;0,0,F38+F33)</f>
        <v>0</v>
      </c>
      <c r="G41" s="303" t="n">
        <f aca="false">IF(G30&lt;0,0,G38+G33)</f>
        <v>0</v>
      </c>
      <c r="H41" s="303" t="n">
        <f aca="false">IF(H30&lt;0,0,H38+H33)</f>
        <v>0</v>
      </c>
      <c r="I41" s="303" t="n">
        <f aca="false">IF(I30&lt;0,0,I38+I33)</f>
        <v>0</v>
      </c>
      <c r="J41" s="303" t="n">
        <f aca="false">IF(J30&lt;0,0,J38+J33)</f>
        <v>0</v>
      </c>
      <c r="K41" s="303" t="n">
        <f aca="false">IF(K30&lt;0,0,K38+K33)</f>
        <v>0</v>
      </c>
      <c r="L41" s="303" t="n">
        <f aca="false">IF(L30&lt;0,0,L38+L33)</f>
        <v>0</v>
      </c>
      <c r="M41" s="303" t="n">
        <f aca="false">IF(M30&lt;0,0,M38+M33)</f>
        <v>0</v>
      </c>
      <c r="N41" s="303" t="n">
        <f aca="false">IF(N30&lt;0,0,N38+N33)</f>
        <v>0</v>
      </c>
      <c r="O41" s="303" t="n">
        <f aca="false">IF(O30&lt;0,0,O38+O33)</f>
        <v>0</v>
      </c>
      <c r="P41" s="303" t="n">
        <f aca="false">IF(P30&lt;0,0,P38+P33)</f>
        <v>0</v>
      </c>
      <c r="Q41" s="303" t="n">
        <f aca="false">IF(Q30&lt;0,0,Q38+Q33)</f>
        <v>0</v>
      </c>
      <c r="R41" s="303" t="n">
        <f aca="false">IF(R30&lt;0,0,R38+R33)</f>
        <v>0</v>
      </c>
      <c r="S41" s="303" t="n">
        <f aca="false">IF(S30&lt;0,0,S38+S33)</f>
        <v>0</v>
      </c>
      <c r="T41" s="303" t="n">
        <f aca="false">IF(T30&lt;0,0,T38+T33)</f>
        <v>539.392574298658</v>
      </c>
      <c r="U41" s="303" t="n">
        <f aca="false">IF(U30&lt;0,0,U38+U33)</f>
        <v>565.20648940316</v>
      </c>
      <c r="V41" s="303" t="n">
        <f aca="false">IF(V30&lt;0,0,V38+V33)</f>
        <v>0</v>
      </c>
      <c r="W41" s="303" t="n">
        <f aca="false">IF(W30&lt;0,0,W38+W33)</f>
        <v>0</v>
      </c>
      <c r="X41" s="303" t="n">
        <f aca="false">IF(X30&lt;0,0,X38+X33)</f>
        <v>0</v>
      </c>
      <c r="Y41" s="303" t="n">
        <f aca="false">IF(Y30&lt;0,0,Y38+Y33)</f>
        <v>0</v>
      </c>
      <c r="Z41" s="303" t="n">
        <f aca="false">IF(Z30&lt;0,0,Z38+Z33)</f>
        <v>0</v>
      </c>
      <c r="AA41" s="303" t="n">
        <f aca="false">IF(AA30&lt;0,0,AA38+AA33)</f>
        <v>0</v>
      </c>
      <c r="AB41" s="303" t="n">
        <f aca="false">IF(AB30&lt;0,0,AB38+AB33)</f>
        <v>0</v>
      </c>
      <c r="AC41" s="303" t="n">
        <f aca="false">IF(AC30&lt;0,0,AC38+AC33)</f>
        <v>0</v>
      </c>
      <c r="AD41" s="303" t="n">
        <f aca="false">IF(AD30&lt;0,0,AD38+AD33)</f>
        <v>0</v>
      </c>
      <c r="AE41" s="303" t="n">
        <f aca="false">IF(AE30&lt;0,0,AE38+AE33)</f>
        <v>0</v>
      </c>
      <c r="AF41" s="303" t="n">
        <f aca="false">IF(AF30&lt;0,0,AF38+AF33)</f>
        <v>0</v>
      </c>
    </row>
    <row r="42" customFormat="false" ht="12.75" hidden="false" customHeight="false" outlineLevel="0" collapsed="false">
      <c r="A42" s="191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438"/>
      <c r="Y42" s="438"/>
    </row>
    <row r="43" customFormat="false" ht="12.75" hidden="false" customHeight="false" outlineLevel="0" collapsed="false"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</row>
    <row r="44" customFormat="false" ht="12.75" hidden="false" customHeight="false" outlineLevel="0" collapsed="false"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</row>
    <row r="45" customFormat="false" ht="12.75" hidden="false" customHeight="false" outlineLevel="0" collapsed="false"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</row>
    <row r="46" customFormat="false" ht="12.75" hidden="false" customHeight="false" outlineLevel="0" collapsed="false"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</row>
    <row r="47" customFormat="false" ht="12.75" hidden="false" customHeight="false" outlineLevel="0" collapsed="false"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</row>
    <row r="48" customFormat="false" ht="12.75" hidden="false" customHeight="false" outlineLevel="0" collapsed="false">
      <c r="X48" s="113"/>
      <c r="Y48" s="113"/>
    </row>
    <row r="49" customFormat="false" ht="12.75" hidden="false" customHeight="false" outlineLevel="0" collapsed="false">
      <c r="X49" s="113"/>
      <c r="Y49" s="113"/>
    </row>
    <row r="50" customFormat="false" ht="12.75" hidden="false" customHeight="false" outlineLevel="0" collapsed="false">
      <c r="X50" s="113"/>
      <c r="Y50" s="113"/>
    </row>
    <row r="51" customFormat="false" ht="12.75" hidden="false" customHeight="false" outlineLevel="0" collapsed="false">
      <c r="X51" s="113"/>
      <c r="Y51" s="113"/>
    </row>
    <row r="52" customFormat="false" ht="12.75" hidden="false" customHeight="false" outlineLevel="0" collapsed="false">
      <c r="X52" s="113"/>
      <c r="Y52" s="113"/>
    </row>
    <row r="53" customFormat="false" ht="12.75" hidden="false" customHeight="false" outlineLevel="0" collapsed="false">
      <c r="X53" s="113"/>
      <c r="Y53" s="113"/>
    </row>
    <row r="54" customFormat="false" ht="12.75" hidden="false" customHeight="false" outlineLevel="0" collapsed="false">
      <c r="X54" s="113"/>
      <c r="Y54" s="11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Rochester</v>
      </c>
    </row>
    <row r="4" customFormat="false" ht="18.75" hidden="false" customHeight="false" outlineLevel="0" collapsed="false">
      <c r="A4" s="425" t="s">
        <v>405</v>
      </c>
      <c r="B4" s="439"/>
      <c r="C4" s="7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7"/>
      <c r="C5" s="419"/>
      <c r="D5" s="419"/>
      <c r="E5" s="419"/>
      <c r="F5" s="419"/>
      <c r="G5" s="419"/>
      <c r="H5" s="419"/>
      <c r="I5" s="428"/>
      <c r="J5" s="419"/>
      <c r="K5" s="419"/>
      <c r="L5" s="419"/>
      <c r="M5" s="419"/>
      <c r="N5" s="419"/>
      <c r="O5" s="428"/>
      <c r="P5" s="419"/>
      <c r="Q5" s="419"/>
      <c r="R5" s="419"/>
      <c r="S5" s="419"/>
      <c r="T5" s="419"/>
      <c r="U5" s="428"/>
      <c r="V5" s="419"/>
      <c r="W5" s="419"/>
      <c r="X5" s="427"/>
      <c r="Y5" s="427"/>
    </row>
    <row r="6" customFormat="false" ht="12.75" hidden="false" customHeight="false" outlineLevel="0" collapsed="false">
      <c r="A6" s="24" t="s">
        <v>406</v>
      </c>
      <c r="B6" s="440"/>
      <c r="C6" s="441" t="n">
        <v>33317.08</v>
      </c>
      <c r="D6" s="442"/>
      <c r="E6" s="442"/>
      <c r="F6" s="442"/>
      <c r="G6" s="442"/>
      <c r="H6" s="442"/>
      <c r="I6" s="443"/>
      <c r="J6" s="442"/>
      <c r="K6" s="442"/>
      <c r="L6" s="442"/>
      <c r="M6" s="442"/>
      <c r="N6" s="442"/>
      <c r="O6" s="443"/>
      <c r="P6" s="442"/>
      <c r="Q6" s="442"/>
      <c r="R6" s="442"/>
      <c r="S6" s="442"/>
      <c r="T6" s="442"/>
      <c r="U6" s="443"/>
      <c r="V6" s="442"/>
      <c r="W6" s="442"/>
      <c r="X6" s="440"/>
      <c r="Y6" s="440"/>
    </row>
    <row r="7" customFormat="false" ht="12.75" hidden="false" customHeight="false" outlineLevel="0" collapsed="false">
      <c r="A7" s="24" t="s">
        <v>407</v>
      </c>
      <c r="B7" s="440"/>
      <c r="C7" s="444" t="n">
        <f aca="false">Assumptions!H16</f>
        <v>5</v>
      </c>
      <c r="D7" s="442"/>
      <c r="E7" s="442"/>
      <c r="F7" s="442"/>
      <c r="G7" s="442"/>
      <c r="H7" s="442"/>
      <c r="I7" s="443"/>
      <c r="J7" s="442"/>
      <c r="K7" s="442"/>
      <c r="L7" s="442"/>
      <c r="M7" s="442"/>
      <c r="N7" s="442"/>
      <c r="O7" s="443"/>
      <c r="P7" s="442"/>
      <c r="Q7" s="442"/>
      <c r="R7" s="442"/>
      <c r="S7" s="442"/>
      <c r="T7" s="442"/>
      <c r="U7" s="443"/>
      <c r="V7" s="442"/>
      <c r="W7" s="442"/>
      <c r="X7" s="440"/>
      <c r="Y7" s="440"/>
    </row>
    <row r="8" customFormat="false" ht="12.75" hidden="false" customHeight="false" outlineLevel="0" collapsed="false">
      <c r="A8" s="24" t="s">
        <v>408</v>
      </c>
      <c r="B8" s="440"/>
      <c r="C8" s="445" t="n">
        <f aca="false">Assumptions!H39</f>
        <v>0.0825</v>
      </c>
      <c r="D8" s="446" t="n">
        <f aca="false">C8/360</f>
        <v>0.000229166666666667</v>
      </c>
      <c r="E8" s="442"/>
      <c r="F8" s="442"/>
      <c r="G8" s="442"/>
      <c r="H8" s="442"/>
      <c r="I8" s="443"/>
      <c r="J8" s="442"/>
      <c r="K8" s="442"/>
      <c r="L8" s="442"/>
      <c r="M8" s="442"/>
      <c r="N8" s="442"/>
      <c r="O8" s="443"/>
      <c r="P8" s="442"/>
      <c r="Q8" s="442"/>
      <c r="R8" s="442"/>
      <c r="S8" s="442"/>
      <c r="T8" s="442"/>
      <c r="U8" s="443"/>
      <c r="V8" s="442"/>
      <c r="W8" s="442"/>
      <c r="X8" s="440"/>
      <c r="Y8" s="440"/>
    </row>
    <row r="9" customFormat="false" ht="12.75" hidden="false" customHeight="false" outlineLevel="0" collapsed="false">
      <c r="A9" s="24"/>
      <c r="B9" s="440"/>
      <c r="C9" s="447" t="s">
        <v>409</v>
      </c>
      <c r="D9" s="447" t="s">
        <v>410</v>
      </c>
      <c r="E9" s="442"/>
      <c r="F9" s="442"/>
      <c r="G9" s="442"/>
      <c r="H9" s="442"/>
      <c r="I9" s="443"/>
      <c r="J9" s="442"/>
      <c r="K9" s="442"/>
      <c r="L9" s="442"/>
      <c r="M9" s="442"/>
      <c r="N9" s="442"/>
      <c r="O9" s="443"/>
      <c r="P9" s="442"/>
      <c r="Q9" s="442"/>
      <c r="R9" s="442"/>
      <c r="S9" s="442"/>
      <c r="T9" s="442"/>
      <c r="U9" s="443"/>
      <c r="V9" s="442"/>
      <c r="W9" s="442"/>
      <c r="X9" s="440"/>
      <c r="Y9" s="440"/>
    </row>
    <row r="10" customFormat="false" ht="12.75" hidden="false" customHeight="false" outlineLevel="0" collapsed="false">
      <c r="A10" s="24"/>
      <c r="B10" s="440"/>
      <c r="C10" s="447"/>
      <c r="D10" s="447"/>
      <c r="E10" s="442"/>
      <c r="F10" s="442"/>
      <c r="G10" s="442"/>
      <c r="H10" s="442"/>
      <c r="I10" s="443"/>
      <c r="J10" s="442"/>
      <c r="K10" s="442"/>
      <c r="L10" s="442"/>
      <c r="M10" s="442"/>
      <c r="N10" s="442"/>
      <c r="O10" s="443"/>
      <c r="P10" s="442"/>
      <c r="Q10" s="442"/>
      <c r="R10" s="442"/>
      <c r="S10" s="442"/>
      <c r="T10" s="442"/>
      <c r="U10" s="443"/>
      <c r="V10" s="442"/>
      <c r="W10" s="442"/>
      <c r="X10" s="440"/>
      <c r="Y10" s="440"/>
    </row>
    <row r="11" customFormat="false" ht="12.75" hidden="false" customHeight="false" outlineLevel="0" collapsed="false">
      <c r="A11" s="24"/>
      <c r="B11" s="440"/>
      <c r="C11" s="447"/>
      <c r="D11" s="447"/>
      <c r="E11" s="442"/>
      <c r="F11" s="442"/>
      <c r="G11" s="442"/>
      <c r="H11" s="442"/>
      <c r="I11" s="443"/>
      <c r="J11" s="442"/>
      <c r="K11" s="442"/>
      <c r="L11" s="442"/>
      <c r="M11" s="442"/>
      <c r="N11" s="442"/>
      <c r="O11" s="443"/>
      <c r="P11" s="442"/>
      <c r="Q11" s="442"/>
      <c r="R11" s="442"/>
      <c r="S11" s="442"/>
      <c r="T11" s="442"/>
      <c r="U11" s="443"/>
      <c r="V11" s="442"/>
      <c r="W11" s="442"/>
      <c r="X11" s="440"/>
      <c r="Y11" s="440"/>
    </row>
    <row r="12" customFormat="false" ht="12.75" hidden="false" customHeight="false" outlineLevel="0" collapsed="false">
      <c r="A12" s="3"/>
      <c r="B12" s="448"/>
      <c r="C12" s="448"/>
      <c r="D12" s="449" t="s">
        <v>411</v>
      </c>
      <c r="E12" s="450" t="s">
        <v>412</v>
      </c>
      <c r="F12" s="448"/>
      <c r="G12" s="448"/>
      <c r="H12" s="448"/>
      <c r="I12" s="448"/>
      <c r="J12" s="179"/>
    </row>
    <row r="13" customFormat="false" ht="12.75" hidden="false" customHeight="false" outlineLevel="0" collapsed="false">
      <c r="A13" s="450" t="s">
        <v>413</v>
      </c>
      <c r="B13" s="3"/>
      <c r="C13" s="3"/>
      <c r="D13" s="449" t="s">
        <v>414</v>
      </c>
      <c r="E13" s="449" t="s">
        <v>415</v>
      </c>
      <c r="F13" s="449" t="s">
        <v>416</v>
      </c>
      <c r="G13" s="451" t="s">
        <v>417</v>
      </c>
      <c r="H13" s="449" t="s">
        <v>418</v>
      </c>
      <c r="I13" s="449" t="s">
        <v>419</v>
      </c>
      <c r="J13" s="153"/>
    </row>
    <row r="14" customFormat="false" ht="12.75" hidden="false" customHeight="false" outlineLevel="0" collapsed="false">
      <c r="A14" s="452" t="s">
        <v>420</v>
      </c>
      <c r="B14" s="452" t="s">
        <v>421</v>
      </c>
      <c r="C14" s="452" t="s">
        <v>422</v>
      </c>
      <c r="D14" s="452" t="s">
        <v>423</v>
      </c>
      <c r="E14" s="452" t="s">
        <v>423</v>
      </c>
      <c r="F14" s="452" t="s">
        <v>423</v>
      </c>
      <c r="G14" s="452" t="s">
        <v>423</v>
      </c>
      <c r="H14" s="452" t="s">
        <v>423</v>
      </c>
      <c r="I14" s="452" t="s">
        <v>423</v>
      </c>
      <c r="J14" s="153"/>
    </row>
    <row r="15" customFormat="false" ht="12.75" hidden="false" customHeight="false" outlineLevel="0" collapsed="false">
      <c r="A15" s="453" t="n">
        <v>1</v>
      </c>
      <c r="B15" s="454" t="n">
        <v>36617</v>
      </c>
      <c r="C15" s="455" t="n">
        <f aca="false">HLOOKUP(Assumptions!$H$12,IDC!$H$40:$L$56,2+F42)</f>
        <v>0.1</v>
      </c>
      <c r="D15" s="456" t="n">
        <f aca="false">D59*3</f>
        <v>42781.3488219951</v>
      </c>
      <c r="E15" s="424" t="n">
        <f aca="false">C15*$C$6</f>
        <v>3331.708</v>
      </c>
      <c r="F15" s="424" t="n">
        <f aca="false">+E15+D15</f>
        <v>46113.0568219951</v>
      </c>
      <c r="G15" s="424" t="n">
        <f aca="false">F15+H15</f>
        <v>46113.0568219951</v>
      </c>
      <c r="H15" s="424" t="n">
        <v>0</v>
      </c>
      <c r="I15" s="424" t="n">
        <v>0</v>
      </c>
      <c r="K15" s="457"/>
    </row>
    <row r="16" customFormat="false" ht="12.75" hidden="false" customHeight="false" outlineLevel="0" collapsed="false">
      <c r="A16" s="453" t="n">
        <f aca="false">A15+1</f>
        <v>2</v>
      </c>
      <c r="B16" s="454" t="n">
        <v>36647</v>
      </c>
      <c r="C16" s="455" t="n">
        <f aca="false">HLOOKUP(Assumptions!$H$12,IDC!$H$40:$L$56,2+F43)</f>
        <v>0.04</v>
      </c>
      <c r="D16" s="456" t="n">
        <v>0</v>
      </c>
      <c r="E16" s="424" t="n">
        <f aca="false">C16*$C$6</f>
        <v>1332.6832</v>
      </c>
      <c r="F16" s="424" t="n">
        <f aca="false">+E16+D16</f>
        <v>1332.6832</v>
      </c>
      <c r="G16" s="424" t="n">
        <f aca="false">F16+G15+H16</f>
        <v>47762.7672876463</v>
      </c>
      <c r="H16" s="424" t="n">
        <f aca="false">IF(A16&gt;$C$7+1,0,G15*(B16-B15)*$D$8)</f>
        <v>317.027265651216</v>
      </c>
      <c r="I16" s="424" t="n">
        <f aca="false">IF(A16&lt;=$C$7+1,H16+I15,I15)</f>
        <v>317.027265651216</v>
      </c>
      <c r="K16" s="457"/>
    </row>
    <row r="17" customFormat="false" ht="12.75" hidden="false" customHeight="false" outlineLevel="0" collapsed="false">
      <c r="A17" s="453" t="n">
        <f aca="false">A16+1</f>
        <v>3</v>
      </c>
      <c r="B17" s="454" t="n">
        <v>36678</v>
      </c>
      <c r="C17" s="455" t="n">
        <f aca="false">HLOOKUP(Assumptions!$H$12,IDC!$H$40:$L$56,2+F44)</f>
        <v>0.08</v>
      </c>
      <c r="D17" s="456" t="n">
        <v>0</v>
      </c>
      <c r="E17" s="424" t="n">
        <f aca="false">C17*$C$6</f>
        <v>2665.3664</v>
      </c>
      <c r="F17" s="424" t="n">
        <f aca="false">+E17+D17</f>
        <v>2665.3664</v>
      </c>
      <c r="G17" s="424" t="n">
        <f aca="false">F17+G16+H17</f>
        <v>50767.448346919</v>
      </c>
      <c r="H17" s="424" t="n">
        <f aca="false">IF(A17&gt;$C$7+1,0,G16*(B17-B16)*$D$8)</f>
        <v>339.314659272654</v>
      </c>
      <c r="I17" s="424" t="n">
        <f aca="false">IF(A17&lt;=$C$7+1,H17+I16,I16)</f>
        <v>656.341924923871</v>
      </c>
      <c r="K17" s="457"/>
    </row>
    <row r="18" customFormat="false" ht="12.75" hidden="false" customHeight="false" outlineLevel="0" collapsed="false">
      <c r="A18" s="453" t="n">
        <f aca="false">A17+1</f>
        <v>4</v>
      </c>
      <c r="B18" s="454" t="n">
        <v>36708</v>
      </c>
      <c r="C18" s="455" t="n">
        <f aca="false">HLOOKUP(Assumptions!$H$12,IDC!$H$40:$L$56,2+F45)</f>
        <v>0.12</v>
      </c>
      <c r="D18" s="456" t="n">
        <v>0</v>
      </c>
      <c r="E18" s="424" t="n">
        <f aca="false">C18*$C$6</f>
        <v>3998.0496</v>
      </c>
      <c r="F18" s="424" t="n">
        <f aca="false">+E18+D18</f>
        <v>3998.0496</v>
      </c>
      <c r="G18" s="424" t="n">
        <f aca="false">F18+G17+H18</f>
        <v>55114.5241543041</v>
      </c>
      <c r="H18" s="424" t="n">
        <f aca="false">IF(A18&gt;$C$7+1,0,G17*(B18-B17)*$D$8)</f>
        <v>349.026207385068</v>
      </c>
      <c r="I18" s="424" t="n">
        <f aca="false">IF(A18&lt;=$C$7+1,H18+I17,I17)</f>
        <v>1005.36813230894</v>
      </c>
      <c r="K18" s="457"/>
    </row>
    <row r="19" customFormat="false" ht="12.75" hidden="false" customHeight="false" outlineLevel="0" collapsed="false">
      <c r="A19" s="453" t="n">
        <f aca="false">A18+1</f>
        <v>5</v>
      </c>
      <c r="B19" s="454" t="n">
        <v>36739</v>
      </c>
      <c r="C19" s="455" t="n">
        <f aca="false">HLOOKUP(Assumptions!$H$12,IDC!$H$40:$L$56,2+F46)</f>
        <v>0.12</v>
      </c>
      <c r="D19" s="456" t="n">
        <v>0</v>
      </c>
      <c r="E19" s="424" t="n">
        <f aca="false">C19*$C$6</f>
        <v>3998.0496</v>
      </c>
      <c r="F19" s="424" t="n">
        <f aca="false">+E19+D19</f>
        <v>3998.0496</v>
      </c>
      <c r="G19" s="424" t="n">
        <f aca="false">F19+G18+H19</f>
        <v>59504.1165196503</v>
      </c>
      <c r="H19" s="424" t="n">
        <f aca="false">IF(A19&gt;$C$7+1,0,G18*(B19-B18)*$D$8)</f>
        <v>391.542765346202</v>
      </c>
      <c r="I19" s="424" t="n">
        <f aca="false">IF(A19&lt;=$C$7+1,H19+I18,I18)</f>
        <v>1396.91089765514</v>
      </c>
      <c r="K19" s="457"/>
    </row>
    <row r="20" customFormat="false" ht="12.75" hidden="false" customHeight="false" outlineLevel="0" collapsed="false">
      <c r="A20" s="453" t="n">
        <f aca="false">A19+1</f>
        <v>6</v>
      </c>
      <c r="B20" s="454" t="n">
        <v>36770</v>
      </c>
      <c r="C20" s="455" t="n">
        <f aca="false">HLOOKUP(Assumptions!$H$12,IDC!$H$40:$L$56,2+F47)</f>
        <v>0.12</v>
      </c>
      <c r="D20" s="456" t="n">
        <v>0</v>
      </c>
      <c r="E20" s="424" t="n">
        <f aca="false">C20*$C$6</f>
        <v>3998.0496</v>
      </c>
      <c r="F20" s="424" t="n">
        <f aca="false">+E20+D20</f>
        <v>3998.0496</v>
      </c>
      <c r="G20" s="424" t="n">
        <f aca="false">F20+G19+H20</f>
        <v>63924.8932807586</v>
      </c>
      <c r="H20" s="424" t="n">
        <f aca="false">IF(A20&gt;$C$7+1,0,G19*(B20-B19)*$D$8)</f>
        <v>422.727161108349</v>
      </c>
      <c r="I20" s="424" t="n">
        <f aca="false">IF(A20&lt;=$C$7+1,H20+I19,I19)</f>
        <v>1819.63805876349</v>
      </c>
      <c r="K20" s="457"/>
    </row>
    <row r="21" customFormat="false" ht="12.75" hidden="false" customHeight="false" outlineLevel="0" collapsed="false">
      <c r="A21" s="453" t="n">
        <f aca="false">A20+1</f>
        <v>7</v>
      </c>
      <c r="B21" s="454" t="n">
        <v>36800</v>
      </c>
      <c r="C21" s="455" t="n">
        <f aca="false">HLOOKUP(Assumptions!$H$12,IDC!$H$40:$L$56,2+F48)</f>
        <v>0.1</v>
      </c>
      <c r="D21" s="456" t="n">
        <v>0</v>
      </c>
      <c r="E21" s="424" t="n">
        <f aca="false">C21*$C$6</f>
        <v>3331.708</v>
      </c>
      <c r="F21" s="424" t="n">
        <f aca="false">+E21+D21</f>
        <v>3331.708</v>
      </c>
      <c r="G21" s="424" t="n">
        <f aca="false">F21+G20+H21</f>
        <v>67256.6012807586</v>
      </c>
      <c r="H21" s="424" t="n">
        <f aca="false">IF(A21&gt;$C$7+1,0,G20*(B21-B20)*$D$8)</f>
        <v>0</v>
      </c>
      <c r="I21" s="424" t="n">
        <f aca="false">IF(A21&lt;=$C$7+1,H21+I20,I20)</f>
        <v>1819.63805876349</v>
      </c>
      <c r="K21" s="457"/>
    </row>
    <row r="22" customFormat="false" ht="12.75" hidden="false" customHeight="false" outlineLevel="0" collapsed="false">
      <c r="A22" s="453" t="n">
        <f aca="false">A21+1</f>
        <v>8</v>
      </c>
      <c r="B22" s="454" t="n">
        <v>36831</v>
      </c>
      <c r="C22" s="455" t="n">
        <f aca="false">HLOOKUP(Assumptions!$H$12,IDC!$H$40:$L$56,2+F49)</f>
        <v>0.08</v>
      </c>
      <c r="D22" s="456" t="n">
        <v>0</v>
      </c>
      <c r="E22" s="424" t="n">
        <f aca="false">C22*$C$6</f>
        <v>2665.3664</v>
      </c>
      <c r="F22" s="424" t="n">
        <f aca="false">+E22+D22</f>
        <v>2665.3664</v>
      </c>
      <c r="G22" s="424" t="n">
        <f aca="false">F22+G21+H22</f>
        <v>69921.9676807586</v>
      </c>
      <c r="H22" s="424" t="n">
        <f aca="false">IF(A22&gt;$C$7+1,0,G21*(B22-B21)*$D$8)</f>
        <v>0</v>
      </c>
      <c r="I22" s="424" t="n">
        <f aca="false">IF(A22&lt;=$C$7+1,H22+I21,I21)</f>
        <v>1819.63805876349</v>
      </c>
      <c r="K22" s="457"/>
    </row>
    <row r="23" customFormat="false" ht="12.75" hidden="false" customHeight="false" outlineLevel="0" collapsed="false">
      <c r="A23" s="453" t="n">
        <f aca="false">A22+1</f>
        <v>9</v>
      </c>
      <c r="B23" s="454" t="n">
        <v>36861</v>
      </c>
      <c r="C23" s="455" t="n">
        <f aca="false">HLOOKUP(Assumptions!$H$12,IDC!$H$40:$L$56,2+F50)</f>
        <v>0.06</v>
      </c>
      <c r="D23" s="456" t="n">
        <v>0</v>
      </c>
      <c r="E23" s="424" t="n">
        <f aca="false">C23*$C$6</f>
        <v>1999.0248</v>
      </c>
      <c r="F23" s="424" t="n">
        <f aca="false">+E23+D23</f>
        <v>1999.0248</v>
      </c>
      <c r="G23" s="424" t="n">
        <f aca="false">F23+G22+H23</f>
        <v>71920.9924807586</v>
      </c>
      <c r="H23" s="424" t="n">
        <f aca="false">IF(A23&gt;$C$7+1,0,G22*(B23-B22)*$D$8)</f>
        <v>0</v>
      </c>
      <c r="I23" s="424" t="n">
        <f aca="false">IF(A23&lt;=$C$7+1,H23+I22,I22)</f>
        <v>1819.63805876349</v>
      </c>
      <c r="K23" s="457"/>
    </row>
    <row r="24" customFormat="false" ht="12.75" hidden="false" customHeight="false" outlineLevel="0" collapsed="false">
      <c r="A24" s="453" t="n">
        <f aca="false">A23+1</f>
        <v>10</v>
      </c>
      <c r="B24" s="454" t="n">
        <v>36892</v>
      </c>
      <c r="C24" s="455" t="n">
        <f aca="false">HLOOKUP(Assumptions!$H$12,IDC!$H$40:$L$56,2+F51)</f>
        <v>0.06</v>
      </c>
      <c r="D24" s="456" t="n">
        <v>0</v>
      </c>
      <c r="E24" s="424" t="n">
        <f aca="false">C24*$C$6</f>
        <v>1999.0248</v>
      </c>
      <c r="F24" s="424" t="n">
        <f aca="false">+E24+D24</f>
        <v>1999.0248</v>
      </c>
      <c r="G24" s="424" t="n">
        <f aca="false">F24+G23+H24</f>
        <v>73920.0172807586</v>
      </c>
      <c r="H24" s="424" t="n">
        <f aca="false">IF(A24&gt;$C$7+1,0,G23*(B24-B23)*$D$8)</f>
        <v>0</v>
      </c>
      <c r="I24" s="424" t="n">
        <f aca="false">IF(A24&lt;=$C$7+1,H24+I23,I23)</f>
        <v>1819.63805876349</v>
      </c>
      <c r="K24" s="457"/>
    </row>
    <row r="25" customFormat="false" ht="12.75" hidden="false" customHeight="false" outlineLevel="0" collapsed="false">
      <c r="A25" s="453" t="n">
        <f aca="false">A24+1</f>
        <v>11</v>
      </c>
      <c r="B25" s="454" t="n">
        <v>36923</v>
      </c>
      <c r="C25" s="455" t="n">
        <f aca="false">HLOOKUP(Assumptions!$H$12,IDC!$H$40:$L$56,2+F52)</f>
        <v>0.03</v>
      </c>
      <c r="D25" s="456" t="n">
        <v>0</v>
      </c>
      <c r="E25" s="424" t="n">
        <f aca="false">C25*$C$6</f>
        <v>999.5124</v>
      </c>
      <c r="F25" s="424" t="n">
        <f aca="false">+E25+D25</f>
        <v>999.5124</v>
      </c>
      <c r="G25" s="424" t="n">
        <f aca="false">F25+G24+H25</f>
        <v>74919.5296807586</v>
      </c>
      <c r="H25" s="424" t="n">
        <f aca="false">IF(A25&gt;$C$7+1,0,G24*(B25-B24)*$D$8)</f>
        <v>0</v>
      </c>
      <c r="I25" s="424" t="n">
        <f aca="false">IF(A25&lt;=$C$7+1,H25+I24,I24)</f>
        <v>1819.63805876349</v>
      </c>
      <c r="K25" s="457"/>
    </row>
    <row r="26" customFormat="false" ht="12.75" hidden="false" customHeight="false" outlineLevel="0" collapsed="false">
      <c r="A26" s="453" t="n">
        <f aca="false">A25+1</f>
        <v>12</v>
      </c>
      <c r="B26" s="454" t="n">
        <v>36951</v>
      </c>
      <c r="C26" s="455" t="n">
        <f aca="false">HLOOKUP(Assumptions!$H$12,IDC!$H$40:$L$56,2+F53)</f>
        <v>0.04</v>
      </c>
      <c r="D26" s="456" t="n">
        <v>0</v>
      </c>
      <c r="E26" s="424" t="n">
        <f aca="false">C26*$C$6</f>
        <v>1332.6832</v>
      </c>
      <c r="F26" s="424" t="n">
        <f aca="false">+E26+D26</f>
        <v>1332.6832</v>
      </c>
      <c r="G26" s="424" t="n">
        <f aca="false">F26+G25+H26</f>
        <v>76252.2128807586</v>
      </c>
      <c r="H26" s="424" t="n">
        <f aca="false">IF(A26&gt;$C$7+1,0,G25*(B26-B25)*$D$8)</f>
        <v>0</v>
      </c>
      <c r="I26" s="424" t="n">
        <f aca="false">IF(A26&lt;=$C$7+1,H26+I25,I25)</f>
        <v>1819.63805876349</v>
      </c>
      <c r="K26" s="457"/>
    </row>
    <row r="27" customFormat="false" ht="12.75" hidden="false" customHeight="false" outlineLevel="0" collapsed="false">
      <c r="A27" s="453" t="n">
        <f aca="false">A26+1</f>
        <v>13</v>
      </c>
      <c r="B27" s="454" t="n">
        <v>36982</v>
      </c>
      <c r="C27" s="455" t="n">
        <f aca="false">HLOOKUP(Assumptions!$H$12,IDC!$H$40:$L$56,2+F54)</f>
        <v>0.05</v>
      </c>
      <c r="D27" s="456" t="n">
        <v>0</v>
      </c>
      <c r="E27" s="424" t="n">
        <f aca="false">C27*$C$6</f>
        <v>1665.854</v>
      </c>
      <c r="F27" s="424" t="n">
        <f aca="false">+E27+D27</f>
        <v>1665.854</v>
      </c>
      <c r="G27" s="424" t="n">
        <f aca="false">F27+G26+H27</f>
        <v>77918.0668807586</v>
      </c>
      <c r="H27" s="424" t="n">
        <f aca="false">IF(A27&gt;$C$7+1,0,G26*(B27-B26)*$D$8)</f>
        <v>0</v>
      </c>
      <c r="I27" s="424" t="n">
        <f aca="false">IF(A27&lt;=$C$7+1,H27+I26,I26)</f>
        <v>1819.63805876349</v>
      </c>
      <c r="K27" s="457"/>
    </row>
    <row r="28" customFormat="false" ht="12.75" hidden="false" customHeight="false" outlineLevel="0" collapsed="false">
      <c r="A28" s="453" t="n">
        <f aca="false">A27+1</f>
        <v>14</v>
      </c>
      <c r="B28" s="454" t="n">
        <v>37012</v>
      </c>
      <c r="C28" s="455" t="n">
        <f aca="false">HLOOKUP(Assumptions!$H$12,IDC!$H$40:$L$56,2+F55)</f>
        <v>0</v>
      </c>
      <c r="D28" s="456" t="n">
        <v>0</v>
      </c>
      <c r="E28" s="424" t="n">
        <f aca="false">C28*$C$6</f>
        <v>0</v>
      </c>
      <c r="F28" s="424" t="n">
        <f aca="false">+E28+D28</f>
        <v>0</v>
      </c>
      <c r="G28" s="424" t="n">
        <f aca="false">F28+G27+H28</f>
        <v>77918.0668807586</v>
      </c>
      <c r="H28" s="424" t="n">
        <f aca="false">IF(A28&gt;$C$7+1,0,G27*(B28-B27)*$D$8)</f>
        <v>0</v>
      </c>
      <c r="I28" s="424" t="n">
        <f aca="false">IF(A28&lt;=$C$7+1,H28+I27,I27)</f>
        <v>1819.63805876349</v>
      </c>
      <c r="K28" s="457"/>
    </row>
    <row r="29" customFormat="false" ht="12.75" hidden="false" customHeight="false" outlineLevel="0" collapsed="false">
      <c r="A29" s="453" t="n">
        <f aca="false">A28+1</f>
        <v>15</v>
      </c>
      <c r="B29" s="454" t="n">
        <v>37043</v>
      </c>
      <c r="C29" s="455" t="n">
        <f aca="false">HLOOKUP(Assumptions!$H$12,IDC!$H$40:$L$56,2+F56)</f>
        <v>0</v>
      </c>
      <c r="D29" s="456" t="n">
        <v>0</v>
      </c>
      <c r="E29" s="424" t="n">
        <f aca="false">C29*$C$6</f>
        <v>0</v>
      </c>
      <c r="F29" s="424" t="n">
        <f aca="false">+E29+D29</f>
        <v>0</v>
      </c>
      <c r="G29" s="424" t="n">
        <f aca="false">F29+G28+H29</f>
        <v>77918.0668807586</v>
      </c>
      <c r="H29" s="424" t="n">
        <f aca="false">IF(A29&gt;$C$7+1,0,G28*(B29-B28)*$D$8)</f>
        <v>0</v>
      </c>
      <c r="I29" s="424" t="n">
        <f aca="false">IF(A29&lt;=$C$7+1,H29+I28,I28)</f>
        <v>1819.63805876349</v>
      </c>
      <c r="K29" s="457"/>
    </row>
    <row r="30" customFormat="false" ht="12.75" hidden="false" customHeight="false" outlineLevel="0" collapsed="false">
      <c r="A30" s="453" t="n">
        <f aca="false">A29+1</f>
        <v>16</v>
      </c>
      <c r="B30" s="454" t="n">
        <v>37073</v>
      </c>
      <c r="C30" s="455" t="n">
        <v>0</v>
      </c>
      <c r="D30" s="456" t="n">
        <v>0</v>
      </c>
      <c r="E30" s="424" t="n">
        <f aca="false">C30*$C$6</f>
        <v>0</v>
      </c>
      <c r="F30" s="424" t="n">
        <f aca="false">+E30+D30</f>
        <v>0</v>
      </c>
      <c r="G30" s="424" t="n">
        <f aca="false">F30+G29+H30</f>
        <v>77918.0668807586</v>
      </c>
      <c r="H30" s="424" t="n">
        <f aca="false">IF(A30&gt;$C$7+1,0,G29*(B30-B29)*$D$8)</f>
        <v>0</v>
      </c>
      <c r="I30" s="424" t="n">
        <f aca="false">IF(A30&lt;=$C$7+1,H30+I29,I29)</f>
        <v>1819.63805876349</v>
      </c>
      <c r="K30" s="457"/>
    </row>
    <row r="31" customFormat="false" ht="12.75" hidden="false" customHeight="false" outlineLevel="0" collapsed="false">
      <c r="A31" s="453" t="n">
        <f aca="false">A30+1</f>
        <v>17</v>
      </c>
      <c r="B31" s="454" t="n">
        <v>37104</v>
      </c>
      <c r="C31" s="455" t="n">
        <v>0</v>
      </c>
      <c r="D31" s="456" t="n">
        <v>0</v>
      </c>
      <c r="E31" s="424" t="n">
        <f aca="false">C31*$C$6</f>
        <v>0</v>
      </c>
      <c r="F31" s="424" t="n">
        <f aca="false">+E31+D31</f>
        <v>0</v>
      </c>
      <c r="G31" s="424" t="n">
        <f aca="false">F31+G30+H31</f>
        <v>77918.0668807586</v>
      </c>
      <c r="H31" s="424" t="n">
        <f aca="false">IF(A31&gt;$C$7+1,0,G30*(B31-B30)*$D$8)</f>
        <v>0</v>
      </c>
      <c r="I31" s="424" t="n">
        <f aca="false">IF(A31&lt;=$C$7+1,H31+I30,I30)</f>
        <v>1819.63805876349</v>
      </c>
      <c r="K31" s="457"/>
    </row>
    <row r="32" customFormat="false" ht="12.75" hidden="false" customHeight="false" outlineLevel="0" collapsed="false">
      <c r="A32" s="453" t="n">
        <f aca="false">A31+1</f>
        <v>18</v>
      </c>
      <c r="B32" s="454" t="n">
        <v>37135</v>
      </c>
      <c r="C32" s="455" t="n">
        <v>0</v>
      </c>
      <c r="D32" s="456" t="n">
        <v>0</v>
      </c>
      <c r="E32" s="424" t="n">
        <f aca="false">C32*$C$6</f>
        <v>0</v>
      </c>
      <c r="F32" s="424" t="n">
        <f aca="false">+E32+D32</f>
        <v>0</v>
      </c>
      <c r="G32" s="424" t="n">
        <f aca="false">F32+G31+H32</f>
        <v>77918.0668807586</v>
      </c>
      <c r="H32" s="424" t="n">
        <f aca="false">IF(A32&gt;$C$7+1,0,G31*(B32-B31)*$D$8)</f>
        <v>0</v>
      </c>
      <c r="I32" s="424" t="n">
        <f aca="false">IF(A32&lt;=$C$7+1,H32+I31,I31)</f>
        <v>1819.63805876349</v>
      </c>
      <c r="K32" s="457"/>
    </row>
    <row r="33" customFormat="false" ht="12.75" hidden="false" customHeight="false" outlineLevel="0" collapsed="false">
      <c r="A33" s="453" t="n">
        <f aca="false">A32+1</f>
        <v>19</v>
      </c>
      <c r="B33" s="454" t="n">
        <v>37165</v>
      </c>
      <c r="C33" s="458" t="n">
        <v>0</v>
      </c>
      <c r="D33" s="459" t="n">
        <v>0</v>
      </c>
      <c r="E33" s="460" t="n">
        <f aca="false">C33*$C$6</f>
        <v>0</v>
      </c>
      <c r="F33" s="460" t="n">
        <f aca="false">+E33+D33</f>
        <v>0</v>
      </c>
      <c r="G33" s="460" t="n">
        <f aca="false">F33+G32+H33</f>
        <v>77918.0668807586</v>
      </c>
      <c r="H33" s="460" t="n">
        <f aca="false">IF(A33&gt;$C$7+1,0,G32*(B33-B32)*$D$8)</f>
        <v>0</v>
      </c>
      <c r="I33" s="460" t="n">
        <f aca="false">IF(A33&lt;=$C$7+1,H33+I32,I32)</f>
        <v>1819.63805876349</v>
      </c>
      <c r="K33" s="457"/>
    </row>
    <row r="34" customFormat="false" ht="12.75" hidden="false" customHeight="false" outlineLevel="0" collapsed="false">
      <c r="C34" s="461" t="n">
        <f aca="false">SUM(C15:C33)</f>
        <v>1</v>
      </c>
      <c r="D34" s="424" t="n">
        <f aca="false">SUM(D15:D33)</f>
        <v>42781.3488219951</v>
      </c>
      <c r="E34" s="424" t="n">
        <f aca="false">SUM(E15:E33)</f>
        <v>33317.08</v>
      </c>
      <c r="F34" s="424" t="n">
        <f aca="false">SUM(F15:F33)</f>
        <v>76098.4288219951</v>
      </c>
      <c r="G34" s="185"/>
      <c r="H34" s="424" t="n">
        <f aca="false">SUM(H15:H33)</f>
        <v>1819.63805876349</v>
      </c>
      <c r="I34" s="424"/>
    </row>
    <row r="38" customFormat="false" ht="18.75" hidden="false" customHeight="false" outlineLevel="0" collapsed="false">
      <c r="A38" s="425" t="s">
        <v>424</v>
      </c>
      <c r="B38" s="462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57" t="s">
        <v>425</v>
      </c>
    </row>
    <row r="40" customFormat="false" ht="12.75" hidden="false" customHeight="false" outlineLevel="0" collapsed="false">
      <c r="F40" s="463"/>
      <c r="G40" s="464" t="s">
        <v>426</v>
      </c>
      <c r="H40" s="465" t="n">
        <v>1</v>
      </c>
      <c r="I40" s="464" t="n">
        <v>2</v>
      </c>
      <c r="J40" s="464" t="n">
        <v>3</v>
      </c>
      <c r="K40" s="464" t="n">
        <v>4</v>
      </c>
      <c r="L40" s="466" t="n">
        <v>5</v>
      </c>
    </row>
    <row r="41" customFormat="false" ht="13.5" hidden="false" customHeight="false" outlineLevel="0" collapsed="false">
      <c r="A41" s="450" t="s">
        <v>427</v>
      </c>
      <c r="B41" s="450" t="s">
        <v>428</v>
      </c>
      <c r="C41" s="450" t="s">
        <v>429</v>
      </c>
      <c r="D41" s="450" t="s">
        <v>430</v>
      </c>
      <c r="F41" s="467" t="s">
        <v>420</v>
      </c>
      <c r="G41" s="468" t="s">
        <v>431</v>
      </c>
      <c r="H41" s="468" t="n">
        <v>13</v>
      </c>
      <c r="I41" s="468" t="n">
        <v>13.5</v>
      </c>
      <c r="J41" s="468" t="n">
        <v>14</v>
      </c>
      <c r="K41" s="468" t="n">
        <v>14.5</v>
      </c>
      <c r="L41" s="469" t="n">
        <v>15</v>
      </c>
    </row>
    <row r="42" customFormat="false" ht="13.5" hidden="false" customHeight="false" outlineLevel="0" collapsed="false">
      <c r="A42" s="450" t="s">
        <v>432</v>
      </c>
      <c r="B42" s="450" t="s">
        <v>433</v>
      </c>
      <c r="C42" s="450" t="s">
        <v>434</v>
      </c>
      <c r="D42" s="450" t="s">
        <v>435</v>
      </c>
      <c r="F42" s="470" t="n">
        <v>1</v>
      </c>
      <c r="G42" s="471"/>
      <c r="H42" s="472" t="n">
        <v>0.1</v>
      </c>
      <c r="I42" s="472" t="n">
        <v>0.1</v>
      </c>
      <c r="J42" s="473" t="n">
        <v>0.1</v>
      </c>
      <c r="K42" s="473" t="n">
        <v>0.1</v>
      </c>
      <c r="L42" s="474" t="n">
        <v>0.1</v>
      </c>
    </row>
    <row r="43" customFormat="false" ht="12.75" hidden="false" customHeight="false" outlineLevel="0" collapsed="false">
      <c r="A43" s="475" t="s">
        <v>436</v>
      </c>
      <c r="B43" s="476" t="n">
        <v>3</v>
      </c>
      <c r="C43" s="477" t="n">
        <v>36737</v>
      </c>
      <c r="D43" s="478" t="n">
        <v>36829</v>
      </c>
      <c r="F43" s="479" t="n">
        <v>2</v>
      </c>
      <c r="G43" s="146"/>
      <c r="H43" s="480" t="n">
        <v>0.04</v>
      </c>
      <c r="I43" s="480" t="n">
        <v>0.04</v>
      </c>
      <c r="J43" s="481" t="n">
        <v>0.04</v>
      </c>
      <c r="K43" s="481" t="n">
        <v>0.04</v>
      </c>
      <c r="L43" s="482" t="n">
        <v>0.04</v>
      </c>
    </row>
    <row r="44" customFormat="false" ht="12.75" hidden="false" customHeight="false" outlineLevel="0" collapsed="false">
      <c r="A44" s="483" t="s">
        <v>437</v>
      </c>
      <c r="B44" s="484" t="n">
        <v>3</v>
      </c>
      <c r="C44" s="485" t="n">
        <v>36768</v>
      </c>
      <c r="D44" s="486" t="n">
        <v>36829</v>
      </c>
      <c r="F44" s="479" t="n">
        <v>3</v>
      </c>
      <c r="G44" s="146"/>
      <c r="H44" s="480" t="n">
        <v>0.08</v>
      </c>
      <c r="I44" s="480" t="n">
        <v>0.08</v>
      </c>
      <c r="J44" s="481" t="n">
        <v>0.08</v>
      </c>
      <c r="K44" s="481" t="n">
        <v>0.08</v>
      </c>
      <c r="L44" s="482" t="n">
        <v>0.08</v>
      </c>
    </row>
    <row r="45" customFormat="false" ht="12.75" hidden="false" customHeight="false" outlineLevel="0" collapsed="false">
      <c r="A45" s="483" t="s">
        <v>438</v>
      </c>
      <c r="B45" s="484" t="n">
        <v>2</v>
      </c>
      <c r="C45" s="485" t="n">
        <v>36799</v>
      </c>
      <c r="D45" s="486" t="n">
        <v>36829</v>
      </c>
      <c r="F45" s="479" t="n">
        <v>4</v>
      </c>
      <c r="G45" s="146"/>
      <c r="H45" s="480" t="n">
        <v>0.12</v>
      </c>
      <c r="I45" s="480" t="n">
        <v>0.12</v>
      </c>
      <c r="J45" s="481" t="n">
        <v>0.1</v>
      </c>
      <c r="K45" s="481" t="n">
        <v>0.1</v>
      </c>
      <c r="L45" s="482" t="n">
        <v>0.1</v>
      </c>
    </row>
    <row r="46" customFormat="false" ht="12.75" hidden="false" customHeight="false" outlineLevel="0" collapsed="false">
      <c r="A46" s="483" t="s">
        <v>439</v>
      </c>
      <c r="B46" s="484" t="n">
        <v>3</v>
      </c>
      <c r="C46" s="485" t="n">
        <v>36829</v>
      </c>
      <c r="D46" s="486" t="n">
        <v>36829</v>
      </c>
      <c r="F46" s="479" t="n">
        <v>5</v>
      </c>
      <c r="G46" s="146"/>
      <c r="H46" s="480" t="n">
        <v>0.12</v>
      </c>
      <c r="I46" s="480" t="n">
        <v>0.12</v>
      </c>
      <c r="J46" s="481" t="n">
        <v>0.11</v>
      </c>
      <c r="K46" s="481" t="n">
        <v>0.11</v>
      </c>
      <c r="L46" s="482" t="n">
        <v>0.1</v>
      </c>
    </row>
    <row r="47" customFormat="false" ht="12.75" hidden="false" customHeight="false" outlineLevel="0" collapsed="false">
      <c r="A47" s="483" t="s">
        <v>440</v>
      </c>
      <c r="B47" s="484" t="n">
        <v>2</v>
      </c>
      <c r="C47" s="485" t="n">
        <v>36860</v>
      </c>
      <c r="D47" s="486" t="n">
        <v>36860</v>
      </c>
      <c r="F47" s="479" t="n">
        <v>6</v>
      </c>
      <c r="G47" s="146"/>
      <c r="H47" s="480" t="n">
        <v>0.12</v>
      </c>
      <c r="I47" s="480" t="n">
        <v>0.12</v>
      </c>
      <c r="J47" s="481" t="n">
        <v>0.11</v>
      </c>
      <c r="K47" s="481" t="n">
        <v>0.11</v>
      </c>
      <c r="L47" s="482" t="n">
        <v>0.1</v>
      </c>
    </row>
    <row r="48" customFormat="false" ht="12.75" hidden="false" customHeight="false" outlineLevel="0" collapsed="false">
      <c r="A48" s="483" t="s">
        <v>441</v>
      </c>
      <c r="B48" s="484" t="n">
        <v>2</v>
      </c>
      <c r="C48" s="485" t="n">
        <v>36890</v>
      </c>
      <c r="D48" s="486" t="n">
        <v>36890</v>
      </c>
      <c r="F48" s="479" t="n">
        <v>7</v>
      </c>
      <c r="G48" s="146"/>
      <c r="H48" s="480" t="n">
        <v>0.1</v>
      </c>
      <c r="I48" s="480" t="n">
        <v>0.1</v>
      </c>
      <c r="J48" s="481" t="n">
        <v>0.1</v>
      </c>
      <c r="K48" s="481" t="n">
        <v>0.1</v>
      </c>
      <c r="L48" s="482" t="n">
        <v>0.08</v>
      </c>
    </row>
    <row r="49" customFormat="false" ht="12.75" hidden="false" customHeight="false" outlineLevel="0" collapsed="false">
      <c r="A49" s="483" t="s">
        <v>442</v>
      </c>
      <c r="B49" s="484" t="n">
        <v>3</v>
      </c>
      <c r="C49" s="485" t="n">
        <v>36555</v>
      </c>
      <c r="D49" s="486" t="n">
        <v>36555</v>
      </c>
      <c r="F49" s="479" t="n">
        <v>8</v>
      </c>
      <c r="G49" s="146"/>
      <c r="H49" s="480" t="n">
        <v>0.08</v>
      </c>
      <c r="I49" s="480" t="n">
        <v>0.08</v>
      </c>
      <c r="J49" s="481" t="n">
        <v>0.08</v>
      </c>
      <c r="K49" s="481" t="n">
        <v>0.08</v>
      </c>
      <c r="L49" s="482" t="n">
        <v>0.08</v>
      </c>
    </row>
    <row r="50" customFormat="false" ht="12.75" hidden="false" customHeight="false" outlineLevel="0" collapsed="false">
      <c r="A50" s="483" t="s">
        <v>443</v>
      </c>
      <c r="B50" s="484" t="n">
        <v>2</v>
      </c>
      <c r="C50" s="485" t="n">
        <v>36950</v>
      </c>
      <c r="D50" s="486" t="n">
        <v>36950</v>
      </c>
      <c r="F50" s="479" t="n">
        <v>9</v>
      </c>
      <c r="G50" s="146"/>
      <c r="H50" s="480" t="n">
        <v>0.06</v>
      </c>
      <c r="I50" s="480" t="n">
        <v>0.06</v>
      </c>
      <c r="J50" s="481" t="n">
        <v>0.06</v>
      </c>
      <c r="K50" s="481" t="n">
        <v>0.06</v>
      </c>
      <c r="L50" s="482" t="n">
        <v>0.06</v>
      </c>
    </row>
    <row r="51" customFormat="false" ht="12.75" hidden="false" customHeight="false" outlineLevel="0" collapsed="false">
      <c r="A51" s="483" t="s">
        <v>444</v>
      </c>
      <c r="B51" s="484" t="n">
        <v>2</v>
      </c>
      <c r="C51" s="485" t="n">
        <v>36980</v>
      </c>
      <c r="D51" s="486" t="n">
        <v>36980</v>
      </c>
      <c r="F51" s="479" t="n">
        <v>10</v>
      </c>
      <c r="G51" s="146"/>
      <c r="H51" s="480" t="n">
        <v>0.06</v>
      </c>
      <c r="I51" s="480" t="n">
        <v>0.06</v>
      </c>
      <c r="J51" s="481" t="n">
        <v>0.06</v>
      </c>
      <c r="K51" s="481" t="n">
        <v>0.06</v>
      </c>
      <c r="L51" s="482" t="n">
        <v>0.06</v>
      </c>
    </row>
    <row r="52" customFormat="false" ht="13.5" hidden="false" customHeight="false" outlineLevel="0" collapsed="false">
      <c r="A52" s="487" t="s">
        <v>445</v>
      </c>
      <c r="B52" s="488" t="n">
        <v>2</v>
      </c>
      <c r="C52" s="489" t="n">
        <v>37011</v>
      </c>
      <c r="D52" s="490" t="n">
        <v>37011</v>
      </c>
      <c r="F52" s="479" t="n">
        <v>11</v>
      </c>
      <c r="G52" s="146"/>
      <c r="H52" s="480" t="n">
        <v>0.03</v>
      </c>
      <c r="I52" s="480" t="n">
        <v>0.03</v>
      </c>
      <c r="J52" s="481" t="n">
        <v>0.03</v>
      </c>
      <c r="K52" s="481" t="n">
        <v>0.03</v>
      </c>
      <c r="L52" s="482" t="n">
        <v>0.03</v>
      </c>
    </row>
    <row r="53" customFormat="false" ht="12.75" hidden="false" customHeight="false" outlineLevel="0" collapsed="false">
      <c r="F53" s="479" t="n">
        <v>12</v>
      </c>
      <c r="G53" s="146"/>
      <c r="H53" s="480" t="n">
        <v>0.04</v>
      </c>
      <c r="I53" s="480" t="n">
        <v>0.04</v>
      </c>
      <c r="J53" s="481" t="n">
        <v>0.04</v>
      </c>
      <c r="K53" s="481" t="n">
        <v>0.04</v>
      </c>
      <c r="L53" s="482" t="n">
        <v>0.04</v>
      </c>
    </row>
    <row r="54" customFormat="false" ht="13.5" hidden="false" customHeight="false" outlineLevel="0" collapsed="false">
      <c r="F54" s="479" t="n">
        <v>13</v>
      </c>
      <c r="G54" s="146"/>
      <c r="H54" s="480" t="n">
        <v>0.05</v>
      </c>
      <c r="I54" s="480" t="n">
        <v>0.05</v>
      </c>
      <c r="J54" s="481" t="n">
        <v>0.04</v>
      </c>
      <c r="K54" s="481" t="n">
        <v>0.04</v>
      </c>
      <c r="L54" s="482" t="n">
        <v>0.04</v>
      </c>
    </row>
    <row r="55" customFormat="false" ht="12.75" hidden="false" customHeight="false" outlineLevel="0" collapsed="false">
      <c r="A55" s="491" t="s">
        <v>446</v>
      </c>
      <c r="B55" s="49"/>
      <c r="C55" s="49"/>
      <c r="D55" s="492"/>
      <c r="F55" s="479" t="n">
        <v>14</v>
      </c>
      <c r="G55" s="146"/>
      <c r="H55" s="481" t="n">
        <v>0</v>
      </c>
      <c r="I55" s="481" t="n">
        <v>0</v>
      </c>
      <c r="J55" s="481" t="n">
        <v>0.05</v>
      </c>
      <c r="K55" s="481" t="n">
        <v>0.05</v>
      </c>
      <c r="L55" s="482" t="n">
        <v>0.04</v>
      </c>
    </row>
    <row r="56" customFormat="false" ht="13.5" hidden="false" customHeight="false" outlineLevel="0" collapsed="false">
      <c r="A56" s="30" t="s">
        <v>447</v>
      </c>
      <c r="B56" s="31"/>
      <c r="C56" s="31"/>
      <c r="D56" s="493" t="n">
        <v>13950</v>
      </c>
      <c r="F56" s="494" t="n">
        <v>15</v>
      </c>
      <c r="G56" s="495"/>
      <c r="H56" s="496" t="n">
        <v>0</v>
      </c>
      <c r="I56" s="496" t="n">
        <v>0</v>
      </c>
      <c r="J56" s="496" t="n">
        <v>0</v>
      </c>
      <c r="K56" s="496" t="n">
        <v>0</v>
      </c>
      <c r="L56" s="497" t="n">
        <v>0.05</v>
      </c>
    </row>
    <row r="57" customFormat="false" ht="13.5" hidden="false" customHeight="false" outlineLevel="0" collapsed="false">
      <c r="A57" s="30" t="s">
        <v>448</v>
      </c>
      <c r="B57" s="31"/>
      <c r="C57" s="31"/>
      <c r="D57" s="493" t="n">
        <v>289.616273998374</v>
      </c>
      <c r="F57" s="498" t="s">
        <v>449</v>
      </c>
      <c r="G57" s="495"/>
      <c r="H57" s="496" t="n">
        <f aca="false">SUM(H42:H56)</f>
        <v>1</v>
      </c>
      <c r="I57" s="496" t="n">
        <f aca="false">SUM(I42:I56)</f>
        <v>1</v>
      </c>
      <c r="J57" s="496" t="n">
        <f aca="false">SUM(J42:J56)</f>
        <v>1</v>
      </c>
      <c r="K57" s="496" t="n">
        <f aca="false">SUM(K42:K56)</f>
        <v>1</v>
      </c>
      <c r="L57" s="497" t="n">
        <f aca="false">SUM(L42:L56)</f>
        <v>1</v>
      </c>
    </row>
    <row r="58" customFormat="false" ht="13.5" hidden="false" customHeight="false" outlineLevel="0" collapsed="false">
      <c r="A58" s="33" t="s">
        <v>450</v>
      </c>
      <c r="B58" s="34"/>
      <c r="C58" s="34"/>
      <c r="D58" s="499" t="n">
        <v>20.8333333333333</v>
      </c>
      <c r="E58" s="153"/>
    </row>
    <row r="59" customFormat="false" ht="13.5" hidden="false" customHeight="false" outlineLevel="0" collapsed="false">
      <c r="A59" s="500" t="s">
        <v>451</v>
      </c>
      <c r="B59" s="501"/>
      <c r="C59" s="501"/>
      <c r="D59" s="502" t="n">
        <f aca="false">SUM(D56:D58)</f>
        <v>14260.4496073317</v>
      </c>
    </row>
    <row r="60" customFormat="false" ht="12.75" hidden="false" customHeight="false" outlineLevel="0" collapsed="false">
      <c r="C60" s="185"/>
      <c r="D60" s="185"/>
    </row>
    <row r="61" customFormat="false" ht="12.75" hidden="false" customHeight="false" outlineLevel="0" collapsed="false">
      <c r="B61" s="185"/>
      <c r="C61" s="185"/>
      <c r="D61" s="185"/>
    </row>
    <row r="62" customFormat="false" ht="12.75" hidden="false" customHeight="false" outlineLevel="0" collapsed="false">
      <c r="A62" s="185"/>
      <c r="B62" s="185"/>
      <c r="C62" s="185"/>
      <c r="D62" s="18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Rochester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-0.167525739571742</v>
      </c>
      <c r="C9" s="22" t="n">
        <f aca="false">Debt!E69</f>
        <v>1.3</v>
      </c>
      <c r="D9" s="23" t="n">
        <f aca="false">Debt!E68</f>
        <v>1.3018383141726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-0.167525739571742</v>
      </c>
      <c r="C12" s="28" t="n">
        <f aca="false">C9</f>
        <v>1.3</v>
      </c>
      <c r="D12" s="29" t="n">
        <f aca="false">D9</f>
        <v>1.3018383141726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13"/>
    <col collapsed="false" customWidth="true" hidden="false" outlineLevel="0" max="2" min="2" style="0" width="1.28"/>
    <col collapsed="false" customWidth="true" hidden="false" outlineLevel="0" max="3" min="3" style="0" width="14.28"/>
    <col collapsed="false" customWidth="true" hidden="false" outlineLevel="0" max="4" min="4" style="0" width="1.85"/>
    <col collapsed="false" customWidth="true" hidden="false" outlineLevel="0" max="5" min="5" style="0" width="12.42"/>
  </cols>
  <sheetData>
    <row r="2" customFormat="false" ht="12.75" hidden="false" customHeight="false" outlineLevel="0" collapsed="false">
      <c r="A2" s="36" t="s">
        <v>68</v>
      </c>
    </row>
    <row r="4" customFormat="false" ht="12.75" hidden="false" customHeight="false" outlineLevel="0" collapsed="false">
      <c r="C4" s="36" t="s">
        <v>69</v>
      </c>
      <c r="D4" s="36"/>
      <c r="E4" s="36" t="s">
        <v>70</v>
      </c>
    </row>
    <row r="6" customFormat="false" ht="12.75" hidden="false" customHeight="false" outlineLevel="0" collapsed="false">
      <c r="A6" s="0" t="s">
        <v>71</v>
      </c>
      <c r="C6" s="37" t="n">
        <v>25</v>
      </c>
      <c r="D6" s="37"/>
      <c r="E6" s="37" t="n">
        <v>47.5</v>
      </c>
    </row>
    <row r="7" customFormat="false" ht="12.75" hidden="false" customHeight="false" outlineLevel="0" collapsed="false">
      <c r="A7" s="0" t="s">
        <v>72</v>
      </c>
      <c r="E7" s="38" t="n">
        <v>10500</v>
      </c>
    </row>
    <row r="8" customFormat="false" ht="12.75" hidden="false" customHeight="false" outlineLevel="0" collapsed="false">
      <c r="A8" s="0" t="s">
        <v>73</v>
      </c>
      <c r="C8" s="0" t="n">
        <v>1</v>
      </c>
      <c r="E8" s="0" t="n">
        <v>1</v>
      </c>
    </row>
    <row r="9" customFormat="false" ht="12.75" hidden="false" customHeight="false" outlineLevel="0" collapsed="false">
      <c r="A9" s="0" t="s">
        <v>74</v>
      </c>
      <c r="C9" s="37" t="n">
        <v>22.8</v>
      </c>
      <c r="D9" s="37"/>
      <c r="E9" s="37" t="n">
        <f aca="false">E8*E6</f>
        <v>47.5</v>
      </c>
    </row>
    <row r="11" customFormat="false" ht="12.75" hidden="false" customHeight="false" outlineLevel="0" collapsed="false">
      <c r="A11" s="39" t="s">
        <v>75</v>
      </c>
    </row>
    <row r="12" customFormat="false" ht="12.75" hidden="false" customHeight="false" outlineLevel="0" collapsed="false">
      <c r="A12" s="0" t="s">
        <v>76</v>
      </c>
      <c r="C12" s="40" t="n">
        <v>11800</v>
      </c>
      <c r="D12" s="40"/>
      <c r="E12" s="40" t="n">
        <v>14200</v>
      </c>
    </row>
    <row r="13" customFormat="false" ht="12.75" hidden="false" customHeight="false" outlineLevel="0" collapsed="false">
      <c r="A13" s="0" t="s">
        <v>77</v>
      </c>
      <c r="C13" s="40" t="n">
        <f aca="false">1200+400</f>
        <v>1600</v>
      </c>
      <c r="E13" s="0" t="n">
        <v>7000</v>
      </c>
    </row>
    <row r="14" customFormat="false" ht="12.75" hidden="false" customHeight="false" outlineLevel="0" collapsed="false">
      <c r="A14" s="0" t="s">
        <v>78</v>
      </c>
      <c r="C14" s="40" t="n">
        <v>3600</v>
      </c>
    </row>
    <row r="16" customFormat="false" ht="12.75" hidden="false" customHeight="false" outlineLevel="0" collapsed="false">
      <c r="A16" s="0" t="s">
        <v>79</v>
      </c>
      <c r="C16" s="40" t="n">
        <f aca="false">SUM(C12:C14)</f>
        <v>17000</v>
      </c>
      <c r="D16" s="40"/>
      <c r="E16" s="40" t="n">
        <v>26000</v>
      </c>
    </row>
    <row r="17" customFormat="false" ht="12.75" hidden="false" customHeight="false" outlineLevel="0" collapsed="false">
      <c r="A17" s="41" t="s">
        <v>80</v>
      </c>
      <c r="B17" s="41"/>
      <c r="C17" s="42" t="n">
        <f aca="false">C16/C9</f>
        <v>745.614035087719</v>
      </c>
      <c r="D17" s="42"/>
      <c r="E17" s="42" t="n">
        <f aca="false">E16/E9</f>
        <v>547.368421052632</v>
      </c>
    </row>
    <row r="19" customFormat="false" ht="12.75" hidden="false" customHeight="false" outlineLevel="0" collapsed="false">
      <c r="C19" s="36" t="s">
        <v>81</v>
      </c>
    </row>
    <row r="20" customFormat="false" ht="12.75" hidden="false" customHeight="false" outlineLevel="0" collapsed="false">
      <c r="C20" s="40" t="n">
        <f aca="false">C17*0.7</f>
        <v>521.929824561403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L7" activeCellId="0" sqref="L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43" t="s">
        <v>82</v>
      </c>
      <c r="I1" s="44"/>
      <c r="AL1" s="44"/>
    </row>
    <row r="2" customFormat="false" ht="13.5" hidden="false" customHeight="true" outlineLevel="0" collapsed="false">
      <c r="A2" s="43"/>
      <c r="I2" s="44"/>
      <c r="AL2" s="44"/>
    </row>
    <row r="3" customFormat="false" ht="19.5" hidden="false" customHeight="true" outlineLevel="0" collapsed="false">
      <c r="A3" s="45" t="s">
        <v>83</v>
      </c>
      <c r="I3" s="44"/>
      <c r="AL3" s="44"/>
    </row>
    <row r="4" customFormat="false" ht="19.5" hidden="false" customHeight="true" outlineLevel="0" collapsed="false">
      <c r="A4" s="46"/>
      <c r="B4" s="3"/>
      <c r="C4" s="3"/>
      <c r="D4" s="3"/>
      <c r="E4" s="3"/>
      <c r="F4" s="3"/>
      <c r="G4" s="3"/>
      <c r="H4" s="3"/>
      <c r="I4" s="4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7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84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8" t="s">
        <v>85</v>
      </c>
      <c r="B8" s="49"/>
      <c r="C8" s="49"/>
      <c r="D8" s="50"/>
      <c r="E8" s="31"/>
      <c r="F8" s="51" t="s">
        <v>86</v>
      </c>
      <c r="G8" s="52"/>
      <c r="H8" s="53"/>
      <c r="I8" s="54"/>
      <c r="J8" s="55"/>
      <c r="L8" s="48" t="s">
        <v>87</v>
      </c>
      <c r="M8" s="56"/>
      <c r="N8" s="49"/>
      <c r="O8" s="49"/>
      <c r="P8" s="55"/>
      <c r="U8" s="57" t="s">
        <v>88</v>
      </c>
      <c r="V8" s="58" t="s">
        <v>89</v>
      </c>
      <c r="W8" s="58" t="s">
        <v>90</v>
      </c>
      <c r="X8" s="58" t="s">
        <v>91</v>
      </c>
      <c r="Y8" s="58" t="s">
        <v>92</v>
      </c>
      <c r="Z8" s="58" t="s">
        <v>93</v>
      </c>
      <c r="AA8" s="58" t="s">
        <v>94</v>
      </c>
      <c r="AB8" s="59" t="s">
        <v>95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60"/>
      <c r="G9" s="61"/>
      <c r="H9" s="61"/>
      <c r="I9" s="31"/>
      <c r="J9" s="32"/>
      <c r="L9" s="62" t="s">
        <v>96</v>
      </c>
      <c r="M9" s="31"/>
      <c r="N9" s="31"/>
      <c r="O9" s="31"/>
      <c r="P9" s="32"/>
      <c r="U9" s="63" t="s">
        <v>97</v>
      </c>
      <c r="V9" s="64" t="s">
        <v>98</v>
      </c>
      <c r="W9" s="64" t="s">
        <v>99</v>
      </c>
      <c r="X9" s="64" t="s">
        <v>100</v>
      </c>
      <c r="Y9" s="64" t="s">
        <v>101</v>
      </c>
      <c r="Z9" s="64" t="s">
        <v>102</v>
      </c>
      <c r="AA9" s="64" t="s">
        <v>102</v>
      </c>
      <c r="AB9" s="65" t="s">
        <v>103</v>
      </c>
    </row>
    <row r="10" customFormat="false" ht="15.75" hidden="false" customHeight="false" outlineLevel="0" collapsed="false">
      <c r="A10" s="66" t="s">
        <v>104</v>
      </c>
      <c r="B10" s="67" t="s">
        <v>105</v>
      </c>
      <c r="C10" s="68" t="s">
        <v>106</v>
      </c>
      <c r="D10" s="69" t="s">
        <v>80</v>
      </c>
      <c r="E10" s="31"/>
      <c r="F10" s="60" t="s">
        <v>107</v>
      </c>
      <c r="G10" s="31"/>
      <c r="H10" s="70" t="s">
        <v>108</v>
      </c>
      <c r="I10" s="31"/>
      <c r="J10" s="32"/>
      <c r="L10" s="30"/>
      <c r="M10" s="31"/>
      <c r="N10" s="31"/>
      <c r="O10" s="31"/>
      <c r="P10" s="32"/>
      <c r="U10" s="71" t="s">
        <v>109</v>
      </c>
      <c r="V10" s="72" t="s">
        <v>110</v>
      </c>
      <c r="W10" s="72" t="s">
        <v>111</v>
      </c>
      <c r="X10" s="72" t="s">
        <v>112</v>
      </c>
      <c r="Y10" s="72" t="s">
        <v>113</v>
      </c>
      <c r="Z10" s="72" t="s">
        <v>114</v>
      </c>
      <c r="AA10" s="72" t="s">
        <v>114</v>
      </c>
      <c r="AB10" s="73" t="s">
        <v>115</v>
      </c>
    </row>
    <row r="11" customFormat="false" ht="15.75" hidden="false" customHeight="false" outlineLevel="0" collapsed="false">
      <c r="A11" s="74" t="s">
        <v>116</v>
      </c>
      <c r="B11" s="75" t="n">
        <f aca="false">C11/C14</f>
        <v>0.605259575696536</v>
      </c>
      <c r="C11" s="76" t="n">
        <f aca="false">C58-C12</f>
        <v>17211.9424647363</v>
      </c>
      <c r="D11" s="77" t="n">
        <f aca="false">C11/$H$68</f>
        <v>362.356683468132</v>
      </c>
      <c r="E11" s="31"/>
      <c r="F11" s="60" t="s">
        <v>117</v>
      </c>
      <c r="G11" s="31"/>
      <c r="H11" s="78" t="n">
        <v>14260.4496073317</v>
      </c>
      <c r="I11" s="31"/>
      <c r="J11" s="32"/>
      <c r="L11" s="62" t="s">
        <v>118</v>
      </c>
      <c r="M11" s="31"/>
      <c r="N11" s="79" t="n">
        <v>0.03</v>
      </c>
      <c r="O11" s="80"/>
      <c r="P11" s="32"/>
      <c r="U11" s="71" t="s">
        <v>119</v>
      </c>
      <c r="V11" s="72" t="s">
        <v>97</v>
      </c>
      <c r="W11" s="72"/>
      <c r="X11" s="72" t="s">
        <v>120</v>
      </c>
      <c r="Y11" s="72"/>
      <c r="Z11" s="72"/>
      <c r="AA11" s="72"/>
      <c r="AB11" s="73" t="s">
        <v>121</v>
      </c>
    </row>
    <row r="12" customFormat="false" ht="15.75" hidden="false" customHeight="false" outlineLevel="0" collapsed="false">
      <c r="A12" s="74" t="s">
        <v>122</v>
      </c>
      <c r="B12" s="81" t="n">
        <f aca="false">C12/C14</f>
        <v>0.394740424303464</v>
      </c>
      <c r="C12" s="76" t="n">
        <f aca="false">Debt!B19</f>
        <v>11225.3481719772</v>
      </c>
      <c r="D12" s="77" t="n">
        <f aca="false">C12/$H$68</f>
        <v>236.323119410046</v>
      </c>
      <c r="E12" s="31"/>
      <c r="F12" s="60" t="s">
        <v>123</v>
      </c>
      <c r="G12" s="61"/>
      <c r="H12" s="82" t="n">
        <v>1</v>
      </c>
      <c r="I12" s="83"/>
      <c r="J12" s="32"/>
      <c r="L12" s="84"/>
      <c r="M12" s="31"/>
      <c r="N12" s="31"/>
      <c r="O12" s="80"/>
      <c r="P12" s="32"/>
      <c r="U12" s="85"/>
      <c r="V12" s="72" t="s">
        <v>119</v>
      </c>
      <c r="W12" s="31"/>
      <c r="X12" s="72" t="s">
        <v>124</v>
      </c>
      <c r="Y12" s="31"/>
      <c r="Z12" s="31"/>
      <c r="AA12" s="31"/>
      <c r="AB12" s="86"/>
    </row>
    <row r="13" customFormat="false" ht="15.75" hidden="false" customHeight="false" outlineLevel="0" collapsed="false">
      <c r="A13" s="87"/>
      <c r="B13" s="88"/>
      <c r="C13" s="76"/>
      <c r="D13" s="77"/>
      <c r="E13" s="31"/>
      <c r="F13" s="60" t="s">
        <v>125</v>
      </c>
      <c r="G13" s="61"/>
      <c r="H13" s="89" t="n">
        <v>47.5</v>
      </c>
      <c r="I13" s="83"/>
      <c r="J13" s="32"/>
      <c r="L13" s="62" t="s">
        <v>126</v>
      </c>
      <c r="M13" s="31"/>
      <c r="N13" s="90"/>
      <c r="O13" s="80"/>
      <c r="P13" s="32"/>
      <c r="U13" s="63" t="n">
        <v>3</v>
      </c>
      <c r="V13" s="64" t="n">
        <v>1</v>
      </c>
      <c r="W13" s="64" t="n">
        <v>1</v>
      </c>
      <c r="X13" s="64" t="n">
        <v>1</v>
      </c>
      <c r="Y13" s="64" t="n">
        <v>2</v>
      </c>
      <c r="Z13" s="64" t="n">
        <v>1</v>
      </c>
      <c r="AA13" s="64" t="n">
        <f aca="false">IF(C28&gt;0,1,2)</f>
        <v>1</v>
      </c>
      <c r="AB13" s="65" t="n">
        <v>1</v>
      </c>
    </row>
    <row r="14" customFormat="false" ht="15.75" hidden="false" customHeight="false" outlineLevel="0" collapsed="false">
      <c r="A14" s="91" t="s">
        <v>127</v>
      </c>
      <c r="B14" s="92" t="n">
        <f aca="false">C14/$C$14</f>
        <v>1</v>
      </c>
      <c r="C14" s="93" t="n">
        <f aca="false">SUM(C11:C12)</f>
        <v>28437.2906367135</v>
      </c>
      <c r="D14" s="94" t="n">
        <f aca="false">C14/$H$68</f>
        <v>598.679802878178</v>
      </c>
      <c r="E14" s="31"/>
      <c r="F14" s="60" t="s">
        <v>128</v>
      </c>
      <c r="G14" s="61"/>
      <c r="H14" s="82" t="n">
        <v>10200</v>
      </c>
      <c r="I14" s="31"/>
      <c r="J14" s="32"/>
      <c r="L14" s="30"/>
      <c r="M14" s="31"/>
      <c r="N14" s="95" t="s">
        <v>129</v>
      </c>
      <c r="O14" s="96" t="s">
        <v>130</v>
      </c>
      <c r="P14" s="97" t="s">
        <v>131</v>
      </c>
      <c r="U14" s="98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9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100"/>
      <c r="E15" s="31"/>
      <c r="F15" s="60" t="s">
        <v>132</v>
      </c>
      <c r="G15" s="61"/>
      <c r="H15" s="82" t="n">
        <v>10500</v>
      </c>
      <c r="I15" s="83"/>
      <c r="J15" s="32"/>
      <c r="L15" s="84" t="s">
        <v>133</v>
      </c>
      <c r="M15" s="31"/>
      <c r="N15" s="101" t="n">
        <v>60.6</v>
      </c>
      <c r="O15" s="102"/>
      <c r="P15" s="103" t="n">
        <v>1.033</v>
      </c>
    </row>
    <row r="16" customFormat="false" ht="15.75" hidden="false" customHeight="false" outlineLevel="0" collapsed="false">
      <c r="A16" s="30"/>
      <c r="B16" s="31"/>
      <c r="C16" s="31"/>
      <c r="D16" s="100"/>
      <c r="E16" s="31"/>
      <c r="F16" s="60" t="s">
        <v>134</v>
      </c>
      <c r="G16" s="31"/>
      <c r="H16" s="104" t="n">
        <v>5</v>
      </c>
      <c r="I16" s="31"/>
      <c r="J16" s="32"/>
      <c r="L16" s="105" t="s">
        <v>135</v>
      </c>
      <c r="M16" s="31"/>
      <c r="N16" s="106" t="n">
        <v>131.241</v>
      </c>
      <c r="O16" s="107"/>
      <c r="P16" s="108" t="n">
        <v>1.999</v>
      </c>
      <c r="U16" s="109"/>
      <c r="V16" s="110" t="s">
        <v>136</v>
      </c>
      <c r="W16" s="111" t="s">
        <v>137</v>
      </c>
    </row>
    <row r="17" customFormat="false" ht="15.75" hidden="false" customHeight="false" outlineLevel="0" collapsed="false">
      <c r="A17" s="66" t="s">
        <v>138</v>
      </c>
      <c r="B17" s="67"/>
      <c r="C17" s="67"/>
      <c r="D17" s="77"/>
      <c r="E17" s="31"/>
      <c r="F17" s="60" t="s">
        <v>139</v>
      </c>
      <c r="G17" s="61"/>
      <c r="H17" s="112" t="n">
        <v>37012</v>
      </c>
      <c r="I17" s="31"/>
      <c r="J17" s="32"/>
      <c r="L17" s="60" t="s">
        <v>140</v>
      </c>
      <c r="M17" s="113"/>
      <c r="N17" s="114" t="n">
        <f aca="false">SUM(N15:N16)</f>
        <v>191.841</v>
      </c>
      <c r="O17" s="115"/>
      <c r="P17" s="116" t="n">
        <f aca="false">SUM(P15:P16)</f>
        <v>3.032</v>
      </c>
      <c r="U17" s="117" t="s">
        <v>101</v>
      </c>
      <c r="V17" s="31" t="n">
        <v>11</v>
      </c>
      <c r="W17" s="86" t="n">
        <v>21</v>
      </c>
    </row>
    <row r="18" customFormat="false" ht="15.75" hidden="false" customHeight="false" outlineLevel="0" collapsed="false">
      <c r="A18" s="118"/>
      <c r="B18" s="119"/>
      <c r="C18" s="31"/>
      <c r="D18" s="100"/>
      <c r="E18" s="31"/>
      <c r="F18" s="84" t="s">
        <v>141</v>
      </c>
      <c r="G18" s="90"/>
      <c r="H18" s="114" t="n">
        <f aca="false">13-MONTH(H17)</f>
        <v>8</v>
      </c>
      <c r="I18" s="83"/>
      <c r="J18" s="32"/>
      <c r="L18" s="30"/>
      <c r="M18" s="31"/>
      <c r="N18" s="31"/>
      <c r="O18" s="31"/>
      <c r="P18" s="120" t="s">
        <v>142</v>
      </c>
      <c r="U18" s="121" t="s">
        <v>143</v>
      </c>
      <c r="V18" s="122" t="n">
        <v>12</v>
      </c>
      <c r="W18" s="123" t="n">
        <v>22</v>
      </c>
    </row>
    <row r="19" customFormat="false" ht="15.75" hidden="false" customHeight="false" outlineLevel="0" collapsed="false">
      <c r="A19" s="74" t="s">
        <v>144</v>
      </c>
      <c r="B19" s="31"/>
      <c r="C19" s="31"/>
      <c r="D19" s="100"/>
      <c r="E19" s="31"/>
      <c r="F19" s="60" t="s">
        <v>145</v>
      </c>
      <c r="G19" s="31"/>
      <c r="H19" s="82" t="n">
        <v>20</v>
      </c>
      <c r="I19" s="83"/>
      <c r="J19" s="32"/>
      <c r="L19" s="84" t="s">
        <v>146</v>
      </c>
      <c r="M19" s="31"/>
      <c r="N19" s="124" t="n">
        <v>483.931</v>
      </c>
      <c r="O19" s="125" t="n">
        <f aca="false">N19/$H$68</f>
        <v>10.1880210526316</v>
      </c>
      <c r="P19" s="32"/>
    </row>
    <row r="20" customFormat="false" ht="15.75" hidden="false" customHeight="false" outlineLevel="0" collapsed="false">
      <c r="A20" s="84" t="s">
        <v>147</v>
      </c>
      <c r="B20" s="126" t="n">
        <f aca="false">C20/$C$58</f>
        <v>0.501470051753841</v>
      </c>
      <c r="C20" s="76" t="n">
        <f aca="false">H11*H12</f>
        <v>14260.4496073317</v>
      </c>
      <c r="D20" s="77" t="n">
        <f aca="false">C20/$H$68</f>
        <v>300.219991733299</v>
      </c>
      <c r="E20" s="31"/>
      <c r="F20" s="60" t="s">
        <v>148</v>
      </c>
      <c r="G20" s="31"/>
      <c r="H20" s="127" t="s">
        <v>149</v>
      </c>
      <c r="I20" s="83"/>
      <c r="J20" s="32"/>
      <c r="L20" s="84" t="s">
        <v>150</v>
      </c>
      <c r="M20" s="31"/>
      <c r="N20" s="124" t="n">
        <v>112</v>
      </c>
      <c r="O20" s="125" t="n">
        <f aca="false">N20/$H$68</f>
        <v>2.35789473684211</v>
      </c>
      <c r="P20" s="32"/>
    </row>
    <row r="21" customFormat="false" ht="15.75" hidden="false" customHeight="false" outlineLevel="0" collapsed="false">
      <c r="A21" s="84" t="s">
        <v>151</v>
      </c>
      <c r="B21" s="126" t="n">
        <f aca="false">C21/$C$58</f>
        <v>0.00218023583160753</v>
      </c>
      <c r="C21" s="76" t="n">
        <f aca="false">62*H12</f>
        <v>62</v>
      </c>
      <c r="D21" s="77" t="n">
        <f aca="false">C21/$H$68</f>
        <v>1.30526315789474</v>
      </c>
      <c r="E21" s="31"/>
      <c r="F21" s="30"/>
      <c r="G21" s="31"/>
      <c r="H21" s="31"/>
      <c r="I21" s="31"/>
      <c r="J21" s="32"/>
      <c r="L21" s="84" t="s">
        <v>152</v>
      </c>
      <c r="M21" s="31"/>
      <c r="N21" s="124" t="n">
        <v>180</v>
      </c>
      <c r="O21" s="125" t="n">
        <f aca="false">N21/$H$68</f>
        <v>3.78947368421053</v>
      </c>
      <c r="P21" s="32"/>
    </row>
    <row r="22" customFormat="false" ht="15.75" hidden="false" customHeight="false" outlineLevel="0" collapsed="false">
      <c r="A22" s="84" t="s">
        <v>153</v>
      </c>
      <c r="B22" s="126" t="n">
        <f aca="false">C22/$C$58</f>
        <v>0.246155658407302</v>
      </c>
      <c r="C22" s="128" t="n">
        <v>7000</v>
      </c>
      <c r="D22" s="77" t="n">
        <f aca="false">C22/$H$68</f>
        <v>147.368421052632</v>
      </c>
      <c r="E22" s="31"/>
      <c r="F22" s="129" t="s">
        <v>154</v>
      </c>
      <c r="G22" s="31"/>
      <c r="H22" s="130"/>
      <c r="I22" s="31"/>
      <c r="J22" s="32"/>
      <c r="L22" s="84" t="s">
        <v>155</v>
      </c>
      <c r="M22" s="31"/>
      <c r="N22" s="124" t="n">
        <v>0</v>
      </c>
      <c r="O22" s="125" t="n">
        <f aca="false">N22/$H$68</f>
        <v>0</v>
      </c>
      <c r="P22" s="32"/>
    </row>
    <row r="23" customFormat="false" ht="15.75" hidden="false" customHeight="false" outlineLevel="0" collapsed="false">
      <c r="A23" s="84" t="s">
        <v>156</v>
      </c>
      <c r="B23" s="126" t="n">
        <f aca="false">C23/$C$58</f>
        <v>0</v>
      </c>
      <c r="C23" s="128" t="n">
        <v>0</v>
      </c>
      <c r="D23" s="77" t="n">
        <f aca="false">C23/$H$68</f>
        <v>0</v>
      </c>
      <c r="E23" s="31"/>
      <c r="F23" s="131" t="s">
        <v>100</v>
      </c>
      <c r="G23" s="61"/>
      <c r="H23" s="132" t="n">
        <v>5</v>
      </c>
      <c r="I23" s="133"/>
      <c r="J23" s="32"/>
      <c r="L23" s="84" t="s">
        <v>157</v>
      </c>
      <c r="M23" s="31"/>
      <c r="N23" s="124" t="n">
        <v>0</v>
      </c>
      <c r="O23" s="125" t="n">
        <f aca="false">N23/$H$68</f>
        <v>0</v>
      </c>
      <c r="P23" s="32"/>
    </row>
    <row r="24" customFormat="false" ht="15.75" hidden="false" customHeight="false" outlineLevel="0" collapsed="false">
      <c r="A24" s="84" t="s">
        <v>158</v>
      </c>
      <c r="B24" s="126" t="n">
        <f aca="false">C24/$C$58</f>
        <v>0.0328793629444039</v>
      </c>
      <c r="C24" s="128" t="n">
        <v>935</v>
      </c>
      <c r="D24" s="77" t="n">
        <f aca="false">C24/$H$68</f>
        <v>19.6842105263158</v>
      </c>
      <c r="E24" s="31"/>
      <c r="F24" s="131" t="s">
        <v>159</v>
      </c>
      <c r="G24" s="31"/>
      <c r="H24" s="134" t="n">
        <v>0.2</v>
      </c>
      <c r="I24" s="83"/>
      <c r="J24" s="32"/>
      <c r="L24" s="84" t="s">
        <v>160</v>
      </c>
      <c r="M24" s="31"/>
      <c r="N24" s="124" t="n">
        <v>0</v>
      </c>
      <c r="O24" s="125" t="n">
        <f aca="false">N24/$H$68</f>
        <v>0</v>
      </c>
      <c r="P24" s="32"/>
    </row>
    <row r="25" customFormat="false" ht="16.5" hidden="false" customHeight="false" outlineLevel="0" collapsed="false">
      <c r="A25" s="84" t="s">
        <v>161</v>
      </c>
      <c r="B25" s="126" t="n">
        <f aca="false">C25/$C$58</f>
        <v>0</v>
      </c>
      <c r="C25" s="128" t="n">
        <v>0</v>
      </c>
      <c r="D25" s="77" t="n">
        <f aca="false">C25/$H$68</f>
        <v>0</v>
      </c>
      <c r="E25" s="31"/>
      <c r="F25" s="135" t="s">
        <v>80</v>
      </c>
      <c r="G25" s="34"/>
      <c r="H25" s="136" t="n">
        <v>200</v>
      </c>
      <c r="I25" s="34"/>
      <c r="J25" s="35"/>
      <c r="L25" s="105" t="s">
        <v>162</v>
      </c>
      <c r="M25" s="137"/>
      <c r="N25" s="138" t="n">
        <f aca="false">100+26</f>
        <v>126</v>
      </c>
      <c r="O25" s="139" t="n">
        <f aca="false">N25/$H$68</f>
        <v>2.65263157894737</v>
      </c>
      <c r="P25" s="32"/>
    </row>
    <row r="26" customFormat="false" ht="16.5" hidden="false" customHeight="false" outlineLevel="0" collapsed="false">
      <c r="A26" s="84" t="s">
        <v>163</v>
      </c>
      <c r="B26" s="126" t="n">
        <f aca="false">C26/$C$58</f>
        <v>0.0239122639595665</v>
      </c>
      <c r="C26" s="128" t="n">
        <v>680</v>
      </c>
      <c r="D26" s="77" t="n">
        <f aca="false">C26/$H$68</f>
        <v>14.3157894736842</v>
      </c>
      <c r="E26" s="31"/>
      <c r="L26" s="60" t="s">
        <v>164</v>
      </c>
      <c r="M26" s="113"/>
      <c r="N26" s="114" t="n">
        <f aca="false">SUM(N19:N25)</f>
        <v>901.931</v>
      </c>
      <c r="O26" s="140" t="n">
        <f aca="false">SUM(O19:O25)</f>
        <v>18.9880210526316</v>
      </c>
      <c r="P26" s="141"/>
    </row>
    <row r="27" customFormat="false" ht="15.75" hidden="false" customHeight="false" outlineLevel="0" collapsed="false">
      <c r="A27" s="84" t="s">
        <v>165</v>
      </c>
      <c r="B27" s="126" t="n">
        <f aca="false">C27/$C$58</f>
        <v>0</v>
      </c>
      <c r="C27" s="128" t="n">
        <v>0</v>
      </c>
      <c r="D27" s="77" t="n">
        <f aca="false">C27/$H$68</f>
        <v>0</v>
      </c>
      <c r="E27" s="31"/>
      <c r="F27" s="48" t="s">
        <v>166</v>
      </c>
      <c r="G27" s="49"/>
      <c r="H27" s="49"/>
      <c r="I27" s="142"/>
      <c r="J27" s="55"/>
      <c r="L27" s="30"/>
      <c r="M27" s="31"/>
      <c r="N27" s="31"/>
      <c r="O27" s="31"/>
      <c r="P27" s="32"/>
      <c r="R27" s="143"/>
    </row>
    <row r="28" customFormat="false" ht="15.75" hidden="false" customHeight="false" outlineLevel="0" collapsed="false">
      <c r="A28" s="84" t="s">
        <v>167</v>
      </c>
      <c r="B28" s="126" t="n">
        <f aca="false">C28/$C$58</f>
        <v>0.00942424520759384</v>
      </c>
      <c r="C28" s="128" t="n">
        <v>268</v>
      </c>
      <c r="D28" s="77" t="n">
        <f aca="false">C28/$H$68</f>
        <v>5.64210526315789</v>
      </c>
      <c r="E28" s="31"/>
      <c r="F28" s="144" t="s">
        <v>168</v>
      </c>
      <c r="G28" s="145"/>
      <c r="H28" s="145" t="s">
        <v>169</v>
      </c>
      <c r="I28" s="146"/>
      <c r="J28" s="147"/>
      <c r="L28" s="62" t="s">
        <v>170</v>
      </c>
      <c r="M28" s="31"/>
      <c r="N28" s="114"/>
      <c r="O28" s="115"/>
      <c r="P28" s="32"/>
      <c r="R28" s="143"/>
    </row>
    <row r="29" customFormat="false" ht="15.75" hidden="false" customHeight="false" outlineLevel="0" collapsed="false">
      <c r="A29" s="84" t="s">
        <v>171</v>
      </c>
      <c r="B29" s="126" t="n">
        <f aca="false">C29/$C$58</f>
        <v>0</v>
      </c>
      <c r="C29" s="128" t="n">
        <v>0</v>
      </c>
      <c r="D29" s="77" t="n">
        <f aca="false">C29/$H$68</f>
        <v>0</v>
      </c>
      <c r="E29" s="31"/>
      <c r="F29" s="131" t="s">
        <v>172</v>
      </c>
      <c r="G29" s="112" t="n">
        <v>36617</v>
      </c>
      <c r="H29" s="148"/>
      <c r="I29" s="146"/>
      <c r="J29" s="147"/>
      <c r="L29" s="84" t="s">
        <v>88</v>
      </c>
      <c r="M29" s="31"/>
      <c r="N29" s="114" t="n">
        <f aca="false">IS!C16</f>
        <v>1053.365985</v>
      </c>
      <c r="O29" s="115" t="n">
        <f aca="false">N29/$H$68</f>
        <v>22.176126</v>
      </c>
      <c r="P29" s="32"/>
      <c r="R29" s="149"/>
    </row>
    <row r="30" customFormat="false" ht="15.75" hidden="false" customHeight="false" outlineLevel="0" collapsed="false">
      <c r="A30" s="84" t="s">
        <v>173</v>
      </c>
      <c r="B30" s="126" t="n">
        <f aca="false">C30/$C$58</f>
        <v>0</v>
      </c>
      <c r="C30" s="128" t="n">
        <v>0</v>
      </c>
      <c r="D30" s="77" t="n">
        <f aca="false">C30/$H$68</f>
        <v>0</v>
      </c>
      <c r="E30" s="31"/>
      <c r="F30" s="131" t="s">
        <v>174</v>
      </c>
      <c r="G30" s="112" t="n">
        <v>36557</v>
      </c>
      <c r="H30" s="148"/>
      <c r="I30" s="146"/>
      <c r="J30" s="147"/>
      <c r="L30" s="84" t="s">
        <v>175</v>
      </c>
      <c r="M30" s="31"/>
      <c r="N30" s="114" t="n">
        <f aca="false">IS!C23/IS!C6</f>
        <v>600</v>
      </c>
      <c r="O30" s="115" t="n">
        <f aca="false">N30/$H$68</f>
        <v>12.6315789473684</v>
      </c>
      <c r="P30" s="150" t="n">
        <v>0.02</v>
      </c>
      <c r="R30" s="143"/>
    </row>
    <row r="31" customFormat="false" ht="15.75" hidden="false" customHeight="false" outlineLevel="0" collapsed="false">
      <c r="A31" s="84" t="s">
        <v>176</v>
      </c>
      <c r="B31" s="126" t="n">
        <f aca="false">C31/$C$58</f>
        <v>0.0017582547029093</v>
      </c>
      <c r="C31" s="128" t="n">
        <v>50</v>
      </c>
      <c r="D31" s="77" t="n">
        <f aca="false">C31/$H$68</f>
        <v>1.05263157894737</v>
      </c>
      <c r="E31" s="31"/>
      <c r="F31" s="30"/>
      <c r="G31" s="31"/>
      <c r="H31" s="113"/>
      <c r="I31" s="146"/>
      <c r="J31" s="147"/>
      <c r="L31" s="84" t="s">
        <v>177</v>
      </c>
      <c r="M31" s="31"/>
      <c r="N31" s="114" t="n">
        <f aca="false">IS!C24/IS!C6</f>
        <v>0</v>
      </c>
      <c r="O31" s="115" t="n">
        <f aca="false">N31/$H$68</f>
        <v>0</v>
      </c>
      <c r="P31" s="32"/>
      <c r="R31" s="143"/>
    </row>
    <row r="32" customFormat="false" ht="15.75" hidden="false" customHeight="false" outlineLevel="0" collapsed="false">
      <c r="A32" s="84" t="s">
        <v>178</v>
      </c>
      <c r="B32" s="126" t="n">
        <f aca="false">C32/$C$58</f>
        <v>0.035165094058186</v>
      </c>
      <c r="C32" s="128" t="n">
        <v>1000</v>
      </c>
      <c r="D32" s="77" t="n">
        <f aca="false">C32/$H$68</f>
        <v>21.0526315789474</v>
      </c>
      <c r="E32" s="31"/>
      <c r="F32" s="151" t="s">
        <v>179</v>
      </c>
      <c r="G32" s="152" t="n">
        <f aca="false">Debt!B19</f>
        <v>11225.3481719772</v>
      </c>
      <c r="H32" s="152"/>
      <c r="I32" s="146"/>
      <c r="J32" s="147"/>
      <c r="L32" s="84" t="s">
        <v>180</v>
      </c>
      <c r="M32" s="31"/>
      <c r="N32" s="114" t="n">
        <f aca="false">IS!C25/IS!C6</f>
        <v>0</v>
      </c>
      <c r="O32" s="115" t="n">
        <f aca="false">N32/$H$68</f>
        <v>0</v>
      </c>
      <c r="P32" s="32"/>
      <c r="Q32" s="153"/>
      <c r="R32" s="143"/>
    </row>
    <row r="33" customFormat="false" ht="16.5" hidden="false" customHeight="false" outlineLevel="0" collapsed="false">
      <c r="A33" s="105" t="s">
        <v>181</v>
      </c>
      <c r="B33" s="154" t="n">
        <f aca="false">C33/$C$58</f>
        <v>0.035165094058186</v>
      </c>
      <c r="C33" s="155" t="n">
        <v>1000</v>
      </c>
      <c r="D33" s="156" t="n">
        <f aca="false">C33/$H$68</f>
        <v>21.0526315789474</v>
      </c>
      <c r="E33" s="31"/>
      <c r="F33" s="151" t="s">
        <v>182</v>
      </c>
      <c r="G33" s="157" t="n">
        <v>20</v>
      </c>
      <c r="H33" s="152"/>
      <c r="I33" s="146"/>
      <c r="J33" s="147"/>
      <c r="L33" s="158" t="s">
        <v>183</v>
      </c>
      <c r="M33" s="34"/>
      <c r="N33" s="159" t="n">
        <f aca="false">IS!C26/IS!C6</f>
        <v>80.5732263674459</v>
      </c>
      <c r="O33" s="160" t="n">
        <f aca="false">N33/$H$68</f>
        <v>1.69627844984097</v>
      </c>
      <c r="P33" s="35"/>
      <c r="R33" s="143"/>
    </row>
    <row r="34" customFormat="false" ht="16.5" hidden="false" customHeight="false" outlineLevel="0" collapsed="false">
      <c r="A34" s="84" t="s">
        <v>184</v>
      </c>
      <c r="B34" s="126" t="n">
        <f aca="false">SUM(B20:B33)</f>
        <v>0.888110260923596</v>
      </c>
      <c r="C34" s="76" t="n">
        <f aca="false">SUM(C20:C33)</f>
        <v>25255.4496073317</v>
      </c>
      <c r="D34" s="77" t="n">
        <f aca="false">SUM(D20:D33)</f>
        <v>531.693675943825</v>
      </c>
      <c r="E34" s="31"/>
      <c r="F34" s="151" t="s">
        <v>185</v>
      </c>
      <c r="G34" s="148" t="n">
        <v>44287</v>
      </c>
      <c r="H34" s="148"/>
      <c r="I34" s="146"/>
      <c r="J34" s="147"/>
      <c r="N34" s="161"/>
      <c r="R34" s="143"/>
    </row>
    <row r="35" customFormat="false" ht="15.75" hidden="false" customHeight="false" outlineLevel="0" collapsed="false">
      <c r="A35" s="30"/>
      <c r="B35" s="31"/>
      <c r="C35" s="31"/>
      <c r="D35" s="100"/>
      <c r="E35" s="31"/>
      <c r="F35" s="151" t="s">
        <v>186</v>
      </c>
      <c r="G35" s="162" t="n">
        <f aca="false">Debt!E66</f>
        <v>-53.2122322759549</v>
      </c>
      <c r="H35" s="163" t="str">
        <f aca="false">IF(H32,#REF!," ")</f>
        <v> </v>
      </c>
      <c r="I35" s="146"/>
      <c r="J35" s="147"/>
      <c r="L35" s="51" t="s">
        <v>187</v>
      </c>
      <c r="M35" s="53"/>
      <c r="N35" s="164"/>
      <c r="O35" s="56"/>
      <c r="P35" s="55"/>
      <c r="R35" s="3"/>
    </row>
    <row r="36" customFormat="false" ht="15.75" hidden="false" customHeight="false" outlineLevel="0" collapsed="false">
      <c r="A36" s="74" t="s">
        <v>188</v>
      </c>
      <c r="B36" s="31"/>
      <c r="C36" s="31"/>
      <c r="D36" s="165"/>
      <c r="E36" s="31"/>
      <c r="F36" s="151"/>
      <c r="G36" s="31"/>
      <c r="H36" s="31"/>
      <c r="I36" s="146"/>
      <c r="J36" s="147"/>
      <c r="L36" s="30"/>
      <c r="M36" s="166"/>
      <c r="N36" s="31"/>
      <c r="O36" s="31"/>
      <c r="P36" s="32"/>
      <c r="R36" s="3"/>
    </row>
    <row r="37" customFormat="false" ht="15.75" hidden="false" customHeight="false" outlineLevel="0" collapsed="false">
      <c r="A37" s="74" t="s">
        <v>189</v>
      </c>
      <c r="B37" s="126" t="n">
        <f aca="false">C37/$C$58</f>
        <v>0</v>
      </c>
      <c r="C37" s="128" t="n">
        <v>0</v>
      </c>
      <c r="D37" s="77" t="n">
        <f aca="false">C37/$H$68</f>
        <v>0</v>
      </c>
      <c r="E37" s="31"/>
      <c r="F37" s="84" t="s">
        <v>190</v>
      </c>
      <c r="G37" s="167" t="n">
        <v>0.065</v>
      </c>
      <c r="H37" s="167" t="n">
        <v>0.065</v>
      </c>
      <c r="I37" s="146"/>
      <c r="J37" s="147"/>
      <c r="L37" s="84"/>
      <c r="M37" s="31"/>
      <c r="N37" s="166" t="s">
        <v>191</v>
      </c>
      <c r="O37" s="166" t="s">
        <v>192</v>
      </c>
      <c r="P37" s="168" t="s">
        <v>193</v>
      </c>
      <c r="R37" s="31"/>
    </row>
    <row r="38" customFormat="false" ht="15.75" hidden="false" customHeight="false" outlineLevel="0" collapsed="false">
      <c r="A38" s="74" t="s">
        <v>194</v>
      </c>
      <c r="B38" s="126" t="n">
        <f aca="false">C38/$C$58</f>
        <v>0.0315565224361231</v>
      </c>
      <c r="C38" s="128" t="n">
        <v>897.382</v>
      </c>
      <c r="D38" s="77" t="n">
        <f aca="false">C38/$H$68</f>
        <v>18.8922526315789</v>
      </c>
      <c r="E38" s="31"/>
      <c r="F38" s="84" t="s">
        <v>195</v>
      </c>
      <c r="G38" s="169" t="n">
        <v>0.0175</v>
      </c>
      <c r="H38" s="169" t="n">
        <v>0.0175</v>
      </c>
      <c r="I38" s="146"/>
      <c r="J38" s="147"/>
      <c r="L38" s="129" t="s">
        <v>196</v>
      </c>
      <c r="M38" s="31"/>
      <c r="N38" s="170"/>
      <c r="O38" s="170"/>
      <c r="P38" s="171"/>
      <c r="R38" s="31"/>
    </row>
    <row r="39" customFormat="false" ht="15.75" hidden="false" customHeight="false" outlineLevel="0" collapsed="false">
      <c r="A39" s="74" t="s">
        <v>197</v>
      </c>
      <c r="B39" s="126" t="n">
        <f aca="false">C39/$C$58</f>
        <v>0</v>
      </c>
      <c r="C39" s="128" t="n">
        <v>0</v>
      </c>
      <c r="D39" s="77" t="n">
        <f aca="false">C39/$H$68</f>
        <v>0</v>
      </c>
      <c r="E39" s="31"/>
      <c r="F39" s="151" t="s">
        <v>198</v>
      </c>
      <c r="G39" s="172" t="n">
        <f aca="false">Debt!E64</f>
        <v>0.0825</v>
      </c>
      <c r="H39" s="172" t="n">
        <f aca="false">SUM(H37:H38)</f>
        <v>0.0825</v>
      </c>
      <c r="I39" s="146"/>
      <c r="J39" s="147"/>
      <c r="L39" s="60" t="s">
        <v>199</v>
      </c>
      <c r="M39" s="31"/>
      <c r="N39" s="173" t="n">
        <v>15</v>
      </c>
      <c r="O39" s="174" t="s">
        <v>200</v>
      </c>
      <c r="P39" s="150" t="n">
        <v>0</v>
      </c>
      <c r="R39" s="143"/>
    </row>
    <row r="40" customFormat="false" ht="15.75" hidden="false" customHeight="false" outlineLevel="0" collapsed="false">
      <c r="A40" s="84" t="s">
        <v>201</v>
      </c>
      <c r="B40" s="126" t="n">
        <f aca="false">C40/$C$58</f>
        <v>0</v>
      </c>
      <c r="C40" s="128" t="n">
        <v>0</v>
      </c>
      <c r="D40" s="77" t="n">
        <f aca="false">C40/$H$68</f>
        <v>0</v>
      </c>
      <c r="E40" s="31"/>
      <c r="F40" s="84"/>
      <c r="G40" s="90"/>
      <c r="H40" s="90"/>
      <c r="I40" s="90"/>
      <c r="J40" s="175"/>
      <c r="L40" s="60" t="s">
        <v>202</v>
      </c>
      <c r="M40" s="31"/>
      <c r="N40" s="173" t="n">
        <v>5</v>
      </c>
      <c r="O40" s="174" t="s">
        <v>203</v>
      </c>
      <c r="P40" s="150" t="n">
        <v>0</v>
      </c>
      <c r="R40" s="143"/>
    </row>
    <row r="41" customFormat="false" ht="15.75" hidden="false" customHeight="false" outlineLevel="0" collapsed="false">
      <c r="A41" s="74" t="s">
        <v>204</v>
      </c>
      <c r="B41" s="126" t="n">
        <f aca="false">C41/$C$58</f>
        <v>0</v>
      </c>
      <c r="C41" s="128" t="n">
        <v>0</v>
      </c>
      <c r="D41" s="77" t="n">
        <f aca="false">C41/$H$68</f>
        <v>0</v>
      </c>
      <c r="E41" s="31"/>
      <c r="F41" s="84" t="s">
        <v>205</v>
      </c>
      <c r="G41" s="157" t="n">
        <v>4028.6613183723</v>
      </c>
      <c r="H41" s="157" t="n">
        <v>6</v>
      </c>
      <c r="I41" s="90" t="s">
        <v>206</v>
      </c>
      <c r="J41" s="120"/>
      <c r="L41" s="60" t="s">
        <v>207</v>
      </c>
      <c r="M41" s="31"/>
      <c r="N41" s="173" t="n">
        <v>20</v>
      </c>
      <c r="O41" s="174" t="s">
        <v>203</v>
      </c>
      <c r="P41" s="150" t="n">
        <v>0</v>
      </c>
      <c r="R41" s="149"/>
    </row>
    <row r="42" customFormat="false" ht="15.75" hidden="false" customHeight="false" outlineLevel="0" collapsed="false">
      <c r="A42" s="74" t="s">
        <v>208</v>
      </c>
      <c r="B42" s="126" t="n">
        <f aca="false">C42/$C$58</f>
        <v>0.017582547029093</v>
      </c>
      <c r="C42" s="128" t="n">
        <v>500</v>
      </c>
      <c r="D42" s="77" t="n">
        <f aca="false">C42/$H$68</f>
        <v>10.5263157894737</v>
      </c>
      <c r="E42" s="31"/>
      <c r="F42" s="84" t="s">
        <v>209</v>
      </c>
      <c r="G42" s="176" t="n">
        <v>0.02</v>
      </c>
      <c r="H42" s="90"/>
      <c r="I42" s="90"/>
      <c r="J42" s="120"/>
      <c r="L42" s="60"/>
      <c r="M42" s="31"/>
      <c r="N42" s="177"/>
      <c r="O42" s="177"/>
      <c r="P42" s="178"/>
      <c r="R42" s="179"/>
    </row>
    <row r="43" customFormat="false" ht="15.75" hidden="false" customHeight="false" outlineLevel="0" collapsed="false">
      <c r="A43" s="74" t="s">
        <v>210</v>
      </c>
      <c r="B43" s="126" t="n">
        <f aca="false">C43/$C$58</f>
        <v>0</v>
      </c>
      <c r="C43" s="128" t="n">
        <v>0</v>
      </c>
      <c r="D43" s="77" t="n">
        <f aca="false">C43/$H$68</f>
        <v>0</v>
      </c>
      <c r="E43" s="31"/>
      <c r="F43" s="84" t="s">
        <v>211</v>
      </c>
      <c r="G43" s="176" t="n">
        <v>0</v>
      </c>
      <c r="H43" s="31"/>
      <c r="I43" s="31"/>
      <c r="J43" s="32"/>
      <c r="L43" s="129" t="s">
        <v>13</v>
      </c>
      <c r="M43" s="31"/>
      <c r="N43" s="177"/>
      <c r="O43" s="177"/>
      <c r="P43" s="150"/>
    </row>
    <row r="44" customFormat="false" ht="15.75" hidden="false" customHeight="false" outlineLevel="0" collapsed="false">
      <c r="A44" s="74" t="s">
        <v>212</v>
      </c>
      <c r="B44" s="126" t="n">
        <f aca="false">C44/$C$58</f>
        <v>0</v>
      </c>
      <c r="C44" s="128" t="n">
        <v>0</v>
      </c>
      <c r="D44" s="77" t="n">
        <f aca="false">C44/$H$68</f>
        <v>0</v>
      </c>
      <c r="E44" s="31"/>
      <c r="F44" s="30"/>
      <c r="G44" s="31"/>
      <c r="H44" s="31"/>
      <c r="I44" s="31"/>
      <c r="J44" s="32"/>
      <c r="L44" s="60" t="s">
        <v>199</v>
      </c>
      <c r="M44" s="31"/>
      <c r="N44" s="173" t="n">
        <v>30</v>
      </c>
      <c r="O44" s="174" t="s">
        <v>203</v>
      </c>
      <c r="P44" s="150" t="n">
        <v>0.1</v>
      </c>
    </row>
    <row r="45" customFormat="false" ht="15.75" hidden="false" customHeight="false" outlineLevel="0" collapsed="false">
      <c r="A45" s="74" t="s">
        <v>213</v>
      </c>
      <c r="B45" s="126" t="n">
        <f aca="false">C45/$C$58</f>
        <v>0</v>
      </c>
      <c r="C45" s="128" t="n">
        <v>0</v>
      </c>
      <c r="D45" s="77" t="n">
        <f aca="false">C45/$H$68</f>
        <v>0</v>
      </c>
      <c r="E45" s="31"/>
      <c r="F45" s="144" t="s">
        <v>214</v>
      </c>
      <c r="G45" s="31"/>
      <c r="H45" s="31"/>
      <c r="I45" s="31"/>
      <c r="J45" s="32"/>
      <c r="L45" s="60" t="s">
        <v>202</v>
      </c>
      <c r="M45" s="31"/>
      <c r="N45" s="173" t="n">
        <v>5</v>
      </c>
      <c r="O45" s="174" t="s">
        <v>203</v>
      </c>
      <c r="P45" s="150" t="n">
        <v>0</v>
      </c>
    </row>
    <row r="46" customFormat="false" ht="16.5" hidden="false" customHeight="false" outlineLevel="0" collapsed="false">
      <c r="A46" s="84" t="s">
        <v>215</v>
      </c>
      <c r="B46" s="126" t="n">
        <f aca="false">C46/$C$58</f>
        <v>0.0319938717441365</v>
      </c>
      <c r="C46" s="76" t="n">
        <f aca="false">IDC!H34/2</f>
        <v>909.819029381745</v>
      </c>
      <c r="D46" s="77" t="n">
        <f aca="false">C46/$H$68</f>
        <v>19.1540848290894</v>
      </c>
      <c r="E46" s="31"/>
      <c r="F46" s="131" t="s">
        <v>216</v>
      </c>
      <c r="G46" s="112" t="n">
        <v>36617</v>
      </c>
      <c r="H46" s="31"/>
      <c r="I46" s="31"/>
      <c r="J46" s="32"/>
      <c r="L46" s="180" t="s">
        <v>207</v>
      </c>
      <c r="M46" s="34"/>
      <c r="N46" s="181" t="n">
        <v>20</v>
      </c>
      <c r="O46" s="182" t="s">
        <v>203</v>
      </c>
      <c r="P46" s="183" t="n">
        <v>0</v>
      </c>
    </row>
    <row r="47" customFormat="false" ht="16.5" hidden="false" customHeight="false" outlineLevel="0" collapsed="false">
      <c r="A47" s="84" t="s">
        <v>217</v>
      </c>
      <c r="B47" s="126" t="n">
        <f aca="false">C47/$C$58</f>
        <v>0</v>
      </c>
      <c r="C47" s="128" t="n">
        <v>0</v>
      </c>
      <c r="D47" s="77" t="n">
        <f aca="false">C47/$H$68</f>
        <v>0</v>
      </c>
      <c r="E47" s="31"/>
      <c r="F47" s="84" t="s">
        <v>218</v>
      </c>
      <c r="G47" s="184" t="n">
        <v>0</v>
      </c>
      <c r="H47" s="76" t="n">
        <f aca="false">G47*C11</f>
        <v>0</v>
      </c>
      <c r="I47" s="31"/>
      <c r="J47" s="32"/>
    </row>
    <row r="48" customFormat="false" ht="16.5" hidden="false" customHeight="false" outlineLevel="0" collapsed="false">
      <c r="A48" s="84" t="s">
        <v>219</v>
      </c>
      <c r="B48" s="126" t="n">
        <f aca="false">C48/$C$58</f>
        <v>0.0307567978670518</v>
      </c>
      <c r="C48" s="76" t="n">
        <f aca="false">SUM(C22:C33)*N55</f>
        <v>874.64</v>
      </c>
      <c r="D48" s="77" t="n">
        <f aca="false">C48/$H$68</f>
        <v>18.4134736842105</v>
      </c>
      <c r="E48" s="185"/>
      <c r="F48" s="158" t="s">
        <v>220</v>
      </c>
      <c r="G48" s="186" t="n">
        <f aca="false">1-G47</f>
        <v>1</v>
      </c>
      <c r="H48" s="187" t="n">
        <f aca="false">G48*C11</f>
        <v>17211.9424647363</v>
      </c>
      <c r="I48" s="34"/>
      <c r="J48" s="35"/>
      <c r="L48" s="51" t="s">
        <v>221</v>
      </c>
      <c r="M48" s="53"/>
      <c r="N48" s="188"/>
      <c r="O48" s="189"/>
      <c r="P48" s="190"/>
    </row>
    <row r="49" customFormat="false" ht="16.5" hidden="false" customHeight="false" outlineLevel="0" collapsed="false">
      <c r="A49" s="66" t="s">
        <v>222</v>
      </c>
      <c r="B49" s="154" t="n">
        <f aca="false">C49/$C$58</f>
        <v>0</v>
      </c>
      <c r="C49" s="155" t="n">
        <v>0</v>
      </c>
      <c r="D49" s="156" t="n">
        <f aca="false">C49/$H$68</f>
        <v>0</v>
      </c>
      <c r="E49" s="191"/>
      <c r="L49" s="192"/>
      <c r="M49" s="61"/>
      <c r="N49" s="193"/>
      <c r="O49" s="113"/>
      <c r="P49" s="141"/>
    </row>
    <row r="50" customFormat="false" ht="15.75" hidden="false" customHeight="false" outlineLevel="0" collapsed="false">
      <c r="A50" s="84" t="s">
        <v>184</v>
      </c>
      <c r="B50" s="126" t="n">
        <f aca="false">SUM(B37:B49)</f>
        <v>0.111889739076404</v>
      </c>
      <c r="C50" s="76" t="n">
        <f aca="false">SUM(C37:C49)</f>
        <v>3181.84102938174</v>
      </c>
      <c r="D50" s="77" t="n">
        <f aca="false">C50/$H$68</f>
        <v>66.9861269343525</v>
      </c>
      <c r="E50" s="31"/>
      <c r="F50" s="51" t="s">
        <v>223</v>
      </c>
      <c r="G50" s="52"/>
      <c r="H50" s="56"/>
      <c r="I50" s="194"/>
      <c r="J50" s="55"/>
      <c r="L50" s="60" t="s">
        <v>224</v>
      </c>
      <c r="M50" s="113"/>
      <c r="N50" s="170" t="n">
        <v>0.35</v>
      </c>
      <c r="O50" s="113"/>
      <c r="P50" s="141"/>
    </row>
    <row r="51" customFormat="false" ht="15.75" hidden="false" customHeight="false" outlineLevel="0" collapsed="false">
      <c r="A51" s="30"/>
      <c r="B51" s="31"/>
      <c r="C51" s="76"/>
      <c r="D51" s="165"/>
      <c r="E51" s="195"/>
      <c r="F51" s="30"/>
      <c r="G51" s="31"/>
      <c r="H51" s="31"/>
      <c r="I51" s="83"/>
      <c r="J51" s="32"/>
      <c r="L51" s="60" t="s">
        <v>225</v>
      </c>
      <c r="M51" s="113"/>
      <c r="N51" s="79" t="n">
        <v>0.07</v>
      </c>
      <c r="O51" s="196" t="s">
        <v>226</v>
      </c>
      <c r="P51" s="141"/>
    </row>
    <row r="52" customFormat="false" ht="15.75" hidden="false" customHeight="false" outlineLevel="0" collapsed="false">
      <c r="A52" s="74" t="s">
        <v>227</v>
      </c>
      <c r="B52" s="31"/>
      <c r="C52" s="76"/>
      <c r="D52" s="100"/>
      <c r="E52" s="195"/>
      <c r="F52" s="105" t="s">
        <v>228</v>
      </c>
      <c r="G52" s="31"/>
      <c r="H52" s="31"/>
      <c r="I52" s="31"/>
      <c r="J52" s="32"/>
      <c r="L52" s="60" t="s">
        <v>229</v>
      </c>
      <c r="M52" s="113"/>
      <c r="N52" s="79" t="n">
        <v>0</v>
      </c>
      <c r="O52" s="196" t="s">
        <v>226</v>
      </c>
      <c r="P52" s="141"/>
    </row>
    <row r="53" customFormat="false" ht="15.75" hidden="false" customHeight="false" outlineLevel="0" collapsed="false">
      <c r="A53" s="74" t="s">
        <v>230</v>
      </c>
      <c r="B53" s="126" t="n">
        <f aca="false">C53/$C$58</f>
        <v>0</v>
      </c>
      <c r="C53" s="128" t="n">
        <v>0</v>
      </c>
      <c r="D53" s="77" t="n">
        <f aca="false">C53/$H$68</f>
        <v>0</v>
      </c>
      <c r="E53" s="31"/>
      <c r="F53" s="84" t="s">
        <v>231</v>
      </c>
      <c r="G53" s="31"/>
      <c r="H53" s="124" t="n">
        <v>3</v>
      </c>
      <c r="I53" s="83"/>
      <c r="J53" s="32"/>
      <c r="L53" s="60" t="s">
        <v>232</v>
      </c>
      <c r="M53" s="113"/>
      <c r="N53" s="79" t="n">
        <v>0</v>
      </c>
      <c r="O53" s="196" t="s">
        <v>226</v>
      </c>
      <c r="P53" s="141"/>
    </row>
    <row r="54" customFormat="false" ht="15.75" hidden="false" customHeight="false" outlineLevel="0" collapsed="false">
      <c r="A54" s="74" t="s">
        <v>233</v>
      </c>
      <c r="B54" s="126" t="n">
        <f aca="false">C54/$C$58</f>
        <v>0</v>
      </c>
      <c r="C54" s="128" t="n">
        <v>0</v>
      </c>
      <c r="D54" s="77" t="n">
        <f aca="false">C54/$H$68</f>
        <v>0</v>
      </c>
      <c r="E54" s="31"/>
      <c r="F54" s="84" t="s">
        <v>234</v>
      </c>
      <c r="G54" s="31"/>
      <c r="H54" s="89" t="n">
        <v>4</v>
      </c>
      <c r="I54" s="31"/>
      <c r="J54" s="32"/>
      <c r="L54" s="60" t="s">
        <v>235</v>
      </c>
      <c r="M54" s="31"/>
      <c r="N54" s="79" t="n">
        <v>0.015</v>
      </c>
      <c r="O54" s="196" t="s">
        <v>226</v>
      </c>
      <c r="P54" s="32"/>
    </row>
    <row r="55" customFormat="false" ht="16.5" hidden="false" customHeight="false" outlineLevel="0" collapsed="false">
      <c r="A55" s="105" t="s">
        <v>236</v>
      </c>
      <c r="B55" s="154" t="n">
        <f aca="false">C55/$C$58</f>
        <v>0</v>
      </c>
      <c r="C55" s="155" t="n">
        <v>0</v>
      </c>
      <c r="D55" s="77" t="n">
        <f aca="false">C55/$H$68</f>
        <v>0</v>
      </c>
      <c r="E55" s="31"/>
      <c r="F55" s="30"/>
      <c r="G55" s="31"/>
      <c r="H55" s="31"/>
      <c r="I55" s="31"/>
      <c r="J55" s="32"/>
      <c r="L55" s="180" t="s">
        <v>237</v>
      </c>
      <c r="M55" s="34"/>
      <c r="N55" s="197" t="n">
        <v>0.08</v>
      </c>
      <c r="O55" s="198" t="s">
        <v>226</v>
      </c>
      <c r="P55" s="35"/>
    </row>
    <row r="56" customFormat="false" ht="15.75" hidden="false" customHeight="false" outlineLevel="0" collapsed="false">
      <c r="A56" s="84" t="s">
        <v>184</v>
      </c>
      <c r="B56" s="126" t="n">
        <f aca="false">SUM(B53:B55)</f>
        <v>0</v>
      </c>
      <c r="C56" s="199" t="n">
        <f aca="false">SUM(C53:C55)</f>
        <v>0</v>
      </c>
      <c r="D56" s="77" t="n">
        <f aca="false">C56/$H$68</f>
        <v>0</v>
      </c>
      <c r="E56" s="31"/>
      <c r="F56" s="105" t="s">
        <v>238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65"/>
      <c r="E57" s="31"/>
      <c r="F57" s="84" t="s">
        <v>231</v>
      </c>
      <c r="G57" s="31"/>
      <c r="H57" s="114" t="n">
        <f aca="false">H19-H53</f>
        <v>17</v>
      </c>
      <c r="I57" s="83"/>
      <c r="J57" s="32"/>
    </row>
    <row r="58" customFormat="false" ht="16.5" hidden="false" customHeight="false" outlineLevel="0" collapsed="false">
      <c r="A58" s="200" t="s">
        <v>239</v>
      </c>
      <c r="B58" s="201" t="n">
        <f aca="false">B56+B50+B34</f>
        <v>1</v>
      </c>
      <c r="C58" s="202" t="n">
        <f aca="false">C56+C50+C34</f>
        <v>28437.2906367135</v>
      </c>
      <c r="D58" s="203" t="n">
        <f aca="false">C58/$H$68</f>
        <v>598.679802878178</v>
      </c>
      <c r="E58" s="31"/>
      <c r="F58" s="84" t="s">
        <v>234</v>
      </c>
      <c r="G58" s="90"/>
      <c r="H58" s="204"/>
      <c r="I58" s="83"/>
      <c r="J58" s="32"/>
    </row>
    <row r="59" customFormat="false" ht="13.5" hidden="false" customHeight="false" outlineLevel="0" collapsed="false">
      <c r="A59" s="31"/>
      <c r="B59" s="31"/>
      <c r="C59" s="205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8" t="s">
        <v>240</v>
      </c>
      <c r="B60" s="56"/>
      <c r="C60" s="194"/>
      <c r="D60" s="206"/>
      <c r="E60" s="31"/>
      <c r="F60" s="84" t="s">
        <v>241</v>
      </c>
      <c r="G60" s="90"/>
      <c r="H60" s="204" t="n">
        <f aca="false">P17</f>
        <v>3.032</v>
      </c>
      <c r="I60" s="83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84"/>
      <c r="G61" s="31"/>
      <c r="H61" s="170"/>
      <c r="I61" s="83"/>
      <c r="J61" s="32"/>
    </row>
    <row r="62" customFormat="false" ht="16.5" hidden="false" customHeight="false" outlineLevel="0" collapsed="false">
      <c r="A62" s="207" t="s">
        <v>242</v>
      </c>
      <c r="B62" s="208"/>
      <c r="C62" s="209" t="n">
        <f aca="false">D58</f>
        <v>598.679802878178</v>
      </c>
      <c r="D62" s="32"/>
      <c r="E62" s="31"/>
      <c r="F62" s="158" t="s">
        <v>243</v>
      </c>
      <c r="G62" s="34"/>
      <c r="H62" s="159" t="n">
        <f aca="false">H68*H72</f>
        <v>66500</v>
      </c>
      <c r="I62" s="210"/>
      <c r="J62" s="35"/>
    </row>
    <row r="63" customFormat="false" ht="13.5" hidden="false" customHeight="false" outlineLevel="0" collapsed="false">
      <c r="A63" s="211"/>
      <c r="B63" s="146"/>
      <c r="C63" s="146"/>
      <c r="D63" s="32"/>
      <c r="E63" s="31"/>
    </row>
    <row r="64" customFormat="false" ht="15.75" hidden="false" customHeight="false" outlineLevel="0" collapsed="false">
      <c r="A64" s="84"/>
      <c r="B64" s="90"/>
      <c r="C64" s="67" t="s">
        <v>244</v>
      </c>
      <c r="D64" s="168" t="s">
        <v>245</v>
      </c>
      <c r="E64" s="31"/>
      <c r="F64" s="51" t="s">
        <v>246</v>
      </c>
      <c r="G64" s="54"/>
      <c r="H64" s="194"/>
      <c r="I64" s="49"/>
      <c r="J64" s="55"/>
    </row>
    <row r="65" customFormat="false" ht="15.75" hidden="false" customHeight="false" outlineLevel="0" collapsed="false">
      <c r="A65" s="105" t="s">
        <v>62</v>
      </c>
      <c r="B65" s="212"/>
      <c r="C65" s="213" t="n">
        <f aca="false">Debt!E68</f>
        <v>1.3018383141726</v>
      </c>
      <c r="D65" s="214" t="n">
        <f aca="false">Debt!E69</f>
        <v>1.3</v>
      </c>
      <c r="E65" s="31"/>
      <c r="F65" s="192"/>
      <c r="G65" s="215"/>
      <c r="H65" s="83"/>
      <c r="I65" s="31"/>
      <c r="J65" s="32"/>
    </row>
    <row r="66" customFormat="false" ht="15.75" hidden="false" customHeight="false" outlineLevel="0" collapsed="false">
      <c r="A66" s="30"/>
      <c r="B66" s="90"/>
      <c r="C66" s="31"/>
      <c r="D66" s="32"/>
      <c r="E66" s="31"/>
      <c r="F66" s="84" t="s">
        <v>247</v>
      </c>
      <c r="G66" s="31"/>
      <c r="H66" s="104" t="n">
        <f aca="false">H12*H13</f>
        <v>47.5</v>
      </c>
      <c r="I66" s="31"/>
      <c r="J66" s="32"/>
    </row>
    <row r="67" customFormat="false" ht="15.75" hidden="false" customHeight="false" outlineLevel="0" collapsed="false">
      <c r="A67" s="105" t="s">
        <v>248</v>
      </c>
      <c r="B67" s="31"/>
      <c r="C67" s="31"/>
      <c r="D67" s="32"/>
      <c r="E67" s="31"/>
      <c r="F67" s="105" t="s">
        <v>249</v>
      </c>
      <c r="G67" s="31"/>
      <c r="H67" s="216" t="n">
        <v>0</v>
      </c>
      <c r="I67" s="31"/>
      <c r="J67" s="32"/>
    </row>
    <row r="68" customFormat="false" ht="15.75" hidden="false" customHeight="false" outlineLevel="0" collapsed="false">
      <c r="A68" s="84" t="s">
        <v>250</v>
      </c>
      <c r="B68" s="90"/>
      <c r="C68" s="217" t="n">
        <f aca="false">'Returns Analysis'!C39</f>
        <v>-0.167525739571742</v>
      </c>
      <c r="D68" s="32"/>
      <c r="E68" s="31"/>
      <c r="F68" s="62" t="s">
        <v>251</v>
      </c>
      <c r="G68" s="191"/>
      <c r="H68" s="218" t="n">
        <f aca="false">SUM(H66:H67)</f>
        <v>47.5</v>
      </c>
      <c r="I68" s="31"/>
      <c r="J68" s="32"/>
    </row>
    <row r="69" customFormat="false" ht="15.75" hidden="false" customHeight="false" outlineLevel="0" collapsed="false">
      <c r="A69" s="84" t="str">
        <f aca="false">CONCATENATE("30 Yrs After-Tax Cashflow with ",H23,"x EBITDA Exit Multiple Residual Value")</f>
        <v>30 Yrs After-Tax Cashflow with 5x EBITDA Exit Multiple Residual Value</v>
      </c>
      <c r="B69" s="31"/>
      <c r="C69" s="217" t="e">
        <f aca="false">'Returns Analysis'!C46</f>
        <v>#VALUE!</v>
      </c>
      <c r="D69" s="171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84" t="str">
        <f aca="false">CONCATENATE("30 Yrs After-Tax Cashflow with ",H24*100,"% Initial Project Cost Residual Value")</f>
        <v>30 Yrs After-Tax Cashflow with 20% Initial Project Cost Residual Value</v>
      </c>
      <c r="B70" s="31"/>
      <c r="C70" s="217" t="n">
        <f aca="false">'Returns Analysis'!C53</f>
        <v>-0.025140941398186</v>
      </c>
      <c r="D70" s="171"/>
      <c r="E70" s="31"/>
      <c r="F70" s="84" t="s">
        <v>252</v>
      </c>
      <c r="G70" s="31"/>
      <c r="H70" s="82" t="n">
        <v>140</v>
      </c>
      <c r="I70" s="31"/>
      <c r="J70" s="32"/>
    </row>
    <row r="71" customFormat="false" ht="15.75" hidden="false" customHeight="false" outlineLevel="0" collapsed="false">
      <c r="A71" s="84" t="str">
        <f aca="false">CONCATENATE("30 Yrs After-Tax Cashflow with $",H25,"/kW Residual Value")</f>
        <v>30 Yrs After-Tax Cashflow with $200/kW Residual Value</v>
      </c>
      <c r="B71" s="31"/>
      <c r="C71" s="217" t="n">
        <f aca="false">'Returns Analysis'!C60</f>
        <v>-0.0067697514478064</v>
      </c>
      <c r="D71" s="171"/>
      <c r="E71" s="31"/>
      <c r="F71" s="84" t="s">
        <v>253</v>
      </c>
      <c r="G71" s="31"/>
      <c r="H71" s="82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58" t="s">
        <v>254</v>
      </c>
      <c r="G72" s="34"/>
      <c r="H72" s="219" t="n">
        <v>1400</v>
      </c>
      <c r="I72" s="34"/>
      <c r="J72" s="35"/>
    </row>
    <row r="73" customFormat="false" ht="15.75" hidden="false" customHeight="false" outlineLevel="0" collapsed="false">
      <c r="A73" s="105" t="s">
        <v>255</v>
      </c>
      <c r="B73" s="67" t="n">
        <f aca="false">IS!C7</f>
        <v>2001</v>
      </c>
      <c r="C73" s="67" t="n">
        <f aca="false">IS!D7</f>
        <v>2002</v>
      </c>
      <c r="D73" s="168" t="n">
        <f aca="false">IS!E7</f>
        <v>2003</v>
      </c>
    </row>
    <row r="74" customFormat="false" ht="15.75" hidden="false" customHeight="false" outlineLevel="0" collapsed="false">
      <c r="A74" s="84" t="s">
        <v>256</v>
      </c>
      <c r="B74" s="199" t="n">
        <f aca="false">IS!C32</f>
        <v>464.997182421703</v>
      </c>
      <c r="C74" s="199" t="n">
        <f aca="false">IS!D32</f>
        <v>862.437843632555</v>
      </c>
      <c r="D74" s="220" t="n">
        <f aca="false">IS!E32</f>
        <v>826.408175732553</v>
      </c>
      <c r="E74" s="90"/>
    </row>
    <row r="75" customFormat="false" ht="15.75" hidden="false" customHeight="false" outlineLevel="0" collapsed="false">
      <c r="A75" s="84" t="s">
        <v>257</v>
      </c>
      <c r="B75" s="199" t="n">
        <f aca="false">IS!C45</f>
        <v>-605.236017677906</v>
      </c>
      <c r="C75" s="199" t="n">
        <f aca="false">IS!D45</f>
        <v>-819.833017306165</v>
      </c>
      <c r="D75" s="220" t="n">
        <f aca="false">IS!E45</f>
        <v>-857.665460279175</v>
      </c>
      <c r="E75" s="90"/>
    </row>
    <row r="76" customFormat="false" ht="15.75" hidden="false" customHeight="false" outlineLevel="0" collapsed="false">
      <c r="A76" s="84" t="s">
        <v>258</v>
      </c>
      <c r="B76" s="199" t="n">
        <f aca="false">'Returns Analysis'!C13</f>
        <v>77.0657455954687</v>
      </c>
      <c r="C76" s="199" t="n">
        <f aca="false">'Returns Analysis'!D13</f>
        <v>-83.3071945976187</v>
      </c>
      <c r="D76" s="220" t="n">
        <f aca="false">'Returns Analysis'!E13</f>
        <v>-145.739380073269</v>
      </c>
      <c r="E76" s="31"/>
    </row>
    <row r="77" customFormat="false" ht="16.5" hidden="false" customHeight="false" outlineLevel="0" collapsed="false">
      <c r="A77" s="158" t="s">
        <v>259</v>
      </c>
      <c r="B77" s="221" t="n">
        <f aca="false">'Returns Analysis'!C21</f>
        <v>240.707873119937</v>
      </c>
      <c r="C77" s="221" t="n">
        <f aca="false">'Returns Analysis'!D21</f>
        <v>231.022325243612</v>
      </c>
      <c r="D77" s="222" t="n">
        <f aca="false">'Returns Analysis'!E21</f>
        <v>183.799779691916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90"/>
    </row>
    <row r="87" customFormat="false" ht="15.75" hidden="false" customHeight="false" outlineLevel="0" collapsed="false">
      <c r="E87" s="90"/>
    </row>
    <row r="88" customFormat="false" ht="15.75" hidden="false" customHeight="false" outlineLevel="0" collapsed="false">
      <c r="E88" s="90"/>
    </row>
    <row r="89" customFormat="false" ht="15.75" hidden="false" customHeight="false" outlineLevel="0" collapsed="false">
      <c r="E89" s="90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90"/>
    </row>
    <row r="92" customFormat="false" ht="15.75" hidden="false" customHeight="false" outlineLevel="0" collapsed="false">
      <c r="E92" s="90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3"/>
    </row>
    <row r="95" customFormat="false" ht="15.75" hidden="false" customHeight="false" outlineLevel="0" collapsed="false">
      <c r="E95" s="90"/>
    </row>
    <row r="96" customFormat="false" ht="15.75" hidden="false" customHeight="false" outlineLevel="0" collapsed="false">
      <c r="E96" s="90"/>
    </row>
    <row r="97" customFormat="false" ht="15.75" hidden="false" customHeight="false" outlineLevel="0" collapsed="false">
      <c r="E97" s="90"/>
    </row>
    <row r="98" customFormat="false" ht="15.75" hidden="false" customHeight="false" outlineLevel="0" collapsed="false">
      <c r="E98" s="67"/>
    </row>
    <row r="99" customFormat="false" ht="15.75" hidden="false" customHeight="false" outlineLevel="0" collapsed="false">
      <c r="E99" s="199"/>
    </row>
    <row r="100" customFormat="false" ht="15.75" hidden="false" customHeight="false" outlineLevel="0" collapsed="false">
      <c r="E100" s="199"/>
    </row>
    <row r="101" customFormat="false" ht="15.75" hidden="false" customHeight="false" outlineLevel="0" collapsed="false">
      <c r="E101" s="199"/>
    </row>
    <row r="102" customFormat="false" ht="15.75" hidden="false" customHeight="false" outlineLevel="0" collapsed="false">
      <c r="E102" s="199"/>
    </row>
    <row r="118" customFormat="false" ht="15.75" hidden="false" customHeight="false" outlineLevel="0" collapsed="false">
      <c r="I118" s="223"/>
    </row>
    <row r="119" customFormat="false" ht="15.75" hidden="false" customHeight="false" outlineLevel="0" collapsed="false">
      <c r="I119" s="223"/>
    </row>
    <row r="120" customFormat="false" ht="15.75" hidden="false" customHeight="false" outlineLevel="0" collapsed="false">
      <c r="I120" s="223"/>
    </row>
    <row r="121" customFormat="false" ht="15.75" hidden="false" customHeight="false" outlineLevel="0" collapsed="false">
      <c r="I121" s="223"/>
    </row>
    <row r="122" customFormat="false" ht="15.75" hidden="false" customHeight="false" outlineLevel="0" collapsed="false">
      <c r="I122" s="223"/>
    </row>
    <row r="123" customFormat="false" ht="15.75" hidden="false" customHeight="false" outlineLevel="0" collapsed="false">
      <c r="I123" s="223"/>
    </row>
    <row r="124" customFormat="false" ht="15.75" hidden="false" customHeight="false" outlineLevel="0" collapsed="false">
      <c r="I124" s="223"/>
    </row>
    <row r="125" customFormat="false" ht="15.75" hidden="false" customHeight="false" outlineLevel="0" collapsed="false">
      <c r="I125" s="223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5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4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4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4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5"/>
      <c r="M136" s="204"/>
      <c r="N136" s="204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4"/>
      <c r="K137" s="204"/>
      <c r="L137" s="226"/>
      <c r="M137" s="227"/>
      <c r="N137" s="227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7"/>
      <c r="K138" s="227"/>
      <c r="L138" s="228"/>
      <c r="M138" s="193"/>
      <c r="N138" s="193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3"/>
      <c r="K139" s="193"/>
      <c r="L139" s="228"/>
      <c r="M139" s="193"/>
      <c r="N139" s="193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3"/>
      <c r="K140" s="193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5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4"/>
    </row>
    <row r="151" customFormat="false" ht="15.75" hidden="false" customHeight="false" outlineLevel="0" collapsed="false">
      <c r="J151" s="227"/>
    </row>
    <row r="152" customFormat="false" ht="15.75" hidden="false" customHeight="false" outlineLevel="0" collapsed="false">
      <c r="J152" s="193"/>
    </row>
    <row r="153" customFormat="false" ht="15.75" hidden="false" customHeight="false" outlineLevel="0" collapsed="false">
      <c r="J153" s="19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5" activeCellId="0" sqref="D25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Rochester</v>
      </c>
    </row>
    <row r="3" customFormat="false" ht="12" hidden="false" customHeight="true" outlineLevel="0" collapsed="false">
      <c r="B3" s="229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</row>
    <row r="4" customFormat="false" ht="18.75" hidden="false" customHeight="false" outlineLevel="0" collapsed="false">
      <c r="B4" s="2" t="s">
        <v>260</v>
      </c>
      <c r="C4" s="231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</row>
    <row r="5" customFormat="false" ht="18.75" hidden="false" customHeight="false" outlineLevel="0" collapsed="false">
      <c r="B5" s="6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customFormat="false" ht="15.75" hidden="false" customHeight="false" outlineLevel="0" collapsed="false">
      <c r="B6" s="233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customFormat="false" ht="15.75" hidden="false" customHeight="false" outlineLevel="0" collapsed="false">
      <c r="B7" s="234"/>
      <c r="C7" s="90"/>
      <c r="D7" s="235" t="n">
        <f aca="false">(Assumptions!H18/12)</f>
        <v>0.666666666666667</v>
      </c>
      <c r="E7" s="235" t="n">
        <f aca="false">D7+1</f>
        <v>1.66666666666667</v>
      </c>
      <c r="F7" s="235" t="n">
        <f aca="false">E7+1</f>
        <v>2.66666666666667</v>
      </c>
      <c r="G7" s="235" t="n">
        <f aca="false">F7+1</f>
        <v>3.66666666666667</v>
      </c>
      <c r="H7" s="235" t="n">
        <f aca="false">G7+1</f>
        <v>4.66666666666667</v>
      </c>
      <c r="I7" s="235" t="n">
        <f aca="false">H7+1</f>
        <v>5.66666666666667</v>
      </c>
      <c r="J7" s="235" t="n">
        <f aca="false">I7+1</f>
        <v>6.66666666666667</v>
      </c>
      <c r="K7" s="235" t="n">
        <f aca="false">J7+1</f>
        <v>7.66666666666667</v>
      </c>
      <c r="L7" s="235" t="n">
        <f aca="false">K7+1</f>
        <v>8.66666666666667</v>
      </c>
      <c r="M7" s="235" t="n">
        <f aca="false">L7+1</f>
        <v>9.66666666666667</v>
      </c>
      <c r="N7" s="235" t="n">
        <f aca="false">M7+1</f>
        <v>10.6666666666667</v>
      </c>
      <c r="O7" s="235" t="n">
        <f aca="false">N7+1</f>
        <v>11.6666666666667</v>
      </c>
      <c r="P7" s="235" t="n">
        <f aca="false">O7+1</f>
        <v>12.6666666666667</v>
      </c>
      <c r="Q7" s="235" t="n">
        <f aca="false">P7+1</f>
        <v>13.6666666666667</v>
      </c>
      <c r="R7" s="235" t="n">
        <f aca="false">Q7+1</f>
        <v>14.6666666666667</v>
      </c>
      <c r="S7" s="235" t="n">
        <f aca="false">R7+1</f>
        <v>15.6666666666667</v>
      </c>
      <c r="T7" s="235" t="n">
        <f aca="false">S7+1</f>
        <v>16.6666666666667</v>
      </c>
      <c r="U7" s="235" t="n">
        <f aca="false">T7+1</f>
        <v>17.6666666666667</v>
      </c>
      <c r="V7" s="235" t="n">
        <f aca="false">U7+1</f>
        <v>18.6666666666667</v>
      </c>
      <c r="W7" s="235" t="n">
        <f aca="false">V7+1</f>
        <v>19.6666666666667</v>
      </c>
      <c r="X7" s="235" t="n">
        <f aca="false">W7+1</f>
        <v>20.6666666666667</v>
      </c>
      <c r="Y7" s="235" t="n">
        <f aca="false">X7+1</f>
        <v>21.6666666666667</v>
      </c>
      <c r="Z7" s="235" t="n">
        <f aca="false">Y7+1</f>
        <v>22.6666666666667</v>
      </c>
      <c r="AA7" s="235" t="n">
        <f aca="false">Z7+1</f>
        <v>23.6666666666667</v>
      </c>
      <c r="AB7" s="235" t="n">
        <f aca="false">AA7+1</f>
        <v>24.6666666666667</v>
      </c>
      <c r="AC7" s="235" t="n">
        <f aca="false">AB7+1</f>
        <v>25.6666666666667</v>
      </c>
      <c r="AD7" s="235" t="n">
        <f aca="false">AC7+1</f>
        <v>26.6666666666667</v>
      </c>
      <c r="AE7" s="235" t="n">
        <f aca="false">AD7+1</f>
        <v>27.6666666666667</v>
      </c>
      <c r="AF7" s="235" t="n">
        <f aca="false">AE7+1</f>
        <v>28.6666666666667</v>
      </c>
      <c r="AG7" s="235" t="n">
        <f aca="false">AF7+1</f>
        <v>29.6666666666667</v>
      </c>
      <c r="AH7" s="235" t="n">
        <f aca="false">AG7+1</f>
        <v>30.6666666666667</v>
      </c>
    </row>
    <row r="8" customFormat="false" ht="16.5" hidden="false" customHeight="false" outlineLevel="0" collapsed="false">
      <c r="B8" s="236"/>
      <c r="C8" s="236"/>
      <c r="D8" s="237" t="n">
        <f aca="false">YEAR(Assumptions!H17)</f>
        <v>2001</v>
      </c>
      <c r="E8" s="237" t="n">
        <f aca="false">D8+1</f>
        <v>2002</v>
      </c>
      <c r="F8" s="237" t="n">
        <f aca="false">E8+1</f>
        <v>2003</v>
      </c>
      <c r="G8" s="237" t="n">
        <f aca="false">F8+1</f>
        <v>2004</v>
      </c>
      <c r="H8" s="237" t="n">
        <f aca="false">G8+1</f>
        <v>2005</v>
      </c>
      <c r="I8" s="237" t="n">
        <f aca="false">H8+1</f>
        <v>2006</v>
      </c>
      <c r="J8" s="237" t="n">
        <f aca="false">I8+1</f>
        <v>2007</v>
      </c>
      <c r="K8" s="237" t="n">
        <f aca="false">J8+1</f>
        <v>2008</v>
      </c>
      <c r="L8" s="237" t="n">
        <f aca="false">K8+1</f>
        <v>2009</v>
      </c>
      <c r="M8" s="237" t="n">
        <f aca="false">L8+1</f>
        <v>2010</v>
      </c>
      <c r="N8" s="237" t="n">
        <f aca="false">M8+1</f>
        <v>2011</v>
      </c>
      <c r="O8" s="237" t="n">
        <f aca="false">N8+1</f>
        <v>2012</v>
      </c>
      <c r="P8" s="237" t="n">
        <f aca="false">O8+1</f>
        <v>2013</v>
      </c>
      <c r="Q8" s="237" t="n">
        <f aca="false">P8+1</f>
        <v>2014</v>
      </c>
      <c r="R8" s="237" t="n">
        <f aca="false">Q8+1</f>
        <v>2015</v>
      </c>
      <c r="S8" s="237" t="n">
        <f aca="false">R8+1</f>
        <v>2016</v>
      </c>
      <c r="T8" s="237" t="n">
        <f aca="false">S8+1</f>
        <v>2017</v>
      </c>
      <c r="U8" s="237" t="n">
        <f aca="false">T8+1</f>
        <v>2018</v>
      </c>
      <c r="V8" s="237" t="n">
        <f aca="false">U8+1</f>
        <v>2019</v>
      </c>
      <c r="W8" s="237" t="n">
        <f aca="false">V8+1</f>
        <v>2020</v>
      </c>
      <c r="X8" s="237" t="n">
        <f aca="false">W8+1</f>
        <v>2021</v>
      </c>
      <c r="Y8" s="237" t="n">
        <f aca="false">X8+1</f>
        <v>2022</v>
      </c>
      <c r="Z8" s="237" t="n">
        <f aca="false">Y8+1</f>
        <v>2023</v>
      </c>
      <c r="AA8" s="237" t="n">
        <f aca="false">Z8+1</f>
        <v>2024</v>
      </c>
      <c r="AB8" s="237" t="n">
        <f aca="false">AA8+1</f>
        <v>2025</v>
      </c>
      <c r="AC8" s="237" t="n">
        <f aca="false">AB8+1</f>
        <v>2026</v>
      </c>
      <c r="AD8" s="237" t="n">
        <f aca="false">AC8+1</f>
        <v>2027</v>
      </c>
      <c r="AE8" s="237" t="n">
        <f aca="false">AD8+1</f>
        <v>2028</v>
      </c>
      <c r="AF8" s="237" t="n">
        <f aca="false">AE8+1</f>
        <v>2029</v>
      </c>
      <c r="AG8" s="237" t="n">
        <f aca="false">AF8+1</f>
        <v>2030</v>
      </c>
      <c r="AH8" s="237" t="n">
        <f aca="false">AG8+1</f>
        <v>2031</v>
      </c>
    </row>
    <row r="9" customFormat="false" ht="15.75" hidden="false" customHeight="false" outlineLevel="0" collapsed="false">
      <c r="B9" s="90"/>
      <c r="C9" s="90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</row>
    <row r="10" customFormat="false" ht="15.75" hidden="false" customHeight="false" outlineLevel="0" collapsed="false">
      <c r="A10" s="1"/>
      <c r="B10" s="239" t="s">
        <v>261</v>
      </c>
      <c r="C10" s="31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40"/>
      <c r="C11" s="31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7" t="s">
        <v>262</v>
      </c>
      <c r="C12" s="31"/>
      <c r="D12" s="241" t="n">
        <f aca="false">Assumptions!$H$54</f>
        <v>4</v>
      </c>
      <c r="E12" s="241" t="n">
        <f aca="false">Assumptions!$H$54</f>
        <v>4</v>
      </c>
      <c r="F12" s="241" t="n">
        <f aca="false">Assumptions!$H$54</f>
        <v>4</v>
      </c>
      <c r="G12" s="241" t="n">
        <f aca="false">Assumptions!$H$54</f>
        <v>4</v>
      </c>
      <c r="H12" s="241" t="n">
        <f aca="false">Assumptions!$H$54</f>
        <v>4</v>
      </c>
      <c r="I12" s="241" t="n">
        <f aca="false">Assumptions!$H$54</f>
        <v>4</v>
      </c>
      <c r="J12" s="241" t="n">
        <f aca="false">Assumptions!$H$54</f>
        <v>4</v>
      </c>
      <c r="K12" s="241" t="n">
        <f aca="false">Assumptions!$H$54</f>
        <v>4</v>
      </c>
      <c r="L12" s="241" t="n">
        <f aca="false">Assumptions!$H$54</f>
        <v>4</v>
      </c>
      <c r="M12" s="241" t="n">
        <f aca="false">Assumptions!$H$54</f>
        <v>4</v>
      </c>
      <c r="N12" s="241" t="n">
        <f aca="false">Assumptions!$H$54</f>
        <v>4</v>
      </c>
      <c r="O12" s="241" t="n">
        <f aca="false">Assumptions!$H$54</f>
        <v>4</v>
      </c>
      <c r="P12" s="241" t="n">
        <f aca="false">Assumptions!$H$54</f>
        <v>4</v>
      </c>
      <c r="Q12" s="241" t="n">
        <f aca="false">Assumptions!$H$54</f>
        <v>4</v>
      </c>
      <c r="R12" s="241" t="n">
        <f aca="false">Assumptions!$H$54</f>
        <v>4</v>
      </c>
      <c r="S12" s="241" t="n">
        <f aca="false">Assumptions!$H$54</f>
        <v>4</v>
      </c>
      <c r="T12" s="241" t="n">
        <f aca="false">Assumptions!$H$54</f>
        <v>4</v>
      </c>
      <c r="U12" s="241" t="n">
        <f aca="false">Assumptions!$H$54</f>
        <v>4</v>
      </c>
      <c r="V12" s="241" t="n">
        <f aca="false">Assumptions!$H$54</f>
        <v>4</v>
      </c>
      <c r="W12" s="241" t="n">
        <f aca="false">Assumptions!$H$54</f>
        <v>4</v>
      </c>
      <c r="X12" s="241" t="n">
        <f aca="false">Assumptions!$H$54</f>
        <v>4</v>
      </c>
      <c r="Y12" s="241" t="n">
        <f aca="false">Assumptions!$H$54</f>
        <v>4</v>
      </c>
      <c r="Z12" s="241" t="n">
        <f aca="false">Assumptions!$H$54</f>
        <v>4</v>
      </c>
      <c r="AA12" s="241" t="n">
        <f aca="false">Assumptions!$H$54</f>
        <v>4</v>
      </c>
      <c r="AB12" s="241" t="n">
        <f aca="false">Assumptions!$H$54</f>
        <v>4</v>
      </c>
      <c r="AC12" s="241" t="n">
        <f aca="false">Assumptions!$H$54</f>
        <v>4</v>
      </c>
      <c r="AD12" s="241" t="n">
        <f aca="false">Assumptions!$H$54</f>
        <v>4</v>
      </c>
      <c r="AE12" s="241" t="n">
        <f aca="false">Assumptions!$H$54</f>
        <v>4</v>
      </c>
      <c r="AF12" s="241" t="n">
        <f aca="false">Assumptions!$H$54</f>
        <v>4</v>
      </c>
      <c r="AG12" s="241" t="n">
        <f aca="false">Assumptions!$H$54</f>
        <v>4</v>
      </c>
      <c r="AH12" s="241" t="n">
        <f aca="false">Assumptions!$H$54</f>
        <v>4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7"/>
      <c r="C13" s="31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7" t="s">
        <v>263</v>
      </c>
      <c r="C14" s="31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98</v>
      </c>
      <c r="C15" s="1"/>
      <c r="D15" s="242" t="n">
        <v>5.49333333333333</v>
      </c>
      <c r="E15" s="242" t="n">
        <v>5.65813333333333</v>
      </c>
      <c r="F15" s="242" t="n">
        <v>5.64575616666667</v>
      </c>
      <c r="G15" s="242" t="n">
        <v>5.72133645083333</v>
      </c>
      <c r="H15" s="242" t="n">
        <v>5.69976419864167</v>
      </c>
      <c r="I15" s="242" t="n">
        <v>5.77125276655683</v>
      </c>
      <c r="J15" s="242" t="n">
        <v>5.84190086076813</v>
      </c>
      <c r="K15" s="242" t="n">
        <v>5.91159371314221</v>
      </c>
      <c r="L15" s="242" t="n">
        <v>6.08894152453647</v>
      </c>
      <c r="M15" s="242" t="n">
        <v>6.15961673866056</v>
      </c>
      <c r="N15" s="242" t="n">
        <v>6.34440524082038</v>
      </c>
      <c r="O15" s="242" t="n">
        <v>6.4159239908078</v>
      </c>
      <c r="P15" s="242" t="n">
        <v>6.60840171053204</v>
      </c>
      <c r="Q15" s="242" t="n">
        <v>6.68060461811007</v>
      </c>
      <c r="R15" s="242" t="n">
        <v>6.75119213860331</v>
      </c>
      <c r="S15" s="242" t="n">
        <v>6.82000236616985</v>
      </c>
      <c r="T15" s="242" t="n">
        <v>6.88686513446563</v>
      </c>
      <c r="U15" s="242" t="n">
        <v>6.95160166672961</v>
      </c>
      <c r="V15" s="242" t="n">
        <v>7.0140242123084</v>
      </c>
      <c r="W15" s="242" t="n">
        <v>7.07393566912187</v>
      </c>
      <c r="X15" s="242" t="n">
        <v>7.13112919155307</v>
      </c>
      <c r="Y15" s="242" t="n">
        <v>7.18538778322793</v>
      </c>
      <c r="Z15" s="242" t="n">
        <v>7.23964637490278</v>
      </c>
      <c r="AA15" s="242" t="n">
        <v>7.29390496657765</v>
      </c>
      <c r="AB15" s="242" t="n">
        <v>7.34816355825251</v>
      </c>
      <c r="AC15" s="242" t="n">
        <v>7.40242214992737</v>
      </c>
      <c r="AD15" s="242" t="n">
        <v>7.45668074160222</v>
      </c>
      <c r="AE15" s="242" t="n">
        <v>7.51093933327709</v>
      </c>
      <c r="AF15" s="242" t="n">
        <v>7.56519792495195</v>
      </c>
      <c r="AG15" s="242" t="n">
        <v>7.61945651662681</v>
      </c>
      <c r="AH15" s="242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110</v>
      </c>
      <c r="C16" s="1"/>
      <c r="D16" s="242" t="n">
        <v>4.3775</v>
      </c>
      <c r="E16" s="242" t="n">
        <v>4.508825</v>
      </c>
      <c r="F16" s="242" t="n">
        <v>4.73515033333333</v>
      </c>
      <c r="G16" s="242" t="n">
        <v>4.87720484333333</v>
      </c>
      <c r="H16" s="242" t="n">
        <v>5.02352098863333</v>
      </c>
      <c r="I16" s="242" t="n">
        <v>5.17422661829233</v>
      </c>
      <c r="J16" s="242" t="n">
        <v>5.3294534168411</v>
      </c>
      <c r="K16" s="242" t="n">
        <v>5.2782086724484</v>
      </c>
      <c r="L16" s="242" t="n">
        <v>5.21909273531698</v>
      </c>
      <c r="M16" s="242" t="n">
        <v>5.03968642254046</v>
      </c>
      <c r="N16" s="242" t="n">
        <v>4.96017137009593</v>
      </c>
      <c r="O16" s="242" t="n">
        <v>4.87134969672444</v>
      </c>
      <c r="P16" s="242" t="n">
        <v>4.89511237817188</v>
      </c>
      <c r="Q16" s="242" t="n">
        <v>4.91591660577911</v>
      </c>
      <c r="R16" s="242" t="n">
        <v>4.80373286785236</v>
      </c>
      <c r="S16" s="242" t="n">
        <v>4.81411931729636</v>
      </c>
      <c r="T16" s="242" t="n">
        <v>4.82080559412594</v>
      </c>
      <c r="U16" s="242" t="n">
        <v>4.96542976194972</v>
      </c>
      <c r="V16" s="242" t="n">
        <v>5.11439265480821</v>
      </c>
      <c r="W16" s="242" t="n">
        <v>5.11731516489667</v>
      </c>
      <c r="X16" s="242" t="n">
        <v>5.27083461984357</v>
      </c>
      <c r="Y16" s="242" t="n">
        <v>5.42895965843888</v>
      </c>
      <c r="Z16" s="242" t="n">
        <v>5.58708469703418</v>
      </c>
      <c r="AA16" s="242" t="n">
        <v>5.74520973562949</v>
      </c>
      <c r="AB16" s="242" t="n">
        <v>5.9033347742248</v>
      </c>
      <c r="AC16" s="242" t="n">
        <v>6.06145981282011</v>
      </c>
      <c r="AD16" s="242" t="n">
        <v>6.21958485141541</v>
      </c>
      <c r="AE16" s="242" t="n">
        <v>6.37770989001072</v>
      </c>
      <c r="AF16" s="242" t="n">
        <v>6.53583492860603</v>
      </c>
      <c r="AG16" s="242" t="n">
        <v>6.69395996720133</v>
      </c>
      <c r="AH16" s="242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97</v>
      </c>
      <c r="C17" s="1"/>
      <c r="D17" s="243" t="n">
        <v>0</v>
      </c>
      <c r="E17" s="243" t="n">
        <v>0</v>
      </c>
      <c r="F17" s="243" t="n">
        <v>0</v>
      </c>
      <c r="G17" s="243" t="n">
        <v>0</v>
      </c>
      <c r="H17" s="243" t="n">
        <v>0</v>
      </c>
      <c r="I17" s="243" t="n">
        <v>0</v>
      </c>
      <c r="J17" s="243" t="n">
        <v>0</v>
      </c>
      <c r="K17" s="243" t="n">
        <v>0</v>
      </c>
      <c r="L17" s="243" t="n">
        <v>0</v>
      </c>
      <c r="M17" s="243" t="n">
        <v>0</v>
      </c>
      <c r="N17" s="243" t="n">
        <v>0</v>
      </c>
      <c r="O17" s="243" t="n">
        <v>0</v>
      </c>
      <c r="P17" s="243" t="n">
        <v>0</v>
      </c>
      <c r="Q17" s="243" t="n">
        <v>0</v>
      </c>
      <c r="R17" s="243" t="n">
        <v>0</v>
      </c>
      <c r="S17" s="243" t="n">
        <v>0</v>
      </c>
      <c r="T17" s="243" t="n">
        <v>0</v>
      </c>
      <c r="U17" s="243" t="n">
        <v>0</v>
      </c>
      <c r="V17" s="243" t="n">
        <v>0</v>
      </c>
      <c r="W17" s="243" t="n">
        <v>0</v>
      </c>
      <c r="X17" s="243" t="n">
        <v>0</v>
      </c>
      <c r="Y17" s="243" t="n">
        <v>0</v>
      </c>
      <c r="Z17" s="243" t="n">
        <v>0</v>
      </c>
      <c r="AA17" s="243" t="n">
        <v>0</v>
      </c>
      <c r="AB17" s="243" t="n">
        <v>0</v>
      </c>
      <c r="AC17" s="243" t="n">
        <v>0</v>
      </c>
      <c r="AD17" s="243" t="n">
        <v>0</v>
      </c>
      <c r="AE17" s="243" t="n">
        <v>0</v>
      </c>
      <c r="AF17" s="243" t="n">
        <v>0</v>
      </c>
      <c r="AG17" s="243" t="n">
        <v>0</v>
      </c>
      <c r="AH17" s="243" t="n">
        <v>0</v>
      </c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119</v>
      </c>
      <c r="C18" s="1"/>
      <c r="D18" s="245" t="n">
        <v>0</v>
      </c>
      <c r="E18" s="245" t="n">
        <v>0</v>
      </c>
      <c r="F18" s="245" t="n">
        <v>0</v>
      </c>
      <c r="G18" s="245" t="n">
        <v>0</v>
      </c>
      <c r="H18" s="245" t="n">
        <v>0</v>
      </c>
      <c r="I18" s="245" t="n">
        <v>0</v>
      </c>
      <c r="J18" s="245" t="n">
        <v>0</v>
      </c>
      <c r="K18" s="245" t="n">
        <v>0</v>
      </c>
      <c r="L18" s="245" t="n">
        <v>0</v>
      </c>
      <c r="M18" s="245" t="n">
        <v>0</v>
      </c>
      <c r="N18" s="245" t="n">
        <v>0</v>
      </c>
      <c r="O18" s="245" t="n">
        <v>0</v>
      </c>
      <c r="P18" s="245" t="n">
        <v>0</v>
      </c>
      <c r="Q18" s="245" t="n">
        <v>0</v>
      </c>
      <c r="R18" s="245" t="n">
        <v>0</v>
      </c>
      <c r="S18" s="245" t="n">
        <v>0</v>
      </c>
      <c r="T18" s="245" t="n">
        <v>0</v>
      </c>
      <c r="U18" s="245" t="n">
        <v>0</v>
      </c>
      <c r="V18" s="245" t="n">
        <v>0</v>
      </c>
      <c r="W18" s="245" t="n">
        <v>0</v>
      </c>
      <c r="X18" s="245" t="n">
        <v>0</v>
      </c>
      <c r="Y18" s="245" t="n">
        <v>0</v>
      </c>
      <c r="Z18" s="245" t="n">
        <v>0</v>
      </c>
      <c r="AA18" s="245" t="n">
        <v>0</v>
      </c>
      <c r="AB18" s="245" t="n">
        <v>0</v>
      </c>
      <c r="AC18" s="245" t="n">
        <v>0</v>
      </c>
      <c r="AD18" s="245" t="n">
        <v>0</v>
      </c>
      <c r="AE18" s="245" t="n">
        <v>0</v>
      </c>
      <c r="AF18" s="245" t="n">
        <v>0</v>
      </c>
      <c r="AG18" s="245" t="n">
        <v>0</v>
      </c>
      <c r="AH18" s="245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6" t="n">
        <f aca="false">Assumptions!V13</f>
        <v>1</v>
      </c>
      <c r="B19" s="31" t="s">
        <v>264</v>
      </c>
      <c r="C19" s="247"/>
      <c r="D19" s="248" t="n">
        <f aca="false">CHOOSE($A$19,D15,D16,D17,D18)</f>
        <v>5.49333333333333</v>
      </c>
      <c r="E19" s="248" t="n">
        <f aca="false">CHOOSE($A$19,E15,E16,E17,E18)</f>
        <v>5.65813333333333</v>
      </c>
      <c r="F19" s="248" t="n">
        <f aca="false">CHOOSE($A$19,F15,F16,F17,F18)</f>
        <v>5.64575616666667</v>
      </c>
      <c r="G19" s="248" t="n">
        <f aca="false">CHOOSE($A$19,G15,G16,G17,G18)</f>
        <v>5.72133645083333</v>
      </c>
      <c r="H19" s="248" t="n">
        <f aca="false">CHOOSE($A$19,H15,H16,H17,H18)</f>
        <v>5.69976419864167</v>
      </c>
      <c r="I19" s="248" t="n">
        <f aca="false">CHOOSE($A$19,I15,I16,I17,I18)</f>
        <v>5.77125276655683</v>
      </c>
      <c r="J19" s="248" t="n">
        <f aca="false">CHOOSE($A$19,J15,J16,J17,J18)</f>
        <v>5.84190086076813</v>
      </c>
      <c r="K19" s="248" t="n">
        <f aca="false">CHOOSE($A$19,K15,K16,K17,K18)</f>
        <v>5.91159371314221</v>
      </c>
      <c r="L19" s="248" t="n">
        <f aca="false">CHOOSE($A$19,L15,L16,L17,L18)</f>
        <v>6.08894152453647</v>
      </c>
      <c r="M19" s="248" t="n">
        <f aca="false">CHOOSE($A$19,M15,M16,M17,M18)</f>
        <v>6.15961673866056</v>
      </c>
      <c r="N19" s="248" t="n">
        <f aca="false">CHOOSE($A$19,N15,N16,N17,N18)</f>
        <v>6.34440524082038</v>
      </c>
      <c r="O19" s="248" t="n">
        <f aca="false">CHOOSE($A$19,O15,O16,O17,O18)</f>
        <v>6.4159239908078</v>
      </c>
      <c r="P19" s="248" t="n">
        <f aca="false">CHOOSE($A$19,P15,P16,P17,P18)</f>
        <v>6.60840171053204</v>
      </c>
      <c r="Q19" s="248" t="n">
        <f aca="false">CHOOSE($A$19,Q15,Q16,Q17,Q18)</f>
        <v>6.68060461811007</v>
      </c>
      <c r="R19" s="248" t="n">
        <f aca="false">CHOOSE($A$19,R15,R16,R17,R18)</f>
        <v>6.75119213860331</v>
      </c>
      <c r="S19" s="248" t="n">
        <f aca="false">CHOOSE($A$19,S15,S16,S17,S18)</f>
        <v>6.82000236616985</v>
      </c>
      <c r="T19" s="248" t="n">
        <f aca="false">CHOOSE($A$19,T15,T16,T17,T18)</f>
        <v>6.88686513446563</v>
      </c>
      <c r="U19" s="248" t="n">
        <f aca="false">CHOOSE($A$19,U15,U16,U17,U18)</f>
        <v>6.95160166672961</v>
      </c>
      <c r="V19" s="248" t="n">
        <f aca="false">CHOOSE($A$19,V15,V16,V17,V18)</f>
        <v>7.0140242123084</v>
      </c>
      <c r="W19" s="248" t="n">
        <f aca="false">CHOOSE($A$19,W15,W16,W17,W18)</f>
        <v>7.07393566912187</v>
      </c>
      <c r="X19" s="248" t="n">
        <f aca="false">CHOOSE($A$19,X15,X16,X17,X18)</f>
        <v>7.13112919155307</v>
      </c>
      <c r="Y19" s="248" t="n">
        <f aca="false">CHOOSE($A$19,Y15,Y16,Y17,Y18)</f>
        <v>7.18538778322793</v>
      </c>
      <c r="Z19" s="248" t="n">
        <f aca="false">CHOOSE($A$19,Z15,Z16,Z17,Z18)</f>
        <v>7.23964637490278</v>
      </c>
      <c r="AA19" s="248" t="n">
        <f aca="false">CHOOSE($A$19,AA15,AA16,AA17,AA18)</f>
        <v>7.29390496657765</v>
      </c>
      <c r="AB19" s="248" t="n">
        <f aca="false">CHOOSE($A$19,AB15,AB16,AB17,AB18)</f>
        <v>7.34816355825251</v>
      </c>
      <c r="AC19" s="248" t="n">
        <f aca="false">CHOOSE($A$19,AC15,AC16,AC17,AC18)</f>
        <v>7.40242214992737</v>
      </c>
      <c r="AD19" s="248" t="n">
        <f aca="false">CHOOSE($A$19,AD15,AD16,AD17,AD18)</f>
        <v>7.45668074160222</v>
      </c>
      <c r="AE19" s="248" t="n">
        <f aca="false">CHOOSE($A$19,AE15,AE16,AE17,AE18)</f>
        <v>7.51093933327709</v>
      </c>
      <c r="AF19" s="248" t="n">
        <f aca="false">CHOOSE($A$19,AF15,AF16,AF17,AF18)</f>
        <v>7.56519792495195</v>
      </c>
      <c r="AG19" s="248" t="n">
        <f aca="false">CHOOSE($A$19,AG15,AG16,AG17,AG18)</f>
        <v>7.61945651662681</v>
      </c>
      <c r="AH19" s="248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7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50"/>
      <c r="Z20" s="251"/>
      <c r="AA20" s="25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2" t="s">
        <v>265</v>
      </c>
      <c r="C21" s="247"/>
      <c r="D21" s="253" t="n">
        <f aca="false">IF(AND(C7&lt;$D$7+Assumptions!$H$53,D7&lt;$D$7+Assumptions!$H$53),D12,IF(AND(C7&lt;$D$7+Assumptions!$H$53,D7&gt;$D$7+Assumptions!$H$53),D12*(1-$D$7)+D19*$D$7,D19))</f>
        <v>4</v>
      </c>
      <c r="E21" s="254" t="n">
        <f aca="false">IF(AND(D7&lt;$D$7+Assumptions!$H$53,E7&lt;$D$7+Assumptions!$H$53),E12,IF(AND(D7&lt;$D$7+Assumptions!$H$53,E7&gt;=$D$7+Assumptions!$H$53),E12*(1-$D$7)+E19*$D$7,E19))</f>
        <v>4</v>
      </c>
      <c r="F21" s="254" t="n">
        <f aca="false">IF(AND(E7&lt;$D$7+Assumptions!$H$53,F7&lt;$D$7+Assumptions!$H$53),F12,IF(AND(E7&lt;$D$7+Assumptions!$H$53,F7&gt;=$D$7+Assumptions!$H$53),F12*(1-$D$7)+F19*$D$7,F19))</f>
        <v>4</v>
      </c>
      <c r="G21" s="254" t="n">
        <f aca="false">IF(AND(F7&lt;$D$7+Assumptions!$H$53,G7&lt;$D$7+Assumptions!$H$53),G12,IF(AND(F7&lt;$D$7+Assumptions!$H$53,G7&gt;=$D$7+Assumptions!$H$53),G12*(1-$D$7)+G19*$D$7,G19))</f>
        <v>5.14755763388889</v>
      </c>
      <c r="H21" s="254" t="n">
        <f aca="false">IF(AND(G7&lt;$D$7+Assumptions!$H$53,H7&lt;$D$7+Assumptions!$H$53),H12,IF(AND(G7&lt;$D$7+Assumptions!$H$53,H7&gt;=$D$7+Assumptions!$H$53),H12*(1-$D$7)+H19*$D$7,H19))</f>
        <v>5.69976419864167</v>
      </c>
      <c r="I21" s="254" t="n">
        <f aca="false">IF(AND(H7&lt;$D$7+Assumptions!$H$53,I7&lt;$D$7+Assumptions!$H$53),I12,IF(AND(H7&lt;$D$7+Assumptions!$H$53,I7&gt;=$D$7+Assumptions!$H$53),I12*(1-$D$7)+I19*$D$7,I19))</f>
        <v>5.77125276655683</v>
      </c>
      <c r="J21" s="254" t="n">
        <f aca="false">IF(AND(I7&lt;$D$7+Assumptions!$H$53,J7&lt;$D$7+Assumptions!$H$53),J12,IF(AND(I7&lt;$D$7+Assumptions!$H$53,J7&gt;=$D$7+Assumptions!$H$53),J12*(1-$D$7)+J19*$D$7,J19))</f>
        <v>5.84190086076813</v>
      </c>
      <c r="K21" s="254" t="n">
        <f aca="false">IF(AND(J7&lt;$D$7+Assumptions!$H$53,K7&lt;$D$7+Assumptions!$H$53),K12,IF(AND(J7&lt;$D$7+Assumptions!$H$53,K7&gt;=$D$7+Assumptions!$H$53),K12*(1-$D$7)+K19*$D$7,K19))</f>
        <v>5.91159371314221</v>
      </c>
      <c r="L21" s="254" t="n">
        <f aca="false">IF(AND(K7&lt;$D$7+Assumptions!$H$53,L7&lt;$D$7+Assumptions!$H$53),L12,IF(AND(K7&lt;$D$7+Assumptions!$H$53,L7&gt;=$D$7+Assumptions!$H$53),L12*(1-$D$7)+L19*$D$7,L19))</f>
        <v>6.08894152453647</v>
      </c>
      <c r="M21" s="254" t="n">
        <f aca="false">IF(AND(L7&lt;$D$7+Assumptions!$H$53,M7&lt;$D$7+Assumptions!$H$53),M12,IF(AND(L7&lt;$D$7+Assumptions!$H$53,M7&gt;=$D$7+Assumptions!$H$53),M12*(1-$D$7)+M19*$D$7,M19))</f>
        <v>6.15961673866056</v>
      </c>
      <c r="N21" s="254" t="n">
        <f aca="false">IF(AND(M7&lt;$D$7+Assumptions!$H$53,N7&lt;$D$7+Assumptions!$H$53),N12,IF(AND(M7&lt;$D$7+Assumptions!$H$53,N7&gt;=$D$7+Assumptions!$H$53),N12*(1-$D$7)+N19*$D$7,N19))</f>
        <v>6.34440524082038</v>
      </c>
      <c r="O21" s="254" t="n">
        <f aca="false">IF(AND(N7&lt;$D$7+Assumptions!$H$53,O7&lt;$D$7+Assumptions!$H$53),O12,IF(AND(N7&lt;$D$7+Assumptions!$H$53,O7&gt;=$D$7+Assumptions!$H$53),O12*(1-$D$7)+O19*$D$7,O19))</f>
        <v>6.4159239908078</v>
      </c>
      <c r="P21" s="254" t="n">
        <f aca="false">IF(AND(O7&lt;$D$7+Assumptions!$H$53,P7&lt;$D$7+Assumptions!$H$53),P12,IF(AND(O7&lt;$D$7+Assumptions!$H$53,P7&gt;=$D$7+Assumptions!$H$53),P12*(1-$D$7)+P19*$D$7,P19))</f>
        <v>6.60840171053204</v>
      </c>
      <c r="Q21" s="254" t="n">
        <f aca="false">IF(AND(P7&lt;$D$7+Assumptions!$H$53,Q7&lt;$D$7+Assumptions!$H$53),Q12,IF(AND(P7&lt;$D$7+Assumptions!$H$53,Q7&gt;=$D$7+Assumptions!$H$53),Q12*(1-$D$7)+Q19*$D$7,Q19))</f>
        <v>6.68060461811007</v>
      </c>
      <c r="R21" s="255" t="n">
        <f aca="false">IF(AND(Q7&lt;$D$7+Assumptions!$H$53,R7&lt;$D$7+Assumptions!$H$53),R12,IF(AND(Q7&lt;$D$7+Assumptions!$H$53,R7&gt;=$D$7+Assumptions!$H$53),R12*(1-$D$7)+R19*$D$7,R19))</f>
        <v>6.75119213860331</v>
      </c>
      <c r="S21" s="253" t="n">
        <f aca="false">IF(AND(R7&lt;$D$7+Assumptions!$H$53,S7&lt;$D$7+Assumptions!$H$53),S12,IF(AND(R7&lt;$D$7+Assumptions!$H$53,S7&gt;=$D$7+Assumptions!$H$53),S12*(1-$D$7)+S19*$D$7,S19))</f>
        <v>6.82000236616985</v>
      </c>
      <c r="T21" s="254" t="n">
        <f aca="false">IF(AND(S7&lt;$D$7+Assumptions!$H$53,T7&lt;$D$7+Assumptions!$H$53),T12,IF(AND(S7&lt;$D$7+Assumptions!$H$53,T7&gt;=$D$7+Assumptions!$H$53),T12*(1-$D$7)+T19*$D$7,T19))</f>
        <v>6.88686513446563</v>
      </c>
      <c r="U21" s="254" t="n">
        <f aca="false">IF(AND(T7&lt;$D$7+Assumptions!$H$53,U7&lt;$D$7+Assumptions!$H$53),U12,IF(AND(T7&lt;$D$7+Assumptions!$H$53,U7&gt;=$D$7+Assumptions!$H$53),U12*(1-$D$7)+U19*$D$7,U19))</f>
        <v>6.95160166672961</v>
      </c>
      <c r="V21" s="254" t="n">
        <f aca="false">IF(AND(U7&lt;$D$7+Assumptions!$H$53,V7&lt;$D$7+Assumptions!$H$53),V12,IF(AND(U7&lt;$D$7+Assumptions!$H$53,V7&gt;=$D$7+Assumptions!$H$53),V12*(1-$D$7)+V19*$D$7,V19))</f>
        <v>7.0140242123084</v>
      </c>
      <c r="W21" s="254" t="n">
        <f aca="false">IF(AND(V7&lt;$D$7+Assumptions!$H$53,W7&lt;$D$7+Assumptions!$H$53),W12,IF(AND(V7&lt;$D$7+Assumptions!$H$53,W7&gt;=$D$7+Assumptions!$H$53),W12*(1-$D$7)+W19*$D$7,W19))</f>
        <v>7.07393566912187</v>
      </c>
      <c r="X21" s="254" t="n">
        <f aca="false">IF(AND(W7&lt;$D$7+Assumptions!$H$53,X7&lt;$D$7+Assumptions!$H$53),X12,IF(AND(W7&lt;$D$7+Assumptions!$H$53,X7&gt;=$D$7+Assumptions!$H$53),X12*(1-$D$7)+X19*$D$7,X19))</f>
        <v>7.13112919155307</v>
      </c>
      <c r="Y21" s="254" t="n">
        <f aca="false">IF(AND(X7&lt;$D$7+Assumptions!$H$53,Y7&lt;$D$7+Assumptions!$H$53),Y12,IF(AND(X7&lt;$D$7+Assumptions!$H$53,Y7&gt;=$D$7+Assumptions!$H$53),Y12*(1-$D$7)+Y19*$D$7,Y19))</f>
        <v>7.18538778322793</v>
      </c>
      <c r="Z21" s="254" t="n">
        <f aca="false">IF(AND(Y7&lt;$D$7+Assumptions!$H$53,Z7&lt;$D$7+Assumptions!$H$53),Z12,IF(AND(Y7&lt;$D$7+Assumptions!$H$53,Z7&gt;=$D$7+Assumptions!$H$53),Z12*(1-$D$7)+Z19*$D$7,Z19))</f>
        <v>7.23964637490278</v>
      </c>
      <c r="AA21" s="254" t="n">
        <f aca="false">IF(AND(Z7&lt;$D$7+Assumptions!$H$53,AA7&lt;$D$7+Assumptions!$H$53),AA12,IF(AND(Z7&lt;$D$7+Assumptions!$H$53,AA7&gt;=$D$7+Assumptions!$H$53),AA12*(1-$D$7)+AA19*$D$7,AA19))</f>
        <v>7.29390496657765</v>
      </c>
      <c r="AB21" s="254" t="n">
        <f aca="false">IF(AND(AA7&lt;$D$7+Assumptions!$H$53,AB7&lt;$D$7+Assumptions!$H$53),AB12,IF(AND(AA7&lt;$D$7+Assumptions!$H$53,AB7&gt;=$D$7+Assumptions!$H$53),AB12*(1-$D$7)+AB19*$D$7,AB19))</f>
        <v>7.34816355825251</v>
      </c>
      <c r="AC21" s="254" t="n">
        <f aca="false">IF(AND(AB7&lt;$D$7+Assumptions!$H$53,AC7&lt;$D$7+Assumptions!$H$53),AC12,IF(AND(AB7&lt;$D$7+Assumptions!$H$53,AC7&gt;=$D$7+Assumptions!$H$53),AC12*(1-$D$7)+AC19*$D$7,AC19))</f>
        <v>7.40242214992737</v>
      </c>
      <c r="AD21" s="254" t="n">
        <f aca="false">IF(AND(AC7&lt;$D$7+Assumptions!$H$53,AD7&lt;$D$7+Assumptions!$H$53),AD12,IF(AND(AC7&lt;$D$7+Assumptions!$H$53,AD7&gt;=$D$7+Assumptions!$H$53),AD12*(1-$D$7)+AD19*$D$7,AD19))</f>
        <v>7.45668074160222</v>
      </c>
      <c r="AE21" s="254" t="n">
        <f aca="false">IF(AND(AD7&lt;$D$7+Assumptions!$H$53,AE7&lt;$D$7+Assumptions!$H$53),AE12,IF(AND(AD7&lt;$D$7+Assumptions!$H$53,AE7&gt;=$D$7+Assumptions!$H$53),AE12*(1-$D$7)+AE19*$D$7,AE19))</f>
        <v>7.51093933327709</v>
      </c>
      <c r="AF21" s="254" t="n">
        <f aca="false">IF(AND(AE7&lt;$D$7+Assumptions!$H$53,AF7&lt;$D$7+Assumptions!$H$53),AF12,IF(AND(AE7&lt;$D$7+Assumptions!$H$53,AF7&gt;=$D$7+Assumptions!$H$53),AF12*(1-$D$7)+AF19*$D$7,AF19))</f>
        <v>7.56519792495195</v>
      </c>
      <c r="AG21" s="254" t="n">
        <f aca="false">IF(AND(AF7&lt;$D$7+Assumptions!$H$53,AG7&lt;$D$7+Assumptions!$H$53),AG12,IF(AND(AF7&lt;$D$7+Assumptions!$H$53,AG7&gt;=$D$7+Assumptions!$H$53),AG12*(1-$D$7)+AG19*$D$7,AG19))</f>
        <v>7.61945651662681</v>
      </c>
      <c r="AH21" s="255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7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50"/>
      <c r="Z22" s="251"/>
      <c r="AA22" s="25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9" t="s">
        <v>266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97</v>
      </c>
      <c r="C25" s="256"/>
      <c r="D25" s="243" t="n">
        <v>2.2</v>
      </c>
      <c r="E25" s="243" t="n">
        <v>2.2</v>
      </c>
      <c r="F25" s="243" t="n">
        <v>2.2</v>
      </c>
      <c r="G25" s="243" t="n">
        <v>2.2</v>
      </c>
      <c r="H25" s="243" t="n">
        <v>2.2</v>
      </c>
      <c r="I25" s="243" t="n">
        <v>2.2</v>
      </c>
      <c r="J25" s="243" t="n">
        <v>2.2</v>
      </c>
      <c r="K25" s="243" t="n">
        <v>2.2</v>
      </c>
      <c r="L25" s="243" t="n">
        <v>2.2</v>
      </c>
      <c r="M25" s="243" t="n">
        <v>2.2</v>
      </c>
      <c r="N25" s="243" t="n">
        <v>2.2</v>
      </c>
      <c r="O25" s="243" t="n">
        <v>2.2</v>
      </c>
      <c r="P25" s="243" t="n">
        <v>2.2</v>
      </c>
      <c r="Q25" s="243" t="n">
        <v>2.2</v>
      </c>
      <c r="R25" s="243" t="n">
        <v>2.2</v>
      </c>
      <c r="S25" s="243" t="n">
        <v>2.2</v>
      </c>
      <c r="T25" s="243" t="n">
        <v>2.2</v>
      </c>
      <c r="U25" s="243" t="n">
        <v>2.2</v>
      </c>
      <c r="V25" s="243" t="n">
        <v>2.2</v>
      </c>
      <c r="W25" s="243" t="n">
        <v>2.2</v>
      </c>
      <c r="X25" s="243" t="n">
        <v>2.2</v>
      </c>
      <c r="Y25" s="243" t="n">
        <v>2.2</v>
      </c>
      <c r="Z25" s="243" t="n">
        <v>2.2</v>
      </c>
      <c r="AA25" s="243" t="n">
        <v>2.2</v>
      </c>
      <c r="AB25" s="243" t="n">
        <v>2.2</v>
      </c>
      <c r="AC25" s="243" t="n">
        <v>2.2</v>
      </c>
      <c r="AD25" s="243" t="n">
        <v>2.2</v>
      </c>
      <c r="AE25" s="243" t="n">
        <v>2.2</v>
      </c>
      <c r="AF25" s="243" t="n">
        <v>2.2</v>
      </c>
      <c r="AG25" s="243" t="n">
        <v>2.2</v>
      </c>
      <c r="AH25" s="243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109</v>
      </c>
      <c r="C26" s="31"/>
      <c r="D26" s="243" t="n">
        <v>2.5</v>
      </c>
      <c r="E26" s="243" t="n">
        <v>2.5</v>
      </c>
      <c r="F26" s="243" t="n">
        <v>2.5</v>
      </c>
      <c r="G26" s="243" t="n">
        <v>2.5</v>
      </c>
      <c r="H26" s="243" t="n">
        <v>2.5</v>
      </c>
      <c r="I26" s="243" t="n">
        <v>2.5</v>
      </c>
      <c r="J26" s="243" t="n">
        <v>2.5</v>
      </c>
      <c r="K26" s="243" t="n">
        <v>2.5</v>
      </c>
      <c r="L26" s="243" t="n">
        <v>2.5</v>
      </c>
      <c r="M26" s="243" t="n">
        <v>2.5</v>
      </c>
      <c r="N26" s="243" t="n">
        <v>2.5</v>
      </c>
      <c r="O26" s="243" t="n">
        <v>2.5</v>
      </c>
      <c r="P26" s="243" t="n">
        <v>2.5</v>
      </c>
      <c r="Q26" s="243" t="n">
        <v>2.5</v>
      </c>
      <c r="R26" s="243" t="n">
        <v>2.5</v>
      </c>
      <c r="S26" s="243" t="n">
        <v>2.5</v>
      </c>
      <c r="T26" s="243" t="n">
        <v>2.5</v>
      </c>
      <c r="U26" s="243" t="n">
        <v>2.5</v>
      </c>
      <c r="V26" s="243" t="n">
        <v>2.5</v>
      </c>
      <c r="W26" s="243" t="n">
        <v>2.5</v>
      </c>
      <c r="X26" s="243" t="n">
        <v>2.5</v>
      </c>
      <c r="Y26" s="243" t="n">
        <v>2.5</v>
      </c>
      <c r="Z26" s="243" t="n">
        <v>2.5</v>
      </c>
      <c r="AA26" s="243" t="n">
        <v>2.5</v>
      </c>
      <c r="AB26" s="243" t="n">
        <v>2.5</v>
      </c>
      <c r="AC26" s="243" t="n">
        <v>2.5</v>
      </c>
      <c r="AD26" s="243" t="n">
        <v>2.5</v>
      </c>
      <c r="AE26" s="243" t="n">
        <v>2.5</v>
      </c>
      <c r="AF26" s="243" t="n">
        <v>2.5</v>
      </c>
      <c r="AG26" s="243" t="n">
        <v>2.5</v>
      </c>
      <c r="AH26" s="243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119</v>
      </c>
      <c r="C27" s="31"/>
      <c r="D27" s="257" t="n">
        <v>1.5</v>
      </c>
      <c r="E27" s="257" t="n">
        <v>1.5</v>
      </c>
      <c r="F27" s="257" t="n">
        <v>1.5</v>
      </c>
      <c r="G27" s="257" t="n">
        <v>1.5</v>
      </c>
      <c r="H27" s="257" t="n">
        <v>1.5</v>
      </c>
      <c r="I27" s="257" t="n">
        <v>1.5</v>
      </c>
      <c r="J27" s="257" t="n">
        <v>1.5</v>
      </c>
      <c r="K27" s="257" t="n">
        <v>1.5</v>
      </c>
      <c r="L27" s="257" t="n">
        <v>1.5</v>
      </c>
      <c r="M27" s="257" t="n">
        <v>1.5</v>
      </c>
      <c r="N27" s="257" t="n">
        <v>1.5</v>
      </c>
      <c r="O27" s="257" t="n">
        <v>1.5</v>
      </c>
      <c r="P27" s="257" t="n">
        <v>1.5</v>
      </c>
      <c r="Q27" s="257" t="n">
        <v>1.5</v>
      </c>
      <c r="R27" s="257" t="n">
        <v>1.5</v>
      </c>
      <c r="S27" s="257" t="n">
        <v>1.5</v>
      </c>
      <c r="T27" s="257" t="n">
        <v>1.5</v>
      </c>
      <c r="U27" s="257" t="n">
        <v>1.5</v>
      </c>
      <c r="V27" s="257" t="n">
        <v>1.5</v>
      </c>
      <c r="W27" s="257" t="n">
        <v>1.5</v>
      </c>
      <c r="X27" s="257" t="n">
        <v>1.5</v>
      </c>
      <c r="Y27" s="257" t="n">
        <v>1.5</v>
      </c>
      <c r="Z27" s="257" t="n">
        <v>1.5</v>
      </c>
      <c r="AA27" s="257" t="n">
        <v>1.5</v>
      </c>
      <c r="AB27" s="257" t="n">
        <v>1.5</v>
      </c>
      <c r="AC27" s="257" t="n">
        <v>1.5</v>
      </c>
      <c r="AD27" s="257" t="n">
        <v>1.5</v>
      </c>
      <c r="AE27" s="257" t="n">
        <v>1.5</v>
      </c>
      <c r="AF27" s="257" t="n">
        <v>1.5</v>
      </c>
      <c r="AG27" s="257" t="n">
        <v>1.5</v>
      </c>
      <c r="AH27" s="257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267</v>
      </c>
      <c r="C28" s="31"/>
      <c r="D28" s="258" t="n">
        <f aca="false">Assumptions!$N$54</f>
        <v>0.015</v>
      </c>
      <c r="E28" s="258" t="n">
        <f aca="false">Assumptions!$N$54</f>
        <v>0.015</v>
      </c>
      <c r="F28" s="258" t="n">
        <f aca="false">Assumptions!$N$54</f>
        <v>0.015</v>
      </c>
      <c r="G28" s="258" t="n">
        <f aca="false">Assumptions!$N$54</f>
        <v>0.015</v>
      </c>
      <c r="H28" s="258" t="n">
        <f aca="false">Assumptions!$N$54</f>
        <v>0.015</v>
      </c>
      <c r="I28" s="258" t="n">
        <f aca="false">Assumptions!$N$54</f>
        <v>0.015</v>
      </c>
      <c r="J28" s="258" t="n">
        <f aca="false">Assumptions!$N$54</f>
        <v>0.015</v>
      </c>
      <c r="K28" s="258" t="n">
        <f aca="false">Assumptions!$N$54</f>
        <v>0.015</v>
      </c>
      <c r="L28" s="258" t="n">
        <f aca="false">Assumptions!$N$54</f>
        <v>0.015</v>
      </c>
      <c r="M28" s="258" t="n">
        <f aca="false">Assumptions!$N$54</f>
        <v>0.015</v>
      </c>
      <c r="N28" s="258" t="n">
        <f aca="false">Assumptions!$N$54</f>
        <v>0.015</v>
      </c>
      <c r="O28" s="258" t="n">
        <f aca="false">Assumptions!$N$54</f>
        <v>0.015</v>
      </c>
      <c r="P28" s="258" t="n">
        <f aca="false">Assumptions!$N$54</f>
        <v>0.015</v>
      </c>
      <c r="Q28" s="258" t="n">
        <f aca="false">Assumptions!$N$54</f>
        <v>0.015</v>
      </c>
      <c r="R28" s="258" t="n">
        <f aca="false">Assumptions!$N$54</f>
        <v>0.015</v>
      </c>
      <c r="S28" s="258" t="n">
        <f aca="false">Assumptions!$N$54</f>
        <v>0.015</v>
      </c>
      <c r="T28" s="258" t="n">
        <f aca="false">Assumptions!$N$54</f>
        <v>0.015</v>
      </c>
      <c r="U28" s="258" t="n">
        <f aca="false">Assumptions!$N$54</f>
        <v>0.015</v>
      </c>
      <c r="V28" s="258" t="n">
        <f aca="false">Assumptions!$N$54</f>
        <v>0.015</v>
      </c>
      <c r="W28" s="258" t="n">
        <f aca="false">Assumptions!$N$54</f>
        <v>0.015</v>
      </c>
      <c r="X28" s="258" t="n">
        <f aca="false">Assumptions!$N$54</f>
        <v>0.015</v>
      </c>
      <c r="Y28" s="258" t="n">
        <f aca="false">Assumptions!$N$54</f>
        <v>0.015</v>
      </c>
      <c r="Z28" s="258" t="n">
        <f aca="false">Assumptions!$N$54</f>
        <v>0.015</v>
      </c>
      <c r="AA28" s="258" t="n">
        <f aca="false">Assumptions!$N$54</f>
        <v>0.015</v>
      </c>
      <c r="AB28" s="258" t="n">
        <f aca="false">Assumptions!$N$54</f>
        <v>0.015</v>
      </c>
      <c r="AC28" s="258" t="n">
        <f aca="false">Assumptions!$N$54</f>
        <v>0.015</v>
      </c>
      <c r="AD28" s="258" t="n">
        <f aca="false">Assumptions!$N$54</f>
        <v>0.015</v>
      </c>
      <c r="AE28" s="258" t="n">
        <f aca="false">Assumptions!$N$54</f>
        <v>0.015</v>
      </c>
      <c r="AF28" s="258" t="n">
        <f aca="false">Assumptions!$N$54</f>
        <v>0.015</v>
      </c>
      <c r="AG28" s="258" t="n">
        <f aca="false">Assumptions!$N$54</f>
        <v>0.015</v>
      </c>
      <c r="AH28" s="258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6" t="n">
        <v>1</v>
      </c>
      <c r="B30" s="191" t="s">
        <v>268</v>
      </c>
      <c r="C30" s="1"/>
      <c r="D30" s="259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60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60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60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60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60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60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60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60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60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60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60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60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60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1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9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60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60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60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60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60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60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60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60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60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60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60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60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60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60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1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9" t="s">
        <v>269</v>
      </c>
      <c r="C33" s="31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88</v>
      </c>
      <c r="C34" s="1"/>
      <c r="D34" s="244" t="n">
        <f aca="false">D44*'Price_Technical Assumption'!D30/1000</f>
        <v>15.84009</v>
      </c>
      <c r="E34" s="244" t="n">
        <f aca="false">E44*'Price_Technical Assumption'!E30/1000</f>
        <v>15.84009</v>
      </c>
      <c r="F34" s="244" t="n">
        <f aca="false">F44*'Price_Technical Assumption'!F30/1000</f>
        <v>15.84009</v>
      </c>
      <c r="G34" s="244" t="n">
        <f aca="false">G44*'Price_Technical Assumption'!G30/1000</f>
        <v>15.84009</v>
      </c>
      <c r="H34" s="244" t="n">
        <f aca="false">H44*'Price_Technical Assumption'!H30/1000</f>
        <v>15.84009</v>
      </c>
      <c r="I34" s="244" t="n">
        <f aca="false">I44*'Price_Technical Assumption'!I30/1000</f>
        <v>15.84009</v>
      </c>
      <c r="J34" s="244" t="n">
        <f aca="false">J44*'Price_Technical Assumption'!J30/1000</f>
        <v>15.84009</v>
      </c>
      <c r="K34" s="244" t="n">
        <f aca="false">K44*'Price_Technical Assumption'!K30/1000</f>
        <v>15.84009</v>
      </c>
      <c r="L34" s="244" t="n">
        <f aca="false">L44*'Price_Technical Assumption'!L30/1000</f>
        <v>15.84009</v>
      </c>
      <c r="M34" s="244" t="n">
        <f aca="false">M44*'Price_Technical Assumption'!M30/1000</f>
        <v>15.84009</v>
      </c>
      <c r="N34" s="244" t="n">
        <f aca="false">N44*'Price_Technical Assumption'!N30/1000</f>
        <v>15.84009</v>
      </c>
      <c r="O34" s="244" t="n">
        <f aca="false">O44*'Price_Technical Assumption'!O30/1000</f>
        <v>15.84009</v>
      </c>
      <c r="P34" s="244" t="n">
        <f aca="false">P44*'Price_Technical Assumption'!P30/1000</f>
        <v>15.84009</v>
      </c>
      <c r="Q34" s="244" t="n">
        <f aca="false">Q44*'Price_Technical Assumption'!Q30/1000</f>
        <v>15.84009</v>
      </c>
      <c r="R34" s="244" t="n">
        <f aca="false">R44*'Price_Technical Assumption'!R30/1000</f>
        <v>15.84009</v>
      </c>
      <c r="S34" s="244" t="n">
        <f aca="false">S44*'Price_Technical Assumption'!S30/1000</f>
        <v>15.84009</v>
      </c>
      <c r="T34" s="244" t="n">
        <f aca="false">T44*'Price_Technical Assumption'!T30/1000</f>
        <v>15.84009</v>
      </c>
      <c r="U34" s="244" t="n">
        <f aca="false">U44*'Price_Technical Assumption'!U30/1000</f>
        <v>15.84009</v>
      </c>
      <c r="V34" s="244" t="n">
        <f aca="false">V44*'Price_Technical Assumption'!V30/1000</f>
        <v>15.84009</v>
      </c>
      <c r="W34" s="244" t="n">
        <f aca="false">W44*'Price_Technical Assumption'!W30/1000</f>
        <v>15.84009</v>
      </c>
      <c r="X34" s="244" t="n">
        <f aca="false">X44*'Price_Technical Assumption'!X30/1000</f>
        <v>15.84009</v>
      </c>
      <c r="Y34" s="244" t="n">
        <f aca="false">Y44*'Price_Technical Assumption'!Y30/1000</f>
        <v>15.84009</v>
      </c>
      <c r="Z34" s="244" t="n">
        <f aca="false">Z44*'Price_Technical Assumption'!Z30/1000</f>
        <v>15.84009</v>
      </c>
      <c r="AA34" s="244" t="n">
        <f aca="false">AA44*'Price_Technical Assumption'!AA30/1000</f>
        <v>15.84009</v>
      </c>
      <c r="AB34" s="244" t="n">
        <f aca="false">AB44*'Price_Technical Assumption'!AB30/1000</f>
        <v>15.84009</v>
      </c>
      <c r="AC34" s="244" t="n">
        <f aca="false">AC44*'Price_Technical Assumption'!AC30/1000</f>
        <v>15.84009</v>
      </c>
      <c r="AD34" s="244" t="n">
        <f aca="false">AD44*'Price_Technical Assumption'!AD30/1000</f>
        <v>15.84009</v>
      </c>
      <c r="AE34" s="244" t="n">
        <f aca="false">AE44*'Price_Technical Assumption'!AE30/1000</f>
        <v>15.84009</v>
      </c>
      <c r="AF34" s="244" t="n">
        <f aca="false">AF44*'Price_Technical Assumption'!AF30/1000</f>
        <v>15.84009</v>
      </c>
      <c r="AG34" s="244" t="n">
        <f aca="false">AG44*'Price_Technical Assumption'!AG30/1000</f>
        <v>15.84009</v>
      </c>
      <c r="AH34" s="244" t="n">
        <f aca="false">AH44*'Price_Technical Assumption'!AH30/1000</f>
        <v>15.84009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270</v>
      </c>
      <c r="C35" s="12"/>
      <c r="D35" s="262" t="n">
        <f aca="false">Assumptions!$H$60*(1+Assumptions!$N$11)^(D7)</f>
        <v>3.09234077330496</v>
      </c>
      <c r="E35" s="262" t="n">
        <f aca="false">Assumptions!$H$60*(1+Assumptions!$N$11)^(E7)</f>
        <v>3.18511099650411</v>
      </c>
      <c r="F35" s="262" t="n">
        <f aca="false">Assumptions!$H$60*(1+Assumptions!$N$11)^(F7)</f>
        <v>3.28066432639923</v>
      </c>
      <c r="G35" s="262" t="n">
        <f aca="false">Assumptions!$H$60*(1+Assumptions!$N$11)^(G7)</f>
        <v>3.37908425619121</v>
      </c>
      <c r="H35" s="262" t="n">
        <f aca="false">Assumptions!$H$60*(1+Assumptions!$N$11)^(H7)</f>
        <v>3.48045678387695</v>
      </c>
      <c r="I35" s="262" t="n">
        <f aca="false">Assumptions!$H$60*(1+Assumptions!$N$11)^(I7)</f>
        <v>3.58487048739326</v>
      </c>
      <c r="J35" s="262" t="n">
        <f aca="false">Assumptions!$H$60*(1+Assumptions!$N$11)^(J7)</f>
        <v>3.69241660201505</v>
      </c>
      <c r="K35" s="262" t="n">
        <f aca="false">Assumptions!$H$60*(1+Assumptions!$N$11)^(K7)</f>
        <v>3.8031891000755</v>
      </c>
      <c r="L35" s="262" t="n">
        <f aca="false">Assumptions!$H$60*(1+Assumptions!$N$11)^(L7)</f>
        <v>3.91728477307777</v>
      </c>
      <c r="M35" s="262" t="n">
        <f aca="false">Assumptions!$H$60*(1+Assumptions!$N$11)^(M7)</f>
        <v>4.0348033162701</v>
      </c>
      <c r="N35" s="262" t="n">
        <f aca="false">Assumptions!$H$60*(1+Assumptions!$N$11)^(N7)</f>
        <v>4.15584741575821</v>
      </c>
      <c r="O35" s="262" t="n">
        <f aca="false">Assumptions!$H$60*(1+Assumptions!$N$11)^(O7)</f>
        <v>4.28052283823095</v>
      </c>
      <c r="P35" s="262" t="n">
        <f aca="false">Assumptions!$H$60*(1+Assumptions!$N$11)^(P7)</f>
        <v>4.40893852337788</v>
      </c>
      <c r="Q35" s="262" t="n">
        <f aca="false">Assumptions!$H$60*(1+Assumptions!$N$11)^(Q7)</f>
        <v>4.54120667907922</v>
      </c>
      <c r="R35" s="262" t="n">
        <f aca="false">Assumptions!$H$60*(1+Assumptions!$N$11)^(R7)</f>
        <v>4.67744287945159</v>
      </c>
      <c r="S35" s="262" t="n">
        <f aca="false">Assumptions!$H$60*(1+Assumptions!$N$11)^(S7)</f>
        <v>4.81776616583514</v>
      </c>
      <c r="T35" s="262" t="n">
        <f aca="false">Assumptions!$H$60*(1+Assumptions!$N$11)^(T7)</f>
        <v>4.9622991508102</v>
      </c>
      <c r="U35" s="262" t="n">
        <f aca="false">Assumptions!$H$60*(1+Assumptions!$N$11)^(U7)</f>
        <v>5.1111681253345</v>
      </c>
      <c r="V35" s="262" t="n">
        <f aca="false">Assumptions!$H$60*(1+Assumptions!$N$11)^(V7)</f>
        <v>5.26450316909454</v>
      </c>
      <c r="W35" s="262" t="n">
        <f aca="false">Assumptions!$H$60*(1+Assumptions!$N$11)^(W7)</f>
        <v>5.42243826416737</v>
      </c>
      <c r="X35" s="262" t="n">
        <f aca="false">Assumptions!$H$60*(1+Assumptions!$N$11)^(X7)</f>
        <v>5.5851114120924</v>
      </c>
      <c r="Y35" s="262" t="n">
        <f aca="false">Assumptions!$H$60*(1+Assumptions!$N$11)^(Y7)</f>
        <v>5.75266475445517</v>
      </c>
      <c r="Z35" s="262" t="n">
        <f aca="false">Assumptions!$H$60*(1+Assumptions!$N$11)^(Z7)</f>
        <v>5.92524469708882</v>
      </c>
      <c r="AA35" s="262" t="n">
        <f aca="false">Assumptions!$H$60*(1+Assumptions!$N$11)^(AA7)</f>
        <v>6.10300203800149</v>
      </c>
      <c r="AB35" s="262" t="n">
        <f aca="false">Assumptions!$H$60*(1+Assumptions!$N$11)^(AB7)</f>
        <v>6.28609209914153</v>
      </c>
      <c r="AC35" s="262" t="n">
        <f aca="false">Assumptions!$H$60*(1+Assumptions!$N$11)^(AC7)</f>
        <v>6.47467486211578</v>
      </c>
      <c r="AD35" s="262" t="n">
        <f aca="false">Assumptions!$H$60*(1+Assumptions!$N$11)^(AD7)</f>
        <v>6.66891510797925</v>
      </c>
      <c r="AE35" s="262" t="n">
        <f aca="false">Assumptions!$H$60*(1+Assumptions!$N$11)^(AE7)</f>
        <v>6.86898256121863</v>
      </c>
      <c r="AF35" s="262" t="n">
        <f aca="false">Assumptions!$H$60*(1+Assumptions!$N$11)^(AF7)</f>
        <v>7.07505203805519</v>
      </c>
      <c r="AG35" s="262" t="n">
        <f aca="false">Assumptions!$H$60*(1+Assumptions!$N$11)^(AG7)</f>
        <v>7.28730359919685</v>
      </c>
      <c r="AH35" s="262" t="n">
        <f aca="false">Assumptions!$H$60*(1+Assumptions!$N$11)^(AH7)</f>
        <v>7.50592270717275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271</v>
      </c>
      <c r="C36" s="1"/>
      <c r="D36" s="241" t="n">
        <f aca="false">SUM(D34:D35)</f>
        <v>18.932430773305</v>
      </c>
      <c r="E36" s="241" t="n">
        <f aca="false">SUM(E34:E35)</f>
        <v>19.0252009965041</v>
      </c>
      <c r="F36" s="241" t="n">
        <f aca="false">SUM(F34:F35)</f>
        <v>19.1207543263992</v>
      </c>
      <c r="G36" s="241" t="n">
        <f aca="false">SUM(G34:G35)</f>
        <v>19.2191742561912</v>
      </c>
      <c r="H36" s="241" t="n">
        <f aca="false">SUM(H34:H35)</f>
        <v>19.3205467838769</v>
      </c>
      <c r="I36" s="241" t="n">
        <f aca="false">SUM(I34:I35)</f>
        <v>19.4249604873933</v>
      </c>
      <c r="J36" s="241" t="n">
        <f aca="false">SUM(J34:J35)</f>
        <v>19.5325066020151</v>
      </c>
      <c r="K36" s="241" t="n">
        <f aca="false">SUM(K34:K35)</f>
        <v>19.6432791000755</v>
      </c>
      <c r="L36" s="241" t="n">
        <f aca="false">SUM(L34:L35)</f>
        <v>19.7573747730778</v>
      </c>
      <c r="M36" s="241" t="n">
        <f aca="false">SUM(M34:M35)</f>
        <v>19.8748933162701</v>
      </c>
      <c r="N36" s="241" t="n">
        <f aca="false">SUM(N34:N35)</f>
        <v>19.9959374157582</v>
      </c>
      <c r="O36" s="241" t="n">
        <f aca="false">SUM(O34:O35)</f>
        <v>20.120612838231</v>
      </c>
      <c r="P36" s="241" t="n">
        <f aca="false">SUM(P34:P35)</f>
        <v>20.2490285233779</v>
      </c>
      <c r="Q36" s="241" t="n">
        <f aca="false">SUM(Q34:Q35)</f>
        <v>20.3812966790792</v>
      </c>
      <c r="R36" s="241" t="n">
        <f aca="false">SUM(R34:R35)</f>
        <v>20.5175328794516</v>
      </c>
      <c r="S36" s="241" t="n">
        <f aca="false">SUM(S34:S35)</f>
        <v>20.6578561658351</v>
      </c>
      <c r="T36" s="241" t="n">
        <f aca="false">SUM(T34:T35)</f>
        <v>20.8023891508102</v>
      </c>
      <c r="U36" s="241" t="n">
        <f aca="false">SUM(U34:U35)</f>
        <v>20.9512581253345</v>
      </c>
      <c r="V36" s="241" t="n">
        <f aca="false">SUM(V34:V35)</f>
        <v>21.1045931690945</v>
      </c>
      <c r="W36" s="241" t="n">
        <f aca="false">SUM(W34:W35)</f>
        <v>21.2625282641674</v>
      </c>
      <c r="X36" s="241" t="n">
        <f aca="false">SUM(X34:X35)</f>
        <v>21.4252014120924</v>
      </c>
      <c r="Y36" s="241" t="n">
        <f aca="false">SUM(Y34:Y35)</f>
        <v>21.5927547544552</v>
      </c>
      <c r="Z36" s="241" t="n">
        <f aca="false">SUM(Z34:Z35)</f>
        <v>21.7653346970888</v>
      </c>
      <c r="AA36" s="241" t="n">
        <f aca="false">SUM(AA34:AA35)</f>
        <v>21.9430920380015</v>
      </c>
      <c r="AB36" s="241" t="n">
        <f aca="false">SUM(AB34:AB35)</f>
        <v>22.1261820991415</v>
      </c>
      <c r="AC36" s="241" t="n">
        <f aca="false">SUM(AC34:AC35)</f>
        <v>22.3147648621158</v>
      </c>
      <c r="AD36" s="241" t="n">
        <f aca="false">SUM(AD34:AD35)</f>
        <v>22.5090051079793</v>
      </c>
      <c r="AE36" s="241" t="n">
        <f aca="false">SUM(AE34:AE35)</f>
        <v>22.7090725612186</v>
      </c>
      <c r="AF36" s="241" t="n">
        <f aca="false">SUM(AF34:AF35)</f>
        <v>22.9151420380552</v>
      </c>
      <c r="AG36" s="241" t="n">
        <f aca="false">SUM(AG34:AG35)</f>
        <v>23.1273935991968</v>
      </c>
      <c r="AH36" s="241" t="n">
        <f aca="false">SUM(AH34:AH35)</f>
        <v>23.3460127071728</v>
      </c>
      <c r="AI36" s="244"/>
      <c r="AJ36" s="24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6" t="str">
        <f aca="false">Assumptions!W14</f>
        <v>Pass-through</v>
      </c>
      <c r="B38" s="191" t="s">
        <v>272</v>
      </c>
      <c r="C38" s="1"/>
      <c r="D38" s="259" t="n">
        <f aca="false">IF($A$38="Pass-through",D36,D34)</f>
        <v>18.932430773305</v>
      </c>
      <c r="E38" s="260" t="n">
        <f aca="false">IF($A$38="Pass-through",E36,E34)</f>
        <v>19.0252009965041</v>
      </c>
      <c r="F38" s="260" t="n">
        <f aca="false">IF($A$38="Pass-through",F36,F34)</f>
        <v>19.1207543263992</v>
      </c>
      <c r="G38" s="260" t="n">
        <f aca="false">IF($A$38="Pass-through",G36,G34)</f>
        <v>19.2191742561912</v>
      </c>
      <c r="H38" s="260" t="n">
        <f aca="false">IF($A$38="Pass-through",H36,H34)</f>
        <v>19.3205467838769</v>
      </c>
      <c r="I38" s="260" t="n">
        <f aca="false">IF($A$38="Pass-through",I36,I34)</f>
        <v>19.4249604873933</v>
      </c>
      <c r="J38" s="260" t="n">
        <f aca="false">IF($A$38="Pass-through",J36,J34)</f>
        <v>19.5325066020151</v>
      </c>
      <c r="K38" s="260" t="n">
        <f aca="false">IF($A$38="Pass-through",K36,K34)</f>
        <v>19.6432791000755</v>
      </c>
      <c r="L38" s="260" t="n">
        <f aca="false">IF($A$38="Pass-through",L36,L34)</f>
        <v>19.7573747730778</v>
      </c>
      <c r="M38" s="260" t="n">
        <f aca="false">IF($A$38="Pass-through",M36,M34)</f>
        <v>19.8748933162701</v>
      </c>
      <c r="N38" s="260" t="n">
        <f aca="false">IF($A$38="Pass-through",N36,N34)</f>
        <v>19.9959374157582</v>
      </c>
      <c r="O38" s="260" t="n">
        <f aca="false">IF($A$38="Pass-through",O36,O34)</f>
        <v>20.120612838231</v>
      </c>
      <c r="P38" s="260" t="n">
        <f aca="false">IF($A$38="Pass-through",P36,P34)</f>
        <v>20.2490285233779</v>
      </c>
      <c r="Q38" s="260" t="n">
        <f aca="false">IF($A$38="Pass-through",Q36,Q34)</f>
        <v>20.3812966790792</v>
      </c>
      <c r="R38" s="261" t="n">
        <f aca="false">IF($A$38="Pass-through",R36,R34)</f>
        <v>20.5175328794516</v>
      </c>
      <c r="S38" s="259" t="n">
        <f aca="false">IF($A$38="Pass-through",S36,S34)</f>
        <v>20.6578561658351</v>
      </c>
      <c r="T38" s="260" t="n">
        <f aca="false">IF($A$38="Pass-through",T36,T34)</f>
        <v>20.8023891508102</v>
      </c>
      <c r="U38" s="260" t="n">
        <f aca="false">IF($A$38="Pass-through",U36,U34)</f>
        <v>20.9512581253345</v>
      </c>
      <c r="V38" s="260" t="n">
        <f aca="false">IF($A$38="Pass-through",V36,V34)</f>
        <v>21.1045931690945</v>
      </c>
      <c r="W38" s="260" t="n">
        <f aca="false">IF($A$38="Pass-through",W36,W34)</f>
        <v>21.2625282641674</v>
      </c>
      <c r="X38" s="260" t="n">
        <f aca="false">IF($A$38="Pass-through",X36,X34)</f>
        <v>21.4252014120924</v>
      </c>
      <c r="Y38" s="260" t="n">
        <f aca="false">IF($A$38="Pass-through",Y36,Y34)</f>
        <v>21.5927547544552</v>
      </c>
      <c r="Z38" s="260" t="n">
        <f aca="false">IF($A$38="Pass-through",Z36,Z34)</f>
        <v>21.7653346970888</v>
      </c>
      <c r="AA38" s="260" t="n">
        <f aca="false">IF($A$38="Pass-through",AA36,AA34)</f>
        <v>21.9430920380015</v>
      </c>
      <c r="AB38" s="260" t="n">
        <f aca="false">IF($A$38="Pass-through",AB36,AB34)</f>
        <v>22.1261820991415</v>
      </c>
      <c r="AC38" s="260" t="n">
        <f aca="false">IF($A$38="Pass-through",AC36,AC34)</f>
        <v>22.3147648621158</v>
      </c>
      <c r="AD38" s="260" t="n">
        <f aca="false">IF($A$38="Pass-through",AD36,AD34)</f>
        <v>22.5090051079793</v>
      </c>
      <c r="AE38" s="260" t="n">
        <f aca="false">IF($A$38="Pass-through",AE36,AE34)</f>
        <v>22.7090725612186</v>
      </c>
      <c r="AF38" s="260" t="n">
        <f aca="false">IF($A$38="Pass-through",AF36,AF34)</f>
        <v>22.9151420380552</v>
      </c>
      <c r="AG38" s="260" t="n">
        <f aca="false">IF($A$38="Pass-through",AG36,AG34)</f>
        <v>23.1273935991968</v>
      </c>
      <c r="AH38" s="261" t="n">
        <f aca="false">IF($A$38="Pass-through",AH36,AH34)</f>
        <v>23.3460127071728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9" t="s">
        <v>273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274</v>
      </c>
      <c r="C42" s="1"/>
      <c r="D42" s="263" t="n">
        <f aca="false">Assumptions!$H$14</f>
        <v>10200</v>
      </c>
      <c r="E42" s="263" t="n">
        <f aca="false">Assumptions!$H$14</f>
        <v>10200</v>
      </c>
      <c r="F42" s="263" t="n">
        <f aca="false">Assumptions!$H$14</f>
        <v>10200</v>
      </c>
      <c r="G42" s="263" t="n">
        <f aca="false">Assumptions!$H$14</f>
        <v>10200</v>
      </c>
      <c r="H42" s="263" t="n">
        <f aca="false">Assumptions!$H$14</f>
        <v>10200</v>
      </c>
      <c r="I42" s="263" t="n">
        <f aca="false">Assumptions!$H$14</f>
        <v>10200</v>
      </c>
      <c r="J42" s="263" t="n">
        <f aca="false">Assumptions!$H$14</f>
        <v>10200</v>
      </c>
      <c r="K42" s="263" t="n">
        <f aca="false">Assumptions!$H$14</f>
        <v>10200</v>
      </c>
      <c r="L42" s="263" t="n">
        <f aca="false">Assumptions!$H$14</f>
        <v>10200</v>
      </c>
      <c r="M42" s="263" t="n">
        <f aca="false">Assumptions!$H$14</f>
        <v>10200</v>
      </c>
      <c r="N42" s="263" t="n">
        <f aca="false">Assumptions!$H$14</f>
        <v>10200</v>
      </c>
      <c r="O42" s="263" t="n">
        <f aca="false">Assumptions!$H$14</f>
        <v>10200</v>
      </c>
      <c r="P42" s="263" t="n">
        <f aca="false">Assumptions!$H$14</f>
        <v>10200</v>
      </c>
      <c r="Q42" s="263" t="n">
        <f aca="false">Assumptions!$H$14</f>
        <v>10200</v>
      </c>
      <c r="R42" s="263" t="n">
        <f aca="false">Assumptions!$H$14</f>
        <v>10200</v>
      </c>
      <c r="S42" s="263" t="n">
        <f aca="false">Assumptions!$H$14</f>
        <v>10200</v>
      </c>
      <c r="T42" s="263" t="n">
        <f aca="false">Assumptions!$H$14</f>
        <v>10200</v>
      </c>
      <c r="U42" s="263" t="n">
        <f aca="false">Assumptions!$H$14</f>
        <v>10200</v>
      </c>
      <c r="V42" s="263" t="n">
        <f aca="false">Assumptions!$H$14</f>
        <v>10200</v>
      </c>
      <c r="W42" s="263" t="n">
        <f aca="false">Assumptions!$H$14</f>
        <v>10200</v>
      </c>
      <c r="X42" s="263" t="n">
        <f aca="false">Assumptions!$H$14</f>
        <v>10200</v>
      </c>
      <c r="Y42" s="263" t="n">
        <f aca="false">Assumptions!$H$14</f>
        <v>10200</v>
      </c>
      <c r="Z42" s="263" t="n">
        <f aca="false">Assumptions!$H$14</f>
        <v>10200</v>
      </c>
      <c r="AA42" s="263" t="n">
        <f aca="false">Assumptions!$H$14</f>
        <v>10200</v>
      </c>
      <c r="AB42" s="263" t="n">
        <f aca="false">Assumptions!$H$14</f>
        <v>10200</v>
      </c>
      <c r="AC42" s="263" t="n">
        <f aca="false">Assumptions!$H$14</f>
        <v>10200</v>
      </c>
      <c r="AD42" s="263" t="n">
        <f aca="false">Assumptions!$H$14</f>
        <v>10200</v>
      </c>
      <c r="AE42" s="263" t="n">
        <f aca="false">Assumptions!$H$14</f>
        <v>10200</v>
      </c>
      <c r="AF42" s="263" t="n">
        <f aca="false">Assumptions!$H$14</f>
        <v>10200</v>
      </c>
      <c r="AG42" s="263" t="n">
        <f aca="false">Assumptions!$H$14</f>
        <v>10200</v>
      </c>
      <c r="AH42" s="263" t="n">
        <f aca="false">Assumptions!$H$14</f>
        <v>10200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275</v>
      </c>
      <c r="C43" s="1"/>
      <c r="D43" s="264" t="n">
        <v>0.02</v>
      </c>
      <c r="E43" s="264" t="n">
        <v>0.02</v>
      </c>
      <c r="F43" s="264" t="n">
        <v>0.02</v>
      </c>
      <c r="G43" s="264" t="n">
        <v>0.02</v>
      </c>
      <c r="H43" s="264" t="n">
        <v>0.02</v>
      </c>
      <c r="I43" s="264" t="n">
        <v>0.02</v>
      </c>
      <c r="J43" s="264" t="n">
        <v>0.02</v>
      </c>
      <c r="K43" s="264" t="n">
        <v>0.02</v>
      </c>
      <c r="L43" s="264" t="n">
        <v>0.02</v>
      </c>
      <c r="M43" s="264" t="n">
        <v>0.02</v>
      </c>
      <c r="N43" s="264" t="n">
        <v>0.02</v>
      </c>
      <c r="O43" s="264" t="n">
        <v>0.02</v>
      </c>
      <c r="P43" s="264" t="n">
        <v>0.02</v>
      </c>
      <c r="Q43" s="264" t="n">
        <v>0.02</v>
      </c>
      <c r="R43" s="264" t="n">
        <v>0.02</v>
      </c>
      <c r="S43" s="264" t="n">
        <v>0.02</v>
      </c>
      <c r="T43" s="264" t="n">
        <v>0.02</v>
      </c>
      <c r="U43" s="264" t="n">
        <v>0.02</v>
      </c>
      <c r="V43" s="264" t="n">
        <v>0.02</v>
      </c>
      <c r="W43" s="264" t="n">
        <v>0.02</v>
      </c>
      <c r="X43" s="264" t="n">
        <v>0.02</v>
      </c>
      <c r="Y43" s="264" t="n">
        <v>0.02</v>
      </c>
      <c r="Z43" s="264" t="n">
        <v>0.02</v>
      </c>
      <c r="AA43" s="264" t="n">
        <v>0.02</v>
      </c>
      <c r="AB43" s="264" t="n">
        <v>0.02</v>
      </c>
      <c r="AC43" s="264" t="n">
        <v>0.02</v>
      </c>
      <c r="AD43" s="264" t="n">
        <v>0.02</v>
      </c>
      <c r="AE43" s="264" t="n">
        <v>0.02</v>
      </c>
      <c r="AF43" s="264" t="n">
        <v>0.02</v>
      </c>
      <c r="AG43" s="264" t="n">
        <v>0.02</v>
      </c>
      <c r="AH43" s="264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276</v>
      </c>
      <c r="C44" s="1"/>
      <c r="D44" s="265" t="n">
        <f aca="false">D42*(1+D43)</f>
        <v>10404</v>
      </c>
      <c r="E44" s="266" t="n">
        <f aca="false">E42*(1+E43)</f>
        <v>10404</v>
      </c>
      <c r="F44" s="266" t="n">
        <f aca="false">F42*(1+F43)</f>
        <v>10404</v>
      </c>
      <c r="G44" s="266" t="n">
        <f aca="false">G42*(1+G43)</f>
        <v>10404</v>
      </c>
      <c r="H44" s="266" t="n">
        <f aca="false">H42*(1+H43)</f>
        <v>10404</v>
      </c>
      <c r="I44" s="266" t="n">
        <f aca="false">I42*(1+I43)</f>
        <v>10404</v>
      </c>
      <c r="J44" s="266" t="n">
        <f aca="false">J42*(1+J43)</f>
        <v>10404</v>
      </c>
      <c r="K44" s="266" t="n">
        <f aca="false">K42*(1+K43)</f>
        <v>10404</v>
      </c>
      <c r="L44" s="266" t="n">
        <f aca="false">L42*(1+L43)</f>
        <v>10404</v>
      </c>
      <c r="M44" s="266" t="n">
        <f aca="false">M42*(1+M43)</f>
        <v>10404</v>
      </c>
      <c r="N44" s="266" t="n">
        <f aca="false">N42*(1+N43)</f>
        <v>10404</v>
      </c>
      <c r="O44" s="266" t="n">
        <f aca="false">O42*(1+O43)</f>
        <v>10404</v>
      </c>
      <c r="P44" s="266" t="n">
        <f aca="false">P42*(1+P43)</f>
        <v>10404</v>
      </c>
      <c r="Q44" s="266" t="n">
        <f aca="false">Q42*(1+Q43)</f>
        <v>10404</v>
      </c>
      <c r="R44" s="267" t="n">
        <f aca="false">R42*(1+R43)</f>
        <v>10404</v>
      </c>
      <c r="S44" s="265" t="n">
        <f aca="false">S42*(1+S43)</f>
        <v>10404</v>
      </c>
      <c r="T44" s="266" t="n">
        <f aca="false">T42*(1+T43)</f>
        <v>10404</v>
      </c>
      <c r="U44" s="266" t="n">
        <f aca="false">U42*(1+U43)</f>
        <v>10404</v>
      </c>
      <c r="V44" s="266" t="n">
        <f aca="false">V42*(1+V43)</f>
        <v>10404</v>
      </c>
      <c r="W44" s="266" t="n">
        <f aca="false">W42*(1+W43)</f>
        <v>10404</v>
      </c>
      <c r="X44" s="266" t="n">
        <f aca="false">X42*(1+X43)</f>
        <v>10404</v>
      </c>
      <c r="Y44" s="266" t="n">
        <f aca="false">Y42*(1+Y43)</f>
        <v>10404</v>
      </c>
      <c r="Z44" s="266" t="n">
        <f aca="false">Z42*(1+Z43)</f>
        <v>10404</v>
      </c>
      <c r="AA44" s="266" t="n">
        <f aca="false">AA42*(1+AA43)</f>
        <v>10404</v>
      </c>
      <c r="AB44" s="266" t="n">
        <f aca="false">AB42*(1+AB43)</f>
        <v>10404</v>
      </c>
      <c r="AC44" s="266" t="n">
        <f aca="false">AC42*(1+AC43)</f>
        <v>10404</v>
      </c>
      <c r="AD44" s="266" t="n">
        <f aca="false">AD42*(1+AD43)</f>
        <v>10404</v>
      </c>
      <c r="AE44" s="266" t="n">
        <f aca="false">AE42*(1+AE43)</f>
        <v>10404</v>
      </c>
      <c r="AF44" s="266" t="n">
        <f aca="false">AF42*(1+AF43)</f>
        <v>10404</v>
      </c>
      <c r="AG44" s="266" t="n">
        <f aca="false">AG42*(1+AG43)</f>
        <v>10404</v>
      </c>
      <c r="AH44" s="267" t="n">
        <f aca="false">AH42*(1+AH43)</f>
        <v>10404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2" activeCellId="0" sqref="L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3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Rochester</v>
      </c>
    </row>
    <row r="4" customFormat="false" ht="18.75" hidden="false" customHeight="false" outlineLevel="0" collapsed="false">
      <c r="A4" s="268" t="s">
        <v>277</v>
      </c>
      <c r="B4" s="3"/>
    </row>
    <row r="6" customFormat="false" ht="12.75" hidden="false" customHeight="false" outlineLevel="0" collapsed="false"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69" t="s">
        <v>278</v>
      </c>
      <c r="B7" s="270"/>
      <c r="C7" s="270" t="n">
        <f aca="false">'Price_Technical Assumption'!D8</f>
        <v>2001</v>
      </c>
      <c r="D7" s="270" t="n">
        <f aca="false">'Price_Technical Assumption'!E8</f>
        <v>2002</v>
      </c>
      <c r="E7" s="270" t="n">
        <f aca="false">'Price_Technical Assumption'!F8</f>
        <v>2003</v>
      </c>
      <c r="F7" s="270" t="n">
        <f aca="false">'Price_Technical Assumption'!G8</f>
        <v>2004</v>
      </c>
      <c r="G7" s="270" t="n">
        <f aca="false">'Price_Technical Assumption'!H8</f>
        <v>2005</v>
      </c>
      <c r="H7" s="270" t="n">
        <f aca="false">'Price_Technical Assumption'!I8</f>
        <v>2006</v>
      </c>
      <c r="I7" s="270" t="n">
        <f aca="false">'Price_Technical Assumption'!J8</f>
        <v>2007</v>
      </c>
      <c r="J7" s="270" t="n">
        <f aca="false">'Price_Technical Assumption'!K8</f>
        <v>2008</v>
      </c>
      <c r="K7" s="270" t="n">
        <f aca="false">'Price_Technical Assumption'!L8</f>
        <v>2009</v>
      </c>
      <c r="L7" s="270" t="n">
        <f aca="false">'Price_Technical Assumption'!M8</f>
        <v>2010</v>
      </c>
      <c r="M7" s="270" t="n">
        <f aca="false">'Price_Technical Assumption'!N8</f>
        <v>2011</v>
      </c>
      <c r="N7" s="270" t="n">
        <f aca="false">'Price_Technical Assumption'!O8</f>
        <v>2012</v>
      </c>
      <c r="O7" s="270" t="n">
        <f aca="false">'Price_Technical Assumption'!P8</f>
        <v>2013</v>
      </c>
      <c r="P7" s="270" t="n">
        <f aca="false">'Price_Technical Assumption'!Q8</f>
        <v>2014</v>
      </c>
      <c r="Q7" s="270" t="n">
        <f aca="false">'Price_Technical Assumption'!R8</f>
        <v>2015</v>
      </c>
      <c r="R7" s="270" t="n">
        <f aca="false">'Price_Technical Assumption'!S8</f>
        <v>2016</v>
      </c>
      <c r="S7" s="270" t="n">
        <f aca="false">'Price_Technical Assumption'!T8</f>
        <v>2017</v>
      </c>
      <c r="T7" s="270" t="n">
        <f aca="false">'Price_Technical Assumption'!U8</f>
        <v>2018</v>
      </c>
      <c r="U7" s="270" t="n">
        <f aca="false">'Price_Technical Assumption'!V8</f>
        <v>2019</v>
      </c>
      <c r="V7" s="270" t="n">
        <f aca="false">'Price_Technical Assumption'!W8</f>
        <v>2020</v>
      </c>
      <c r="W7" s="270" t="n">
        <f aca="false">'Price_Technical Assumption'!X8</f>
        <v>2021</v>
      </c>
      <c r="X7" s="270" t="n">
        <f aca="false">'Price_Technical Assumption'!Y8</f>
        <v>2022</v>
      </c>
      <c r="Y7" s="270" t="n">
        <f aca="false">'Price_Technical Assumption'!Z8</f>
        <v>2023</v>
      </c>
      <c r="Z7" s="270" t="n">
        <f aca="false">'Price_Technical Assumption'!AA8</f>
        <v>2024</v>
      </c>
      <c r="AA7" s="270" t="n">
        <f aca="false">'Price_Technical Assumption'!AB8</f>
        <v>2025</v>
      </c>
      <c r="AB7" s="270" t="n">
        <f aca="false">'Price_Technical Assumption'!AC8</f>
        <v>2026</v>
      </c>
      <c r="AC7" s="270" t="n">
        <f aca="false">'Price_Technical Assumption'!AD8</f>
        <v>2027</v>
      </c>
      <c r="AD7" s="270" t="n">
        <f aca="false">'Price_Technical Assumption'!AE8</f>
        <v>2028</v>
      </c>
      <c r="AE7" s="270" t="n">
        <f aca="false">'Price_Technical Assumption'!AF8</f>
        <v>2029</v>
      </c>
      <c r="AF7" s="270" t="n">
        <f aca="false">'Price_Technical Assumption'!AG8</f>
        <v>2030</v>
      </c>
      <c r="AG7" s="270" t="n">
        <f aca="false">'Price_Technical Assumption'!AH8</f>
        <v>2031</v>
      </c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2.75" hidden="false" customHeight="false" outlineLevel="0" collapsed="false">
      <c r="A8" s="271"/>
      <c r="C8" s="272" t="n">
        <v>37256</v>
      </c>
      <c r="D8" s="272" t="n">
        <v>37621</v>
      </c>
      <c r="E8" s="272" t="n">
        <v>37986</v>
      </c>
      <c r="F8" s="272" t="n">
        <v>38352</v>
      </c>
      <c r="G8" s="272" t="n">
        <v>38717</v>
      </c>
      <c r="H8" s="272" t="n">
        <v>39082</v>
      </c>
      <c r="I8" s="272" t="n">
        <v>39447</v>
      </c>
      <c r="J8" s="272" t="n">
        <v>39813</v>
      </c>
      <c r="K8" s="272" t="n">
        <v>40178</v>
      </c>
      <c r="L8" s="272" t="n">
        <v>40543</v>
      </c>
      <c r="M8" s="272" t="n">
        <v>40908</v>
      </c>
      <c r="N8" s="272" t="n">
        <v>41274</v>
      </c>
      <c r="O8" s="272" t="n">
        <v>41639</v>
      </c>
      <c r="P8" s="272" t="n">
        <v>42004</v>
      </c>
      <c r="Q8" s="272" t="n">
        <v>42369</v>
      </c>
      <c r="R8" s="272" t="n">
        <v>42735</v>
      </c>
      <c r="S8" s="272" t="n">
        <v>43100</v>
      </c>
      <c r="T8" s="272" t="n">
        <v>43465</v>
      </c>
      <c r="U8" s="272" t="n">
        <v>43830</v>
      </c>
      <c r="V8" s="272" t="n">
        <v>44196</v>
      </c>
      <c r="W8" s="272" t="n">
        <v>44561</v>
      </c>
      <c r="X8" s="272" t="n">
        <v>44926</v>
      </c>
      <c r="Y8" s="272" t="n">
        <v>45291</v>
      </c>
      <c r="Z8" s="272" t="n">
        <v>45657</v>
      </c>
      <c r="AA8" s="272" t="n">
        <v>46022</v>
      </c>
      <c r="AB8" s="272" t="n">
        <v>46387</v>
      </c>
      <c r="AC8" s="272" t="n">
        <v>46752</v>
      </c>
      <c r="AD8" s="272" t="n">
        <v>47118</v>
      </c>
      <c r="AE8" s="272" t="n">
        <v>47483</v>
      </c>
      <c r="AF8" s="272" t="n">
        <v>47848</v>
      </c>
      <c r="AG8" s="272" t="n">
        <v>48213</v>
      </c>
    </row>
    <row r="9" customFormat="false" ht="12.75" hidden="false" customHeight="false" outlineLevel="0" collapsed="false">
      <c r="A9" s="273" t="s">
        <v>279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43" t="s">
        <v>280</v>
      </c>
      <c r="C10" s="274" t="n">
        <f aca="false">IF(C6&lt;Assumptions!$H$19,C6*12*'Price_Technical Assumption'!D21*Assumptions!$H$68,IF(AND(B6&lt;Assumptions!$H$19,C6&gt;Assumptions!$H$19),(1-$C$6)*12*'Price_Technical Assumption'!D21*Assumptions!$H$68,0))</f>
        <v>1520</v>
      </c>
      <c r="D10" s="274" t="n">
        <f aca="false">IF(D6&lt;Assumptions!$H$19,12*'Price_Technical Assumption'!E21*Assumptions!$H$68,IF(AND(C6&lt;Assumptions!$H$19,D6&gt;Assumptions!$H$19),(1-$C$6)*12*'Price_Technical Assumption'!E21*Assumptions!$H$68,0))</f>
        <v>2280</v>
      </c>
      <c r="E10" s="274" t="n">
        <f aca="false">IF(E6&lt;Assumptions!$H$19,12*'Price_Technical Assumption'!F21*Assumptions!$H$68,IF(AND(D6&lt;Assumptions!$H$19,E6&gt;Assumptions!$H$19),(1-$C$6)*12*'Price_Technical Assumption'!F21*Assumptions!$H$68,0))</f>
        <v>2280</v>
      </c>
      <c r="F10" s="274" t="n">
        <f aca="false">IF(F6&lt;Assumptions!$H$19,12*'Price_Technical Assumption'!G21*Assumptions!$H$68,IF(AND(E6&lt;Assumptions!$H$19,F6&gt;Assumptions!$H$19),(1-$C$6)*12*'Price_Technical Assumption'!G21*Assumptions!$H$68,0))</f>
        <v>2934.10785131667</v>
      </c>
      <c r="G10" s="274" t="n">
        <f aca="false">IF(G6&lt;Assumptions!$H$19,12*'Price_Technical Assumption'!H21*Assumptions!$H$68,IF(AND(F6&lt;Assumptions!$H$19,G6&gt;Assumptions!$H$19),(1-$C$6)*12*'Price_Technical Assumption'!H21*Assumptions!$H$68,0))</f>
        <v>3248.86559322575</v>
      </c>
      <c r="H10" s="274" t="n">
        <f aca="false">IF(H6&lt;Assumptions!$H$19,12*'Price_Technical Assumption'!I21*Assumptions!$H$68,IF(AND(G6&lt;Assumptions!$H$19,H6&gt;Assumptions!$H$19),(1-$C$6)*12*'Price_Technical Assumption'!I21*Assumptions!$H$68,0))</f>
        <v>3289.6140769374</v>
      </c>
      <c r="I10" s="274" t="n">
        <f aca="false">IF(I6&lt;Assumptions!$H$19,12*'Price_Technical Assumption'!J21*Assumptions!$H$68,IF(AND(H6&lt;Assumptions!$H$19,I6&gt;Assumptions!$H$19),(1-$C$6)*12*'Price_Technical Assumption'!J21*Assumptions!$H$68,0))</f>
        <v>3329.88349063784</v>
      </c>
      <c r="J10" s="274" t="n">
        <f aca="false">IF(J6&lt;Assumptions!$H$19,12*'Price_Technical Assumption'!K21*Assumptions!$H$68,IF(AND(I6&lt;Assumptions!$H$19,J6&gt;Assumptions!$H$19),(1-$C$6)*12*'Price_Technical Assumption'!K21*Assumptions!$H$68,0))</f>
        <v>3369.60841649106</v>
      </c>
      <c r="K10" s="274" t="n">
        <f aca="false">IF(K6&lt;Assumptions!$H$19,12*'Price_Technical Assumption'!L21*Assumptions!$H$68,IF(AND(J6&lt;Assumptions!$H$19,K6&gt;Assumptions!$H$19),(1-$C$6)*12*'Price_Technical Assumption'!L21*Assumptions!$H$68,0))</f>
        <v>3470.69666898579</v>
      </c>
      <c r="L10" s="274" t="n">
        <f aca="false">IF(L6&lt;Assumptions!$H$19,12*'Price_Technical Assumption'!M21*Assumptions!$H$68,IF(AND(K6&lt;Assumptions!$H$19,L6&gt;Assumptions!$H$19),(1-$C$6)*12*'Price_Technical Assumption'!M21*Assumptions!$H$68,0))</f>
        <v>3510.98154103652</v>
      </c>
      <c r="M10" s="274" t="n">
        <f aca="false">IF(M6&lt;Assumptions!$H$19,12*'Price_Technical Assumption'!N21*Assumptions!$H$68,IF(AND(L6&lt;Assumptions!$H$19,M6&gt;Assumptions!$H$19),(1-$C$6)*12*'Price_Technical Assumption'!N21*Assumptions!$H$68,0))</f>
        <v>3616.31098726761</v>
      </c>
      <c r="N10" s="274" t="n">
        <f aca="false">IF(N6&lt;Assumptions!$H$19,12*'Price_Technical Assumption'!O21*Assumptions!$H$68,IF(AND(M6&lt;Assumptions!$H$19,N6&gt;Assumptions!$H$19),(1-$C$6)*12*'Price_Technical Assumption'!O21*Assumptions!$H$68,0))</f>
        <v>3657.07667476045</v>
      </c>
      <c r="O10" s="274" t="n">
        <f aca="false">IF(O6&lt;Assumptions!$H$19,12*'Price_Technical Assumption'!P21*Assumptions!$H$68,IF(AND(N6&lt;Assumptions!$H$19,O6&gt;Assumptions!$H$19),(1-$C$6)*12*'Price_Technical Assumption'!P21*Assumptions!$H$68,0))</f>
        <v>3766.78897500326</v>
      </c>
      <c r="P10" s="274" t="n">
        <f aca="false">IF(P6&lt;Assumptions!$H$19,12*'Price_Technical Assumption'!Q21*Assumptions!$H$68,IF(AND(O6&lt;Assumptions!$H$19,P6&gt;Assumptions!$H$19),(1-$C$6)*12*'Price_Technical Assumption'!Q21*Assumptions!$H$68,0))</f>
        <v>3807.94463232274</v>
      </c>
      <c r="Q10" s="274" t="n">
        <f aca="false">IF(Q6&lt;Assumptions!$H$19,12*'Price_Technical Assumption'!R21*Assumptions!$H$68,IF(AND(P6&lt;Assumptions!$H$19,Q6&gt;Assumptions!$H$19),(1-$C$6)*12*'Price_Technical Assumption'!R21*Assumptions!$H$68,0))</f>
        <v>3848.17951900389</v>
      </c>
      <c r="R10" s="274" t="n">
        <f aca="false">IF(R6&lt;Assumptions!$H$19,12*'Price_Technical Assumption'!S21*Assumptions!$H$68,IF(AND(Q6&lt;Assumptions!$H$19,R6&gt;Assumptions!$H$19),(1-$C$6)*12*'Price_Technical Assumption'!S21*Assumptions!$H$68,0))</f>
        <v>3887.40134871681</v>
      </c>
      <c r="S10" s="274" t="n">
        <f aca="false">IF(S6&lt;Assumptions!$H$19,12*'Price_Technical Assumption'!T21*Assumptions!$H$68,IF(AND(R6&lt;Assumptions!$H$19,S6&gt;Assumptions!$H$19),(1-$C$6)*12*'Price_Technical Assumption'!T21*Assumptions!$H$68,0))</f>
        <v>3925.51312664541</v>
      </c>
      <c r="T10" s="274" t="n">
        <f aca="false">IF(T6&lt;Assumptions!$H$19,12*'Price_Technical Assumption'!U21*Assumptions!$H$68,IF(AND(S6&lt;Assumptions!$H$19,T6&gt;Assumptions!$H$19),(1-$C$6)*12*'Price_Technical Assumption'!U21*Assumptions!$H$68,0))</f>
        <v>3962.41295003588</v>
      </c>
      <c r="U10" s="274" t="n">
        <f aca="false">IF(U6&lt;Assumptions!$H$19,12*'Price_Technical Assumption'!V21*Assumptions!$H$68,IF(AND(T6&lt;Assumptions!$H$19,U6&gt;Assumptions!$H$19),(1-$C$6)*12*'Price_Technical Assumption'!V21*Assumptions!$H$68,0))</f>
        <v>3997.99380101579</v>
      </c>
      <c r="V10" s="274" t="n">
        <f aca="false">IF(V6&lt;Assumptions!$H$19,12*'Price_Technical Assumption'!W21*Assumptions!$H$68,IF(AND(U6&lt;Assumptions!$H$19,V6&gt;Assumptions!$H$19),(1-$C$6)*12*'Price_Technical Assumption'!W21*Assumptions!$H$68,0))</f>
        <v>4032.14333139947</v>
      </c>
      <c r="W10" s="274" t="n">
        <f aca="false">IF(W6&lt;Assumptions!$H$19,12*'Price_Technical Assumption'!X21*Assumptions!$H$68,IF(AND(V6&lt;Assumptions!$H$19,W6&gt;Assumptions!$H$19),(1-$C$6)*12*'Price_Technical Assumption'!X21*Assumptions!$H$68,0))</f>
        <v>1354.91454639508</v>
      </c>
      <c r="X10" s="274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4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4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4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4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4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4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4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4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4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43" t="s">
        <v>281</v>
      </c>
      <c r="C11" s="274" t="n">
        <f aca="false">'Price_Technical Assumption'!D38*Assumptions!$H$62/1000</f>
        <v>1259.00664642478</v>
      </c>
      <c r="D11" s="274" t="n">
        <f aca="false">'Price_Technical Assumption'!E38*Assumptions!$H$62/1000</f>
        <v>1265.17586626752</v>
      </c>
      <c r="E11" s="274" t="n">
        <f aca="false">'Price_Technical Assumption'!F38*Assumptions!$H$62/1000</f>
        <v>1271.53016270555</v>
      </c>
      <c r="F11" s="274" t="n">
        <f aca="false">'Price_Technical Assumption'!G38*Assumptions!$H$62/1000</f>
        <v>1278.07508803672</v>
      </c>
      <c r="G11" s="274" t="n">
        <f aca="false">'Price_Technical Assumption'!H38*Assumptions!$H$62/1000</f>
        <v>1284.81636112782</v>
      </c>
      <c r="H11" s="274" t="n">
        <f aca="false">'Price_Technical Assumption'!I38*Assumptions!$H$62/1000</f>
        <v>1291.75987241165</v>
      </c>
      <c r="I11" s="274" t="n">
        <f aca="false">'Price_Technical Assumption'!J38*Assumptions!$H$62/1000</f>
        <v>1298.911689034</v>
      </c>
      <c r="J11" s="274" t="n">
        <f aca="false">'Price_Technical Assumption'!K38*Assumptions!$H$62/1000</f>
        <v>1306.27806015502</v>
      </c>
      <c r="K11" s="274" t="n">
        <f aca="false">'Price_Technical Assumption'!L38*Assumptions!$H$62/1000</f>
        <v>1313.86542240967</v>
      </c>
      <c r="L11" s="274" t="n">
        <f aca="false">'Price_Technical Assumption'!M38*Assumptions!$H$62/1000</f>
        <v>1321.68040553196</v>
      </c>
      <c r="M11" s="274" t="n">
        <f aca="false">'Price_Technical Assumption'!N38*Assumptions!$H$62/1000</f>
        <v>1329.72983814792</v>
      </c>
      <c r="N11" s="274" t="n">
        <f aca="false">'Price_Technical Assumption'!O38*Assumptions!$H$62/1000</f>
        <v>1338.02075374236</v>
      </c>
      <c r="O11" s="274" t="n">
        <f aca="false">'Price_Technical Assumption'!P38*Assumptions!$H$62/1000</f>
        <v>1346.56039680463</v>
      </c>
      <c r="P11" s="274" t="n">
        <f aca="false">'Price_Technical Assumption'!Q38*Assumptions!$H$62/1000</f>
        <v>1355.35622915877</v>
      </c>
      <c r="Q11" s="274" t="n">
        <f aca="false">'Price_Technical Assumption'!R38*Assumptions!$H$62/1000</f>
        <v>1364.41593648353</v>
      </c>
      <c r="R11" s="274" t="n">
        <f aca="false">'Price_Technical Assumption'!S38*Assumptions!$H$62/1000</f>
        <v>1373.74743502804</v>
      </c>
      <c r="S11" s="274" t="n">
        <f aca="false">'Price_Technical Assumption'!T38*Assumptions!$H$62/1000</f>
        <v>1383.35887852888</v>
      </c>
      <c r="T11" s="274" t="n">
        <f aca="false">'Price_Technical Assumption'!U38*Assumptions!$H$62/1000</f>
        <v>1393.25866533474</v>
      </c>
      <c r="U11" s="274" t="n">
        <f aca="false">'Price_Technical Assumption'!V38*Assumptions!$H$62/1000</f>
        <v>1403.45544574479</v>
      </c>
      <c r="V11" s="274" t="n">
        <f aca="false">'Price_Technical Assumption'!W38*Assumptions!$H$62/1000</f>
        <v>1413.95812956713</v>
      </c>
      <c r="W11" s="274" t="n">
        <f aca="false">'Price_Technical Assumption'!X38*Assumptions!$H$62/1000</f>
        <v>1424.77589390414</v>
      </c>
      <c r="X11" s="274" t="n">
        <f aca="false">'Price_Technical Assumption'!Y38*Assumptions!$H$62/1000</f>
        <v>1435.91819117127</v>
      </c>
      <c r="Y11" s="274" t="n">
        <f aca="false">'Price_Technical Assumption'!Z38*Assumptions!$H$62/1000</f>
        <v>1447.39475735641</v>
      </c>
      <c r="Z11" s="274" t="n">
        <f aca="false">'Price_Technical Assumption'!AA38*Assumptions!$H$62/1000</f>
        <v>1459.2156205271</v>
      </c>
      <c r="AA11" s="274" t="n">
        <f aca="false">'Price_Technical Assumption'!AB38*Assumptions!$H$62/1000</f>
        <v>1471.39110959291</v>
      </c>
      <c r="AB11" s="274" t="n">
        <f aca="false">'Price_Technical Assumption'!AC38*Assumptions!$H$62/1000</f>
        <v>1483.9318633307</v>
      </c>
      <c r="AC11" s="274" t="n">
        <f aca="false">'Price_Technical Assumption'!AD38*Assumptions!$H$62/1000</f>
        <v>1496.84883968062</v>
      </c>
      <c r="AD11" s="274" t="n">
        <f aca="false">'Price_Technical Assumption'!AE38*Assumptions!$H$62/1000</f>
        <v>1510.15332532104</v>
      </c>
      <c r="AE11" s="274" t="n">
        <f aca="false">'Price_Technical Assumption'!AF38*Assumptions!$H$62/1000</f>
        <v>1523.85694553067</v>
      </c>
      <c r="AF11" s="274" t="n">
        <f aca="false">'Price_Technical Assumption'!AG38*Assumptions!$H$62/1000</f>
        <v>1537.97167434659</v>
      </c>
      <c r="AG11" s="274" t="n">
        <f aca="false">'Price_Technical Assumption'!AH38*Assumptions!$H$62/1000</f>
        <v>1552.50984502699</v>
      </c>
    </row>
    <row r="12" customFormat="false" ht="12.75" hidden="false" customHeight="false" outlineLevel="0" collapsed="false">
      <c r="A12" s="275" t="s">
        <v>282</v>
      </c>
      <c r="C12" s="276" t="n">
        <v>0</v>
      </c>
      <c r="D12" s="276" t="n">
        <v>0</v>
      </c>
      <c r="E12" s="276" t="n">
        <v>0</v>
      </c>
      <c r="F12" s="276" t="n">
        <v>0</v>
      </c>
      <c r="G12" s="276" t="n">
        <v>0</v>
      </c>
      <c r="H12" s="276" t="n">
        <v>0</v>
      </c>
      <c r="I12" s="276" t="n">
        <v>0</v>
      </c>
      <c r="J12" s="276" t="n">
        <v>0</v>
      </c>
      <c r="K12" s="276" t="n">
        <v>0</v>
      </c>
      <c r="L12" s="276" t="n">
        <v>0</v>
      </c>
      <c r="M12" s="276" t="n">
        <v>0</v>
      </c>
      <c r="N12" s="276" t="n">
        <v>0</v>
      </c>
      <c r="O12" s="276" t="n">
        <v>0</v>
      </c>
      <c r="P12" s="276" t="n">
        <v>0</v>
      </c>
      <c r="Q12" s="276" t="n">
        <v>0</v>
      </c>
      <c r="R12" s="276" t="n">
        <v>0</v>
      </c>
      <c r="S12" s="276" t="n">
        <v>0</v>
      </c>
      <c r="T12" s="276" t="n">
        <v>0</v>
      </c>
      <c r="U12" s="276" t="n">
        <v>0</v>
      </c>
      <c r="V12" s="276" t="n">
        <v>0</v>
      </c>
      <c r="W12" s="276" t="n">
        <v>0</v>
      </c>
      <c r="X12" s="276" t="n">
        <v>0</v>
      </c>
      <c r="Y12" s="276" t="n">
        <v>0</v>
      </c>
      <c r="Z12" s="276" t="n">
        <v>0</v>
      </c>
      <c r="AA12" s="276" t="n">
        <v>0</v>
      </c>
      <c r="AB12" s="276" t="n">
        <v>0</v>
      </c>
      <c r="AC12" s="276" t="n">
        <v>0</v>
      </c>
      <c r="AD12" s="276" t="n">
        <v>0</v>
      </c>
      <c r="AE12" s="276" t="n">
        <v>0</v>
      </c>
      <c r="AF12" s="276" t="n">
        <v>0</v>
      </c>
      <c r="AG12" s="276" t="n">
        <v>0</v>
      </c>
    </row>
    <row r="13" customFormat="false" ht="12.75" hidden="false" customHeight="false" outlineLevel="0" collapsed="false">
      <c r="A13" s="277" t="s">
        <v>283</v>
      </c>
      <c r="C13" s="263" t="n">
        <f aca="false">SUM(C10:C12)</f>
        <v>2779.00664642478</v>
      </c>
      <c r="D13" s="263" t="n">
        <f aca="false">SUM(D10:D12)</f>
        <v>3545.17586626752</v>
      </c>
      <c r="E13" s="263" t="n">
        <f aca="false">SUM(E10:E12)</f>
        <v>3551.53016270555</v>
      </c>
      <c r="F13" s="263" t="n">
        <f aca="false">SUM(F10:F12)</f>
        <v>4212.18293935338</v>
      </c>
      <c r="G13" s="263" t="n">
        <f aca="false">SUM(G10:G12)</f>
        <v>4533.68195435357</v>
      </c>
      <c r="H13" s="263" t="n">
        <f aca="false">SUM(H10:H12)</f>
        <v>4581.37394934905</v>
      </c>
      <c r="I13" s="263" t="n">
        <f aca="false">SUM(I10:I12)</f>
        <v>4628.79517967184</v>
      </c>
      <c r="J13" s="263" t="n">
        <f aca="false">SUM(J10:J12)</f>
        <v>4675.88647664608</v>
      </c>
      <c r="K13" s="263" t="n">
        <f aca="false">SUM(K10:K12)</f>
        <v>4784.56209139546</v>
      </c>
      <c r="L13" s="263" t="n">
        <f aca="false">SUM(L10:L12)</f>
        <v>4832.66194656848</v>
      </c>
      <c r="M13" s="263" t="n">
        <f aca="false">SUM(M10:M12)</f>
        <v>4946.04082541554</v>
      </c>
      <c r="N13" s="263" t="n">
        <f aca="false">SUM(N10:N12)</f>
        <v>4995.09742850281</v>
      </c>
      <c r="O13" s="263" t="n">
        <f aca="false">SUM(O10:O12)</f>
        <v>5113.34937180789</v>
      </c>
      <c r="P13" s="263" t="n">
        <f aca="false">SUM(P10:P12)</f>
        <v>5163.30086148151</v>
      </c>
      <c r="Q13" s="263" t="n">
        <f aca="false">SUM(Q10:Q12)</f>
        <v>5212.59545548742</v>
      </c>
      <c r="R13" s="263" t="n">
        <f aca="false">SUM(R10:R12)</f>
        <v>5261.14878374485</v>
      </c>
      <c r="S13" s="263" t="n">
        <f aca="false">SUM(S10:S12)</f>
        <v>5308.87200517429</v>
      </c>
      <c r="T13" s="263" t="n">
        <f aca="false">SUM(T10:T12)</f>
        <v>5355.67161537062</v>
      </c>
      <c r="U13" s="263" t="n">
        <f aca="false">SUM(U10:U12)</f>
        <v>5401.44924676058</v>
      </c>
      <c r="V13" s="263" t="n">
        <f aca="false">SUM(V10:V12)</f>
        <v>5446.1014609666</v>
      </c>
      <c r="W13" s="263" t="n">
        <f aca="false">SUM(W10:W12)</f>
        <v>2779.69044029923</v>
      </c>
      <c r="X13" s="263" t="n">
        <f aca="false">SUM(X10:X12)</f>
        <v>1435.91819117127</v>
      </c>
      <c r="Y13" s="263" t="n">
        <f aca="false">SUM(Y10:Y12)</f>
        <v>1447.39475735641</v>
      </c>
      <c r="Z13" s="263" t="n">
        <f aca="false">SUM(Z10:Z12)</f>
        <v>1459.2156205271</v>
      </c>
      <c r="AA13" s="263" t="n">
        <f aca="false">SUM(AA10:AA12)</f>
        <v>1471.39110959291</v>
      </c>
      <c r="AB13" s="263" t="n">
        <f aca="false">SUM(AB10:AB12)</f>
        <v>1483.9318633307</v>
      </c>
      <c r="AC13" s="263" t="n">
        <f aca="false">SUM(AC10:AC12)</f>
        <v>1496.84883968062</v>
      </c>
      <c r="AD13" s="263" t="n">
        <f aca="false">SUM(AD10:AD12)</f>
        <v>1510.15332532104</v>
      </c>
      <c r="AE13" s="263" t="n">
        <f aca="false">SUM(AE10:AE12)</f>
        <v>1523.85694553067</v>
      </c>
      <c r="AF13" s="263" t="n">
        <f aca="false">SUM(AF10:AF12)</f>
        <v>1537.97167434659</v>
      </c>
      <c r="AG13" s="263" t="n">
        <f aca="false">SUM(AG10:AG12)</f>
        <v>1552.50984502699</v>
      </c>
    </row>
    <row r="14" customFormat="false" ht="12.75" hidden="false" customHeight="false" outlineLevel="0" collapsed="false">
      <c r="A14" s="113"/>
      <c r="Y14" s="1"/>
      <c r="Z14" s="1"/>
    </row>
    <row r="15" customFormat="false" ht="12.75" hidden="false" customHeight="false" outlineLevel="0" collapsed="false">
      <c r="A15" s="273" t="s">
        <v>284</v>
      </c>
      <c r="Y15" s="1"/>
      <c r="Z15" s="1"/>
    </row>
    <row r="16" customFormat="false" ht="12.75" hidden="false" customHeight="false" outlineLevel="0" collapsed="false">
      <c r="A16" s="143" t="s">
        <v>285</v>
      </c>
      <c r="C16" s="278" t="n">
        <f aca="false">Assumptions!$H$62*'Price_Technical Assumption'!D30*'Price_Technical Assumption'!D44/1000000</f>
        <v>1053.365985</v>
      </c>
      <c r="D16" s="278" t="n">
        <f aca="false">Assumptions!$H$62*'Price_Technical Assumption'!E30*'Price_Technical Assumption'!E44/1000000</f>
        <v>1053.365985</v>
      </c>
      <c r="E16" s="278" t="n">
        <f aca="false">Assumptions!$H$62*'Price_Technical Assumption'!F30*'Price_Technical Assumption'!F44/1000000</f>
        <v>1053.365985</v>
      </c>
      <c r="F16" s="278" t="n">
        <f aca="false">Assumptions!$H$62*'Price_Technical Assumption'!G30*'Price_Technical Assumption'!G44/1000000</f>
        <v>1053.365985</v>
      </c>
      <c r="G16" s="278" t="n">
        <f aca="false">Assumptions!$H$62*'Price_Technical Assumption'!H30*'Price_Technical Assumption'!H44/1000000</f>
        <v>1053.365985</v>
      </c>
      <c r="H16" s="278" t="n">
        <f aca="false">Assumptions!$H$62*'Price_Technical Assumption'!I30*'Price_Technical Assumption'!I44/1000000</f>
        <v>1053.365985</v>
      </c>
      <c r="I16" s="278" t="n">
        <f aca="false">Assumptions!$H$62*'Price_Technical Assumption'!J30*'Price_Technical Assumption'!J44/1000000</f>
        <v>1053.365985</v>
      </c>
      <c r="J16" s="278" t="n">
        <f aca="false">Assumptions!$H$62*'Price_Technical Assumption'!K30*'Price_Technical Assumption'!K44/1000000</f>
        <v>1053.365985</v>
      </c>
      <c r="K16" s="278" t="n">
        <f aca="false">Assumptions!$H$62*'Price_Technical Assumption'!L30*'Price_Technical Assumption'!L44/1000000</f>
        <v>1053.365985</v>
      </c>
      <c r="L16" s="278" t="n">
        <f aca="false">Assumptions!$H$62*'Price_Technical Assumption'!M30*'Price_Technical Assumption'!M44/1000000</f>
        <v>1053.365985</v>
      </c>
      <c r="M16" s="278" t="n">
        <f aca="false">Assumptions!$H$62*'Price_Technical Assumption'!N30*'Price_Technical Assumption'!N44/1000000</f>
        <v>1053.365985</v>
      </c>
      <c r="N16" s="278" t="n">
        <f aca="false">Assumptions!$H$62*'Price_Technical Assumption'!O30*'Price_Technical Assumption'!O44/1000000</f>
        <v>1053.365985</v>
      </c>
      <c r="O16" s="278" t="n">
        <f aca="false">Assumptions!$H$62*'Price_Technical Assumption'!P30*'Price_Technical Assumption'!P44/1000000</f>
        <v>1053.365985</v>
      </c>
      <c r="P16" s="278" t="n">
        <f aca="false">Assumptions!$H$62*'Price_Technical Assumption'!Q30*'Price_Technical Assumption'!Q44/1000000</f>
        <v>1053.365985</v>
      </c>
      <c r="Q16" s="278" t="n">
        <f aca="false">Assumptions!$H$62*'Price_Technical Assumption'!R30*'Price_Technical Assumption'!R44/1000000</f>
        <v>1053.365985</v>
      </c>
      <c r="R16" s="278" t="n">
        <f aca="false">Assumptions!$H$62*'Price_Technical Assumption'!S30*'Price_Technical Assumption'!S44/1000000</f>
        <v>1053.365985</v>
      </c>
      <c r="S16" s="278" t="n">
        <f aca="false">Assumptions!$H$62*'Price_Technical Assumption'!T30*'Price_Technical Assumption'!T44/1000000</f>
        <v>1053.365985</v>
      </c>
      <c r="T16" s="278" t="n">
        <f aca="false">Assumptions!$H$62*'Price_Technical Assumption'!U30*'Price_Technical Assumption'!U44/1000000</f>
        <v>1053.365985</v>
      </c>
      <c r="U16" s="278" t="n">
        <f aca="false">Assumptions!$H$62*'Price_Technical Assumption'!V30*'Price_Technical Assumption'!V44/1000000</f>
        <v>1053.365985</v>
      </c>
      <c r="V16" s="278" t="n">
        <f aca="false">Assumptions!$H$62*'Price_Technical Assumption'!W30*'Price_Technical Assumption'!W44/1000000</f>
        <v>1053.365985</v>
      </c>
      <c r="W16" s="278" t="n">
        <f aca="false">Assumptions!$H$62*'Price_Technical Assumption'!X30*'Price_Technical Assumption'!X44/1000000</f>
        <v>1053.365985</v>
      </c>
      <c r="X16" s="278" t="n">
        <f aca="false">Assumptions!$H$62*'Price_Technical Assumption'!Y30*'Price_Technical Assumption'!Y44/1000000</f>
        <v>1053.365985</v>
      </c>
      <c r="Y16" s="278" t="n">
        <f aca="false">Assumptions!$H$62*'Price_Technical Assumption'!Z30*'Price_Technical Assumption'!Z44/1000000</f>
        <v>1053.365985</v>
      </c>
      <c r="Z16" s="278" t="n">
        <f aca="false">Assumptions!$H$62*'Price_Technical Assumption'!AA30*'Price_Technical Assumption'!AA44/1000000</f>
        <v>1053.365985</v>
      </c>
      <c r="AA16" s="278" t="n">
        <f aca="false">Assumptions!$H$62*'Price_Technical Assumption'!AB30*'Price_Technical Assumption'!AB44/1000000</f>
        <v>1053.365985</v>
      </c>
      <c r="AB16" s="278" t="n">
        <f aca="false">Assumptions!$H$62*'Price_Technical Assumption'!AC30*'Price_Technical Assumption'!AC44/1000000</f>
        <v>1053.365985</v>
      </c>
      <c r="AC16" s="278" t="n">
        <f aca="false">Assumptions!$H$62*'Price_Technical Assumption'!AD30*'Price_Technical Assumption'!AD44/1000000</f>
        <v>1053.365985</v>
      </c>
      <c r="AD16" s="278" t="n">
        <f aca="false">Assumptions!$H$62*'Price_Technical Assumption'!AE30*'Price_Technical Assumption'!AE44/1000000</f>
        <v>1053.365985</v>
      </c>
      <c r="AE16" s="278" t="n">
        <f aca="false">Assumptions!$H$62*'Price_Technical Assumption'!AF30*'Price_Technical Assumption'!AF44/1000000</f>
        <v>1053.365985</v>
      </c>
      <c r="AF16" s="278" t="n">
        <f aca="false">Assumptions!$H$62*'Price_Technical Assumption'!AG30*'Price_Technical Assumption'!AG44/1000000</f>
        <v>1053.365985</v>
      </c>
      <c r="AG16" s="278" t="n">
        <f aca="false">Assumptions!$H$62*'Price_Technical Assumption'!AH30*'Price_Technical Assumption'!AH44/1000000</f>
        <v>1053.365985</v>
      </c>
    </row>
    <row r="17" customFormat="false" ht="12.75" hidden="false" customHeight="false" outlineLevel="0" collapsed="false">
      <c r="A17" s="143" t="s">
        <v>146</v>
      </c>
      <c r="C17" s="274" t="n">
        <f aca="false">Assumptions!$N19*C6</f>
        <v>322.620666666667</v>
      </c>
      <c r="D17" s="274" t="n">
        <f aca="false">Assumptions!$N19*(1+Assumptions!$N$11)</f>
        <v>498.44893</v>
      </c>
      <c r="E17" s="274" t="n">
        <f aca="false">D17*(1+Assumptions!$N$11)</f>
        <v>513.4023979</v>
      </c>
      <c r="F17" s="274" t="n">
        <f aca="false">E17*(1+Assumptions!$N$11)</f>
        <v>528.804469837</v>
      </c>
      <c r="G17" s="274" t="n">
        <f aca="false">F17*(1+Assumptions!$N$11)</f>
        <v>544.66860393211</v>
      </c>
      <c r="H17" s="274" t="n">
        <f aca="false">G17*(1+Assumptions!$N$11)</f>
        <v>561.008662050073</v>
      </c>
      <c r="I17" s="274" t="n">
        <f aca="false">H17*(1+Assumptions!$N$11)</f>
        <v>577.838921911575</v>
      </c>
      <c r="J17" s="274" t="n">
        <f aca="false">I17*(1+Assumptions!$N$11)</f>
        <v>595.174089568923</v>
      </c>
      <c r="K17" s="274" t="n">
        <f aca="false">J17*(1+Assumptions!$N$11)</f>
        <v>613.02931225599</v>
      </c>
      <c r="L17" s="274" t="n">
        <f aca="false">K17*(1+Assumptions!$N$11)</f>
        <v>631.42019162367</v>
      </c>
      <c r="M17" s="274" t="n">
        <f aca="false">L17*(1+Assumptions!$N$11)</f>
        <v>650.36279737238</v>
      </c>
      <c r="N17" s="274" t="n">
        <f aca="false">M17*(1+Assumptions!$N$11)</f>
        <v>669.873681293552</v>
      </c>
      <c r="O17" s="274" t="n">
        <f aca="false">N17*(1+Assumptions!$N$11)</f>
        <v>689.969891732358</v>
      </c>
      <c r="P17" s="274" t="n">
        <f aca="false">O17*(1+Assumptions!$N$11)</f>
        <v>710.668988484329</v>
      </c>
      <c r="Q17" s="274" t="n">
        <f aca="false">P17*(1+Assumptions!$N$11)</f>
        <v>731.989058138859</v>
      </c>
      <c r="R17" s="274" t="n">
        <f aca="false">Q17*(1+Assumptions!$N$11)</f>
        <v>753.948729883025</v>
      </c>
      <c r="S17" s="274" t="n">
        <f aca="false">R17*(1+Assumptions!$N$11)</f>
        <v>776.567191779515</v>
      </c>
      <c r="T17" s="274" t="n">
        <f aca="false">S17*(1+Assumptions!$N$11)</f>
        <v>799.864207532901</v>
      </c>
      <c r="U17" s="274" t="n">
        <f aca="false">T17*(1+Assumptions!$N$11)</f>
        <v>823.860133758888</v>
      </c>
      <c r="V17" s="274" t="n">
        <f aca="false">U17*(1+Assumptions!$N$11)</f>
        <v>848.575937771655</v>
      </c>
      <c r="W17" s="274" t="n">
        <f aca="false">V17*(1+Assumptions!$N$11)</f>
        <v>874.033215904804</v>
      </c>
      <c r="X17" s="274" t="n">
        <f aca="false">W17*(1+Assumptions!$N$11)</f>
        <v>900.254212381948</v>
      </c>
      <c r="Y17" s="274" t="n">
        <f aca="false">X17*(1+Assumptions!$N$11)</f>
        <v>927.261838753407</v>
      </c>
      <c r="Z17" s="274" t="n">
        <f aca="false">Y17*(1+Assumptions!$N$11)</f>
        <v>955.079693916009</v>
      </c>
      <c r="AA17" s="274" t="n">
        <f aca="false">Z17*(1+Assumptions!$N$11)</f>
        <v>983.732084733489</v>
      </c>
      <c r="AB17" s="274" t="n">
        <f aca="false">AA17*(1+Assumptions!$N$11)</f>
        <v>1013.24404727549</v>
      </c>
      <c r="AC17" s="274" t="n">
        <f aca="false">AB17*(1+Assumptions!$N$11)</f>
        <v>1043.64136869376</v>
      </c>
      <c r="AD17" s="274" t="n">
        <f aca="false">AC17*(1+Assumptions!$N$11)</f>
        <v>1074.95060975457</v>
      </c>
      <c r="AE17" s="274" t="n">
        <f aca="false">AD17*(1+Assumptions!$N$11)</f>
        <v>1107.19912804721</v>
      </c>
      <c r="AF17" s="274" t="n">
        <f aca="false">AE17*(1+Assumptions!$N$11)</f>
        <v>1140.41510188863</v>
      </c>
      <c r="AG17" s="274" t="n">
        <f aca="false">AF17*(1+Assumptions!$N$11)</f>
        <v>1174.62755494528</v>
      </c>
    </row>
    <row r="18" customFormat="false" ht="12.75" hidden="false" customHeight="false" outlineLevel="0" collapsed="false">
      <c r="A18" s="143" t="s">
        <v>286</v>
      </c>
      <c r="C18" s="278" t="n">
        <f aca="false">+(Assumptions!$P$15*Assumptions!$H$62)/1000*(1+Assumptions!$N$11)^IS!C6</f>
        <v>70.0616105711734</v>
      </c>
      <c r="D18" s="274" t="n">
        <f aca="false">C18*(1+Assumptions!$N$11)</f>
        <v>72.1634588883086</v>
      </c>
      <c r="E18" s="274" t="n">
        <f aca="false">D18*(1+Assumptions!$N$11)</f>
        <v>74.3283626549578</v>
      </c>
      <c r="F18" s="274" t="n">
        <f aca="false">E18*(1+Assumptions!$N$11)</f>
        <v>76.5582135346066</v>
      </c>
      <c r="G18" s="274" t="n">
        <f aca="false">F18*(1+Assumptions!$N$11)</f>
        <v>78.8549599406448</v>
      </c>
      <c r="H18" s="274" t="n">
        <f aca="false">G18*(1+Assumptions!$N$11)</f>
        <v>81.2206087388641</v>
      </c>
      <c r="I18" s="274" t="n">
        <f aca="false">H18*(1+Assumptions!$N$11)</f>
        <v>83.65722700103</v>
      </c>
      <c r="J18" s="274" t="n">
        <f aca="false">I18*(1+Assumptions!$N$11)</f>
        <v>86.166943811061</v>
      </c>
      <c r="K18" s="274" t="n">
        <f aca="false">J18*(1+Assumptions!$N$11)</f>
        <v>88.7519521253928</v>
      </c>
      <c r="L18" s="274" t="n">
        <f aca="false">K18*(1+Assumptions!$N$11)</f>
        <v>91.4145106891546</v>
      </c>
      <c r="M18" s="274" t="n">
        <f aca="false">L18*(1+Assumptions!$N$11)</f>
        <v>94.1569460098292</v>
      </c>
      <c r="N18" s="274" t="n">
        <f aca="false">M18*(1+Assumptions!$N$11)</f>
        <v>96.9816543901241</v>
      </c>
      <c r="O18" s="274" t="n">
        <f aca="false">N18*(1+Assumptions!$N$11)</f>
        <v>99.8911040218278</v>
      </c>
      <c r="P18" s="274" t="n">
        <f aca="false">O18*(1+Assumptions!$N$11)</f>
        <v>102.887837142483</v>
      </c>
      <c r="Q18" s="274" t="n">
        <f aca="false">P18*(1+Assumptions!$N$11)</f>
        <v>105.974472256757</v>
      </c>
      <c r="R18" s="274" t="n">
        <f aca="false">Q18*(1+Assumptions!$N$11)</f>
        <v>109.15370642446</v>
      </c>
      <c r="S18" s="274" t="n">
        <f aca="false">R18*(1+Assumptions!$N$11)</f>
        <v>112.428317617194</v>
      </c>
      <c r="T18" s="274" t="n">
        <f aca="false">S18*(1+Assumptions!$N$11)</f>
        <v>115.801167145709</v>
      </c>
      <c r="U18" s="274" t="n">
        <f aca="false">T18*(1+Assumptions!$N$11)</f>
        <v>119.275202160081</v>
      </c>
      <c r="V18" s="274" t="n">
        <f aca="false">U18*(1+Assumptions!$N$11)</f>
        <v>122.853458224883</v>
      </c>
      <c r="W18" s="274" t="n">
        <f aca="false">V18*(1+Assumptions!$N$11)</f>
        <v>126.53906197163</v>
      </c>
      <c r="X18" s="274" t="n">
        <f aca="false">W18*(1+Assumptions!$N$11)</f>
        <v>130.335233830779</v>
      </c>
      <c r="Y18" s="274" t="n">
        <f aca="false">X18*(1+Assumptions!$N$11)</f>
        <v>134.245290845702</v>
      </c>
      <c r="Z18" s="274" t="n">
        <f aca="false">Y18*(1+Assumptions!$N$11)</f>
        <v>138.272649571073</v>
      </c>
      <c r="AA18" s="274" t="n">
        <f aca="false">Z18*(1+Assumptions!$N$11)</f>
        <v>142.420829058205</v>
      </c>
      <c r="AB18" s="274" t="n">
        <f aca="false">AA18*(1+Assumptions!$N$11)</f>
        <v>146.693453929951</v>
      </c>
      <c r="AC18" s="274" t="n">
        <f aca="false">AB18*(1+Assumptions!$N$11)</f>
        <v>151.09425754785</v>
      </c>
      <c r="AD18" s="274" t="n">
        <f aca="false">AC18*(1+Assumptions!$N$11)</f>
        <v>155.627085274285</v>
      </c>
      <c r="AE18" s="274" t="n">
        <f aca="false">AD18*(1+Assumptions!$N$11)</f>
        <v>160.295897832514</v>
      </c>
      <c r="AF18" s="274" t="n">
        <f aca="false">AE18*(1+Assumptions!$N$11)</f>
        <v>165.104774767489</v>
      </c>
      <c r="AG18" s="274" t="n">
        <f aca="false">AF18*(1+Assumptions!$N$11)</f>
        <v>170.057918010514</v>
      </c>
    </row>
    <row r="19" customFormat="false" ht="12.75" hidden="false" customHeight="false" outlineLevel="0" collapsed="false">
      <c r="A19" s="143" t="s">
        <v>135</v>
      </c>
      <c r="C19" s="274" t="n">
        <f aca="false">Assumptions!$P$16*Assumptions!$H$62/1000*(1+Assumptions!$N$11)^IS!C6</f>
        <v>135.579050853607</v>
      </c>
      <c r="D19" s="274" t="n">
        <f aca="false">C19*(1+Assumptions!$N$11)</f>
        <v>139.646422379215</v>
      </c>
      <c r="E19" s="274" t="n">
        <f aca="false">D19*(1+Assumptions!$N$11)</f>
        <v>143.835815050591</v>
      </c>
      <c r="F19" s="274" t="n">
        <f aca="false">E19*(1+Assumptions!$N$11)</f>
        <v>148.150889502109</v>
      </c>
      <c r="G19" s="274" t="n">
        <f aca="false">F19*(1+Assumptions!$N$11)</f>
        <v>152.595416187172</v>
      </c>
      <c r="H19" s="274" t="n">
        <f aca="false">G19*(1+Assumptions!$N$11)</f>
        <v>157.173278672787</v>
      </c>
      <c r="I19" s="274" t="n">
        <f aca="false">H19*(1+Assumptions!$N$11)</f>
        <v>161.888477032971</v>
      </c>
      <c r="J19" s="274" t="n">
        <f aca="false">I19*(1+Assumptions!$N$11)</f>
        <v>166.74513134396</v>
      </c>
      <c r="K19" s="274" t="n">
        <f aca="false">J19*(1+Assumptions!$N$11)</f>
        <v>171.747485284279</v>
      </c>
      <c r="L19" s="274" t="n">
        <f aca="false">K19*(1+Assumptions!$N$11)</f>
        <v>176.899909842807</v>
      </c>
      <c r="M19" s="274" t="n">
        <f aca="false">L19*(1+Assumptions!$N$11)</f>
        <v>182.206907138092</v>
      </c>
      <c r="N19" s="274" t="n">
        <f aca="false">M19*(1+Assumptions!$N$11)</f>
        <v>187.673114352234</v>
      </c>
      <c r="O19" s="274" t="n">
        <f aca="false">N19*(1+Assumptions!$N$11)</f>
        <v>193.303307782801</v>
      </c>
      <c r="P19" s="274" t="n">
        <f aca="false">O19*(1+Assumptions!$N$11)</f>
        <v>199.102407016285</v>
      </c>
      <c r="Q19" s="274" t="n">
        <f aca="false">P19*(1+Assumptions!$N$11)</f>
        <v>205.075479226774</v>
      </c>
      <c r="R19" s="274" t="n">
        <f aca="false">Q19*(1+Assumptions!$N$11)</f>
        <v>211.227743603577</v>
      </c>
      <c r="S19" s="274" t="n">
        <f aca="false">R19*(1+Assumptions!$N$11)</f>
        <v>217.564575911684</v>
      </c>
      <c r="T19" s="274" t="n">
        <f aca="false">S19*(1+Assumptions!$N$11)</f>
        <v>224.091513189035</v>
      </c>
      <c r="U19" s="274" t="n">
        <f aca="false">T19*(1+Assumptions!$N$11)</f>
        <v>230.814258584706</v>
      </c>
      <c r="V19" s="274" t="n">
        <f aca="false">U19*(1+Assumptions!$N$11)</f>
        <v>237.738686342247</v>
      </c>
      <c r="W19" s="274" t="n">
        <f aca="false">V19*(1+Assumptions!$N$11)</f>
        <v>244.870846932515</v>
      </c>
      <c r="X19" s="274" t="n">
        <f aca="false">W19*(1+Assumptions!$N$11)</f>
        <v>252.21697234049</v>
      </c>
      <c r="Y19" s="274" t="n">
        <f aca="false">X19*(1+Assumptions!$N$11)</f>
        <v>259.783481510705</v>
      </c>
      <c r="Z19" s="274" t="n">
        <f aca="false">Y19*(1+Assumptions!$N$11)</f>
        <v>267.576985956026</v>
      </c>
      <c r="AA19" s="274" t="n">
        <f aca="false">Z19*(1+Assumptions!$N$11)</f>
        <v>275.604295534707</v>
      </c>
      <c r="AB19" s="274" t="n">
        <f aca="false">AA19*(1+Assumptions!$N$11)</f>
        <v>283.872424400748</v>
      </c>
      <c r="AC19" s="274" t="n">
        <f aca="false">AB19*(1+Assumptions!$N$11)</f>
        <v>292.38859713277</v>
      </c>
      <c r="AD19" s="274" t="n">
        <f aca="false">AC19*(1+Assumptions!$N$11)</f>
        <v>301.160255046754</v>
      </c>
      <c r="AE19" s="274" t="n">
        <f aca="false">AD19*(1+Assumptions!$N$11)</f>
        <v>310.195062698156</v>
      </c>
      <c r="AF19" s="274" t="n">
        <f aca="false">AE19*(1+Assumptions!$N$11)</f>
        <v>319.500914579101</v>
      </c>
      <c r="AG19" s="274" t="n">
        <f aca="false">AF19*(1+Assumptions!$N$11)</f>
        <v>329.085942016474</v>
      </c>
    </row>
    <row r="20" customFormat="false" ht="12.75" hidden="false" customHeight="false" outlineLevel="0" collapsed="false">
      <c r="A20" s="143" t="s">
        <v>150</v>
      </c>
      <c r="C20" s="274" t="n">
        <f aca="false">Assumptions!$N20*Assumptions!H18/12</f>
        <v>74.6666666666667</v>
      </c>
      <c r="D20" s="274" t="n">
        <f aca="false">Assumptions!$N20*(1+Assumptions!$N$11)</f>
        <v>115.36</v>
      </c>
      <c r="E20" s="274" t="n">
        <f aca="false">D20*(1+Assumptions!$N$11)</f>
        <v>118.8208</v>
      </c>
      <c r="F20" s="274" t="n">
        <f aca="false">E20*(1+Assumptions!$N$11)</f>
        <v>122.385424</v>
      </c>
      <c r="G20" s="274" t="n">
        <f aca="false">F20*(1+Assumptions!$N$11)</f>
        <v>126.05698672</v>
      </c>
      <c r="H20" s="274" t="n">
        <f aca="false">G20*(1+Assumptions!$N$11)</f>
        <v>129.8386963216</v>
      </c>
      <c r="I20" s="274" t="n">
        <f aca="false">H20*(1+Assumptions!$N$11)</f>
        <v>133.733857211248</v>
      </c>
      <c r="J20" s="274" t="n">
        <f aca="false">I20*(1+Assumptions!$N$11)</f>
        <v>137.745872927585</v>
      </c>
      <c r="K20" s="274" t="n">
        <f aca="false">J20*(1+Assumptions!$N$11)</f>
        <v>141.878249115413</v>
      </c>
      <c r="L20" s="274" t="n">
        <f aca="false">K20*(1+Assumptions!$N$11)</f>
        <v>146.134596588875</v>
      </c>
      <c r="M20" s="274" t="n">
        <f aca="false">L20*(1+Assumptions!$N$11)</f>
        <v>150.518634486542</v>
      </c>
      <c r="N20" s="274" t="n">
        <f aca="false">M20*(1+Assumptions!$N$11)</f>
        <v>155.034193521138</v>
      </c>
      <c r="O20" s="274" t="n">
        <f aca="false">N20*(1+Assumptions!$N$11)</f>
        <v>159.685219326772</v>
      </c>
      <c r="P20" s="274" t="n">
        <f aca="false">O20*(1+Assumptions!$N$11)</f>
        <v>164.475775906575</v>
      </c>
      <c r="Q20" s="274" t="n">
        <f aca="false">P20*(1+Assumptions!$N$11)</f>
        <v>169.410049183773</v>
      </c>
      <c r="R20" s="274" t="n">
        <f aca="false">Q20*(1+Assumptions!$N$11)</f>
        <v>174.492350659286</v>
      </c>
      <c r="S20" s="274" t="n">
        <f aca="false">R20*(1+Assumptions!$N$11)</f>
        <v>179.727121179064</v>
      </c>
      <c r="T20" s="274" t="n">
        <f aca="false">S20*(1+Assumptions!$N$11)</f>
        <v>185.118934814436</v>
      </c>
      <c r="U20" s="274" t="n">
        <f aca="false">T20*(1+Assumptions!$N$11)</f>
        <v>190.672502858869</v>
      </c>
      <c r="V20" s="274" t="n">
        <f aca="false">U20*(1+Assumptions!$N$11)</f>
        <v>196.392677944635</v>
      </c>
      <c r="W20" s="274" t="n">
        <f aca="false">V20*(1+Assumptions!$N$11)</f>
        <v>202.284458282974</v>
      </c>
      <c r="X20" s="274" t="n">
        <f aca="false">W20*(1+Assumptions!$N$11)</f>
        <v>208.352992031464</v>
      </c>
      <c r="Y20" s="274" t="n">
        <f aca="false">X20*(1+Assumptions!$N$11)</f>
        <v>214.603581792408</v>
      </c>
      <c r="Z20" s="274" t="n">
        <f aca="false">Y20*(1+Assumptions!$N$11)</f>
        <v>221.04168924618</v>
      </c>
      <c r="AA20" s="274" t="n">
        <f aca="false">Z20*(1+Assumptions!$N$11)</f>
        <v>227.672939923565</v>
      </c>
      <c r="AB20" s="274" t="n">
        <f aca="false">AA20*(1+Assumptions!$N$11)</f>
        <v>234.503128121272</v>
      </c>
      <c r="AC20" s="274" t="n">
        <f aca="false">AB20*(1+Assumptions!$N$11)</f>
        <v>241.53822196491</v>
      </c>
      <c r="AD20" s="274" t="n">
        <f aca="false">AC20*(1+Assumptions!$N$11)</f>
        <v>248.784368623858</v>
      </c>
      <c r="AE20" s="274" t="n">
        <f aca="false">AD20*(1+Assumptions!$N$11)</f>
        <v>256.247899682573</v>
      </c>
      <c r="AF20" s="274" t="n">
        <f aca="false">AE20*(1+Assumptions!$N$11)</f>
        <v>263.935336673051</v>
      </c>
      <c r="AG20" s="274" t="n">
        <f aca="false">AF20*(1+Assumptions!$N$11)</f>
        <v>271.853396773242</v>
      </c>
    </row>
    <row r="21" customFormat="false" ht="12.75" hidden="false" customHeight="false" outlineLevel="0" collapsed="false">
      <c r="A21" s="143" t="s">
        <v>152</v>
      </c>
      <c r="C21" s="274" t="n">
        <f aca="false">Assumptions!$N21*Assumptions!H18/12</f>
        <v>120</v>
      </c>
      <c r="D21" s="274" t="n">
        <f aca="false">(Assumptions!$N21)*(1+Assumptions!$N$11)</f>
        <v>185.4</v>
      </c>
      <c r="E21" s="274" t="n">
        <f aca="false">D21*(1+Assumptions!$N$11)</f>
        <v>190.962</v>
      </c>
      <c r="F21" s="274" t="n">
        <f aca="false">E21*(1+Assumptions!$N$11)</f>
        <v>196.69086</v>
      </c>
      <c r="G21" s="274" t="n">
        <f aca="false">F21*(1+Assumptions!$N$11)</f>
        <v>202.5915858</v>
      </c>
      <c r="H21" s="274" t="n">
        <f aca="false">G21*(1+Assumptions!$N$11)</f>
        <v>208.669333374</v>
      </c>
      <c r="I21" s="274" t="n">
        <f aca="false">H21*(1+Assumptions!$N$11)</f>
        <v>214.92941337522</v>
      </c>
      <c r="J21" s="274" t="n">
        <f aca="false">I21*(1+Assumptions!$N$11)</f>
        <v>221.377295776477</v>
      </c>
      <c r="K21" s="274" t="n">
        <f aca="false">J21*(1+Assumptions!$N$11)</f>
        <v>228.018614649771</v>
      </c>
      <c r="L21" s="274" t="n">
        <f aca="false">K21*(1+Assumptions!$N$11)</f>
        <v>234.859173089264</v>
      </c>
      <c r="M21" s="274" t="n">
        <f aca="false">L21*(1+Assumptions!$N$11)</f>
        <v>241.904948281942</v>
      </c>
      <c r="N21" s="274" t="n">
        <f aca="false">M21*(1+Assumptions!$N$11)</f>
        <v>249.1620967304</v>
      </c>
      <c r="O21" s="274" t="n">
        <f aca="false">N21*(1+Assumptions!$N$11)</f>
        <v>256.636959632312</v>
      </c>
      <c r="P21" s="274" t="n">
        <f aca="false">O21*(1+Assumptions!$N$11)</f>
        <v>264.336068421282</v>
      </c>
      <c r="Q21" s="274" t="n">
        <f aca="false">P21*(1+Assumptions!$N$11)</f>
        <v>272.26615047392</v>
      </c>
      <c r="R21" s="274" t="n">
        <f aca="false">Q21*(1+Assumptions!$N$11)</f>
        <v>280.434134988138</v>
      </c>
      <c r="S21" s="274" t="n">
        <f aca="false">R21*(1+Assumptions!$N$11)</f>
        <v>288.847159037782</v>
      </c>
      <c r="T21" s="274" t="n">
        <f aca="false">S21*(1+Assumptions!$N$11)</f>
        <v>297.512573808915</v>
      </c>
      <c r="U21" s="274" t="n">
        <f aca="false">T21*(1+Assumptions!$N$11)</f>
        <v>306.437951023183</v>
      </c>
      <c r="V21" s="274" t="n">
        <f aca="false">U21*(1+Assumptions!$N$11)</f>
        <v>315.631089553878</v>
      </c>
      <c r="W21" s="274" t="n">
        <f aca="false">V21*(1+Assumptions!$N$11)</f>
        <v>325.100022240495</v>
      </c>
      <c r="X21" s="274" t="n">
        <f aca="false">W21*(1+Assumptions!$N$11)</f>
        <v>334.85302290771</v>
      </c>
      <c r="Y21" s="274" t="n">
        <f aca="false">X21*(1+Assumptions!$N$11)</f>
        <v>344.898613594941</v>
      </c>
      <c r="Z21" s="274" t="n">
        <f aca="false">Y21*(1+Assumptions!$N$11)</f>
        <v>355.245572002789</v>
      </c>
      <c r="AA21" s="274" t="n">
        <f aca="false">Z21*(1+Assumptions!$N$11)</f>
        <v>365.902939162873</v>
      </c>
      <c r="AB21" s="274" t="n">
        <f aca="false">AA21*(1+Assumptions!$N$11)</f>
        <v>376.880027337759</v>
      </c>
      <c r="AC21" s="274" t="n">
        <f aca="false">AB21*(1+Assumptions!$N$11)</f>
        <v>388.186428157892</v>
      </c>
      <c r="AD21" s="274" t="n">
        <f aca="false">AC21*(1+Assumptions!$N$11)</f>
        <v>399.832021002628</v>
      </c>
      <c r="AE21" s="274" t="n">
        <f aca="false">AD21*(1+Assumptions!$N$11)</f>
        <v>411.826981632707</v>
      </c>
      <c r="AF21" s="274" t="n">
        <f aca="false">AE21*(1+Assumptions!$N$11)</f>
        <v>424.181791081689</v>
      </c>
      <c r="AG21" s="274" t="n">
        <f aca="false">AF21*(1+Assumptions!$N$11)</f>
        <v>436.907244814139</v>
      </c>
    </row>
    <row r="22" customFormat="false" ht="12.75" hidden="false" customHeight="false" outlineLevel="0" collapsed="false">
      <c r="A22" s="143" t="s">
        <v>155</v>
      </c>
      <c r="C22" s="274" t="n">
        <f aca="false">+Assumptions!N22</f>
        <v>0</v>
      </c>
      <c r="D22" s="274" t="n">
        <f aca="false">+Assumptions!N22*(1+Assumptions!$N$11)</f>
        <v>0</v>
      </c>
      <c r="E22" s="274" t="n">
        <f aca="false">D22*(1+Assumptions!$N$11)</f>
        <v>0</v>
      </c>
      <c r="F22" s="274" t="n">
        <f aca="false">E22*(1+Assumptions!$N$11)</f>
        <v>0</v>
      </c>
      <c r="G22" s="274" t="n">
        <f aca="false">F22*(1+Assumptions!$N$11)</f>
        <v>0</v>
      </c>
      <c r="H22" s="274" t="n">
        <f aca="false">G22*(1+Assumptions!$N$11)</f>
        <v>0</v>
      </c>
      <c r="I22" s="274" t="n">
        <f aca="false">H22*(1+Assumptions!$N$11)</f>
        <v>0</v>
      </c>
      <c r="J22" s="274" t="n">
        <f aca="false">I22*(1+Assumptions!$N$11)</f>
        <v>0</v>
      </c>
      <c r="K22" s="274" t="n">
        <f aca="false">J22*(1+Assumptions!$N$11)</f>
        <v>0</v>
      </c>
      <c r="L22" s="274" t="n">
        <f aca="false">K22*(1+Assumptions!$N$11)</f>
        <v>0</v>
      </c>
      <c r="M22" s="274" t="n">
        <f aca="false">L22*(1+Assumptions!$N$11)</f>
        <v>0</v>
      </c>
      <c r="N22" s="274" t="n">
        <f aca="false">M22*(1+Assumptions!$N$11)</f>
        <v>0</v>
      </c>
      <c r="O22" s="274" t="n">
        <f aca="false">N22*(1+Assumptions!$N$11)</f>
        <v>0</v>
      </c>
      <c r="P22" s="274" t="n">
        <f aca="false">O22*(1+Assumptions!$N$11)</f>
        <v>0</v>
      </c>
      <c r="Q22" s="274" t="n">
        <f aca="false">P22*(1+Assumptions!$N$11)</f>
        <v>0</v>
      </c>
      <c r="R22" s="274" t="n">
        <f aca="false">Q22*(1+Assumptions!$N$11)</f>
        <v>0</v>
      </c>
      <c r="S22" s="274" t="n">
        <f aca="false">R22*(1+Assumptions!$N$11)</f>
        <v>0</v>
      </c>
      <c r="T22" s="274" t="n">
        <f aca="false">S22*(1+Assumptions!$N$11)</f>
        <v>0</v>
      </c>
      <c r="U22" s="274" t="n">
        <f aca="false">T22*(1+Assumptions!$N$11)</f>
        <v>0</v>
      </c>
      <c r="V22" s="274" t="n">
        <f aca="false">U22*(1+Assumptions!$N$11)</f>
        <v>0</v>
      </c>
      <c r="W22" s="274" t="n">
        <f aca="false">V22*(1+Assumptions!$N$11)</f>
        <v>0</v>
      </c>
      <c r="X22" s="274" t="n">
        <f aca="false">W22*(1+Assumptions!$N$11)</f>
        <v>0</v>
      </c>
      <c r="Y22" s="274" t="n">
        <f aca="false">X22*(1+Assumptions!$N$11)</f>
        <v>0</v>
      </c>
      <c r="Z22" s="274" t="n">
        <f aca="false">Y22*(1+Assumptions!$N$11)</f>
        <v>0</v>
      </c>
      <c r="AA22" s="274" t="n">
        <f aca="false">Z22*(1+Assumptions!$N$11)</f>
        <v>0</v>
      </c>
      <c r="AB22" s="274" t="n">
        <f aca="false">AA22*(1+Assumptions!$N$11)</f>
        <v>0</v>
      </c>
      <c r="AC22" s="274" t="n">
        <f aca="false">AB22*(1+Assumptions!$N$11)</f>
        <v>0</v>
      </c>
      <c r="AD22" s="274" t="n">
        <f aca="false">AC22*(1+Assumptions!$N$11)</f>
        <v>0</v>
      </c>
      <c r="AE22" s="274" t="n">
        <f aca="false">AD22*(1+Assumptions!$N$11)</f>
        <v>0</v>
      </c>
      <c r="AF22" s="274" t="n">
        <f aca="false">AE22*(1+Assumptions!$N$11)</f>
        <v>0</v>
      </c>
      <c r="AG22" s="274" t="n">
        <f aca="false">AF22*(1+Assumptions!$N$11)</f>
        <v>0</v>
      </c>
    </row>
    <row r="23" customFormat="false" ht="14.25" hidden="false" customHeight="true" outlineLevel="0" collapsed="false">
      <c r="A23" s="143" t="s">
        <v>175</v>
      </c>
      <c r="C23" s="279" t="n">
        <v>400</v>
      </c>
      <c r="D23" s="279" t="n">
        <f aca="false">C23*(1+Assumptions!$P$30)</f>
        <v>408</v>
      </c>
      <c r="E23" s="279" t="n">
        <f aca="false">D23*(1+Assumptions!$P$30)</f>
        <v>416.16</v>
      </c>
      <c r="F23" s="279" t="n">
        <f aca="false">E23*(1+Assumptions!$P$30)</f>
        <v>424.4832</v>
      </c>
      <c r="G23" s="279" t="n">
        <f aca="false">F23*(1+Assumptions!$P$30)</f>
        <v>432.972864</v>
      </c>
      <c r="H23" s="279" t="n">
        <f aca="false">G23*(1+Assumptions!$P$30)</f>
        <v>441.63232128</v>
      </c>
      <c r="I23" s="279" t="n">
        <f aca="false">H23*(1+Assumptions!$P$30)</f>
        <v>450.4649677056</v>
      </c>
      <c r="J23" s="279" t="n">
        <f aca="false">I23*(1+Assumptions!$P$30)</f>
        <v>459.474267059712</v>
      </c>
      <c r="K23" s="279" t="n">
        <f aca="false">J23*(1+Assumptions!$P$30)</f>
        <v>468.663752400906</v>
      </c>
      <c r="L23" s="279" t="n">
        <f aca="false">K23*(1+Assumptions!$P$30)</f>
        <v>478.037027448924</v>
      </c>
      <c r="M23" s="279" t="n">
        <f aca="false">L23*(1+Assumptions!$P$30)</f>
        <v>487.597767997903</v>
      </c>
      <c r="N23" s="279" t="n">
        <f aca="false">M23*(1+Assumptions!$P$30)</f>
        <v>497.349723357861</v>
      </c>
      <c r="O23" s="279" t="n">
        <f aca="false">N23*(1+Assumptions!$P$30)</f>
        <v>507.296717825018</v>
      </c>
      <c r="P23" s="279" t="n">
        <f aca="false">O23*(1+Assumptions!$P$30)</f>
        <v>517.442652181519</v>
      </c>
      <c r="Q23" s="279" t="n">
        <f aca="false">P23*(1+Assumptions!$P$30)</f>
        <v>527.791505225149</v>
      </c>
      <c r="R23" s="279" t="n">
        <f aca="false">Q23*(1+Assumptions!$P$30)</f>
        <v>538.347335329652</v>
      </c>
      <c r="S23" s="279" t="n">
        <f aca="false">R23*(1+Assumptions!$P$30)</f>
        <v>549.114282036245</v>
      </c>
      <c r="T23" s="279" t="n">
        <f aca="false">S23*(1+Assumptions!$P$30)</f>
        <v>560.09656767697</v>
      </c>
      <c r="U23" s="279" t="n">
        <f aca="false">T23*(1+Assumptions!$P$30)</f>
        <v>571.298499030509</v>
      </c>
      <c r="V23" s="279" t="n">
        <f aca="false">U23*(1+Assumptions!$P$30)</f>
        <v>582.72446901112</v>
      </c>
      <c r="W23" s="279" t="n">
        <f aca="false">V23*(1+Assumptions!$P$30)</f>
        <v>594.378958391342</v>
      </c>
      <c r="X23" s="279" t="n">
        <f aca="false">W23*(1+Assumptions!$P$30)</f>
        <v>606.266537559169</v>
      </c>
      <c r="Y23" s="279" t="n">
        <f aca="false">X23*(1+Assumptions!$P$30)</f>
        <v>618.391868310352</v>
      </c>
      <c r="Z23" s="279" t="n">
        <f aca="false">Y23*(1+Assumptions!$P$30)</f>
        <v>630.759705676559</v>
      </c>
      <c r="AA23" s="279" t="n">
        <f aca="false">Z23*(1+Assumptions!$P$30)</f>
        <v>643.374899790091</v>
      </c>
      <c r="AB23" s="279" t="n">
        <f aca="false">AA23*(1+Assumptions!$P$30)</f>
        <v>656.242397785892</v>
      </c>
      <c r="AC23" s="279" t="n">
        <f aca="false">AB23*(1+Assumptions!$P$30)</f>
        <v>669.36724574161</v>
      </c>
      <c r="AD23" s="279" t="n">
        <f aca="false">AC23*(1+Assumptions!$P$30)</f>
        <v>682.754590656442</v>
      </c>
      <c r="AE23" s="279" t="n">
        <f aca="false">AD23*(1+Assumptions!$P$30)</f>
        <v>696.409682469571</v>
      </c>
      <c r="AF23" s="279" t="n">
        <f aca="false">AE23*(1+Assumptions!$P$30)</f>
        <v>710.337876118963</v>
      </c>
      <c r="AG23" s="279" t="n">
        <f aca="false">AF23*(1+Assumptions!$P$30)</f>
        <v>724.544633641342</v>
      </c>
    </row>
    <row r="24" customFormat="false" ht="12.75" hidden="false" customHeight="false" outlineLevel="0" collapsed="false">
      <c r="A24" s="3" t="s">
        <v>177</v>
      </c>
      <c r="C24" s="274" t="n">
        <f aca="false">Assumptions!$N$52*Depreciation!D50*Assumptions!H18/12</f>
        <v>0</v>
      </c>
      <c r="D24" s="274" t="n">
        <f aca="false">Assumptions!$N$52*Depreciation!E50</f>
        <v>0</v>
      </c>
      <c r="E24" s="274" t="n">
        <f aca="false">Assumptions!$N$52*Depreciation!F50</f>
        <v>0</v>
      </c>
      <c r="F24" s="274" t="n">
        <f aca="false">Assumptions!$N$52*Depreciation!G50</f>
        <v>0</v>
      </c>
      <c r="G24" s="274" t="n">
        <f aca="false">Assumptions!$N$52*Depreciation!H50</f>
        <v>0</v>
      </c>
      <c r="H24" s="274" t="n">
        <f aca="false">Assumptions!$N$52*Depreciation!I50</f>
        <v>0</v>
      </c>
      <c r="I24" s="274" t="n">
        <f aca="false">Assumptions!$N$52*Depreciation!J50</f>
        <v>0</v>
      </c>
      <c r="J24" s="274" t="n">
        <f aca="false">Assumptions!$N$52*Depreciation!K50</f>
        <v>0</v>
      </c>
      <c r="K24" s="274" t="n">
        <f aca="false">Assumptions!$N$52*Depreciation!L50</f>
        <v>0</v>
      </c>
      <c r="L24" s="274" t="n">
        <f aca="false">Assumptions!$N$52*Depreciation!M50</f>
        <v>0</v>
      </c>
      <c r="M24" s="274" t="n">
        <f aca="false">Assumptions!$N$52*Depreciation!N50</f>
        <v>0</v>
      </c>
      <c r="N24" s="274" t="n">
        <f aca="false">Assumptions!$N$52*Depreciation!O50</f>
        <v>0</v>
      </c>
      <c r="O24" s="274" t="n">
        <f aca="false">Assumptions!$N$52*Depreciation!P50</f>
        <v>0</v>
      </c>
      <c r="P24" s="274" t="n">
        <f aca="false">Assumptions!$N$52*Depreciation!Q50</f>
        <v>0</v>
      </c>
      <c r="Q24" s="274" t="n">
        <f aca="false">Assumptions!$N$52*Depreciation!R50</f>
        <v>0</v>
      </c>
      <c r="R24" s="274" t="n">
        <f aca="false">Assumptions!$N$52*Depreciation!S50</f>
        <v>0</v>
      </c>
      <c r="S24" s="274" t="n">
        <f aca="false">Assumptions!$N$52*Depreciation!T50</f>
        <v>0</v>
      </c>
      <c r="T24" s="274" t="n">
        <f aca="false">Assumptions!$N$52*Depreciation!U50</f>
        <v>0</v>
      </c>
      <c r="U24" s="274" t="n">
        <f aca="false">Assumptions!$N$52*Depreciation!V50</f>
        <v>0</v>
      </c>
      <c r="V24" s="274" t="n">
        <f aca="false">Assumptions!$N$52*Depreciation!W50</f>
        <v>0</v>
      </c>
      <c r="W24" s="274" t="n">
        <f aca="false">Assumptions!$N$52*Depreciation!X50</f>
        <v>0</v>
      </c>
      <c r="X24" s="274" t="n">
        <f aca="false">Assumptions!$N$52*Depreciation!Y50</f>
        <v>0</v>
      </c>
      <c r="Y24" s="274" t="n">
        <f aca="false">Assumptions!$N$52*Depreciation!Z50</f>
        <v>0</v>
      </c>
      <c r="Z24" s="274" t="n">
        <f aca="false">Assumptions!$N$52*Depreciation!AA50</f>
        <v>0</v>
      </c>
      <c r="AA24" s="274" t="n">
        <f aca="false">Assumptions!$N$52*Depreciation!AB50</f>
        <v>0</v>
      </c>
      <c r="AB24" s="274" t="n">
        <f aca="false">Assumptions!$N$52*Depreciation!AC50</f>
        <v>0</v>
      </c>
      <c r="AC24" s="274" t="n">
        <f aca="false">Assumptions!$N$52*Depreciation!AD50</f>
        <v>0</v>
      </c>
      <c r="AD24" s="274" t="n">
        <f aca="false">Assumptions!$N$52*Depreciation!AE50</f>
        <v>0</v>
      </c>
      <c r="AE24" s="274" t="n">
        <f aca="false">Assumptions!$N$52*Depreciation!AF50</f>
        <v>0</v>
      </c>
      <c r="AF24" s="274" t="n">
        <f aca="false">Assumptions!$N$52*Depreciation!AG50</f>
        <v>0</v>
      </c>
      <c r="AG24" s="274" t="n">
        <f aca="false">Assumptions!$N$52*Depreciation!AH50</f>
        <v>0</v>
      </c>
    </row>
    <row r="25" customFormat="false" ht="12.75" hidden="false" customHeight="false" outlineLevel="0" collapsed="false">
      <c r="A25" s="3" t="s">
        <v>180</v>
      </c>
      <c r="C25" s="279" t="n">
        <v>0</v>
      </c>
      <c r="D25" s="279" t="n">
        <v>0</v>
      </c>
      <c r="E25" s="279" t="n">
        <v>0</v>
      </c>
      <c r="F25" s="279" t="n">
        <v>0</v>
      </c>
      <c r="G25" s="279" t="n">
        <v>0</v>
      </c>
      <c r="H25" s="279" t="n">
        <v>0</v>
      </c>
      <c r="I25" s="279" t="n">
        <v>0</v>
      </c>
      <c r="J25" s="279" t="n">
        <v>0</v>
      </c>
      <c r="K25" s="279" t="n">
        <v>0</v>
      </c>
      <c r="L25" s="279" t="n">
        <v>0</v>
      </c>
      <c r="M25" s="279" t="n">
        <v>0</v>
      </c>
      <c r="N25" s="279" t="n">
        <v>0</v>
      </c>
      <c r="O25" s="279" t="n">
        <v>0</v>
      </c>
      <c r="P25" s="279" t="n">
        <v>0</v>
      </c>
      <c r="Q25" s="279" t="n">
        <v>0</v>
      </c>
      <c r="R25" s="279" t="n">
        <v>0</v>
      </c>
      <c r="S25" s="279" t="n">
        <v>0</v>
      </c>
      <c r="T25" s="279" t="n">
        <v>0</v>
      </c>
      <c r="U25" s="279" t="n">
        <v>0</v>
      </c>
      <c r="V25" s="279" t="n">
        <v>0</v>
      </c>
      <c r="W25" s="279" t="n">
        <v>0</v>
      </c>
      <c r="X25" s="279" t="n">
        <v>0</v>
      </c>
      <c r="Y25" s="279" t="n">
        <v>0</v>
      </c>
      <c r="Z25" s="279" t="n">
        <v>0</v>
      </c>
      <c r="AA25" s="279" t="n">
        <v>0</v>
      </c>
      <c r="AB25" s="279" t="n">
        <v>0</v>
      </c>
      <c r="AC25" s="279" t="n">
        <v>0</v>
      </c>
      <c r="AD25" s="279" t="n">
        <v>0</v>
      </c>
      <c r="AE25" s="279" t="n">
        <v>0</v>
      </c>
      <c r="AF25" s="279" t="n">
        <v>0</v>
      </c>
      <c r="AG25" s="279" t="n">
        <v>0</v>
      </c>
    </row>
    <row r="26" customFormat="false" ht="12.75" hidden="false" customHeight="false" outlineLevel="0" collapsed="false">
      <c r="A26" s="31" t="s">
        <v>209</v>
      </c>
      <c r="C26" s="274" t="n">
        <f aca="false">IF(C8&lt;Assumptions!$G$34,Assumptions!$G$42*Assumptions!$G$41*C6,0)</f>
        <v>53.7154842449639</v>
      </c>
      <c r="D26" s="274" t="n">
        <f aca="false">IF(D8&lt;Assumptions!$G$34,Assumptions!$G$42*Assumptions!$G$41,IF(AND(D8&gt;Assumptions!$G$34,C8&lt;Assumptions!$G$34),Assumptions!$G$42*Assumptions!$G$41*(1-$C$6),0))</f>
        <v>80.5732263674459</v>
      </c>
      <c r="E26" s="274" t="n">
        <f aca="false">IF(E8&lt;Assumptions!$G$34,Assumptions!$G$42*Assumptions!$G$41,IF(AND(E8&gt;Assumptions!$G$34,D8&lt;Assumptions!$G$34),Assumptions!$G$42*Assumptions!$G$41*(1-$C$6),0))</f>
        <v>80.5732263674459</v>
      </c>
      <c r="F26" s="274" t="n">
        <f aca="false">IF(F8&lt;Assumptions!$G$34,Assumptions!$G$42*Assumptions!$G$41,IF(AND(F8&gt;Assumptions!$G$34,E8&lt;Assumptions!$G$34),Assumptions!$G$42*Assumptions!$G$41*(1-$C$6),0))</f>
        <v>80.5732263674459</v>
      </c>
      <c r="G26" s="274" t="n">
        <f aca="false">IF(G8&lt;Assumptions!$G$34,Assumptions!$G$42*Assumptions!$G$41,IF(AND(G8&gt;Assumptions!$G$34,F8&lt;Assumptions!$G$34),Assumptions!$G$42*Assumptions!$G$41*(1-$C$6),0))</f>
        <v>80.5732263674459</v>
      </c>
      <c r="H26" s="274" t="n">
        <f aca="false">IF(H8&lt;Assumptions!$G$34,Assumptions!$G$42*Assumptions!$G$41,IF(AND(H8&gt;Assumptions!$G$34,G8&lt;Assumptions!$G$34),Assumptions!$G$42*Assumptions!$G$41*(1-$C$6),0))</f>
        <v>80.5732263674459</v>
      </c>
      <c r="I26" s="274" t="n">
        <f aca="false">IF(I8&lt;Assumptions!$G$34,Assumptions!$G$42*Assumptions!$G$41,IF(AND(I8&gt;Assumptions!$G$34,H8&lt;Assumptions!$G$34),Assumptions!$G$42*Assumptions!$G$41*(1-$C$6),0))</f>
        <v>80.5732263674459</v>
      </c>
      <c r="J26" s="274" t="n">
        <f aca="false">IF(J8&lt;Assumptions!$G$34,Assumptions!$G$42*Assumptions!$G$41,IF(AND(J8&gt;Assumptions!$G$34,I8&lt;Assumptions!$G$34),Assumptions!$G$42*Assumptions!$G$41*(1-$C$6),0))</f>
        <v>80.5732263674459</v>
      </c>
      <c r="K26" s="274" t="n">
        <f aca="false">IF(K8&lt;Assumptions!$G$34,Assumptions!$G$42*Assumptions!$G$41,IF(AND(K8&gt;Assumptions!$G$34,J8&lt;Assumptions!$G$34),Assumptions!$G$42*Assumptions!$G$41*(1-$C$6),0))</f>
        <v>80.5732263674459</v>
      </c>
      <c r="L26" s="274" t="n">
        <f aca="false">IF(L8&lt;Assumptions!$G$34,Assumptions!$G$42*Assumptions!$G$41,IF(AND(L8&gt;Assumptions!$G$34,K8&lt;Assumptions!$G$34),Assumptions!$G$42*Assumptions!$G$41*(1-$C$6),0))</f>
        <v>80.5732263674459</v>
      </c>
      <c r="M26" s="274" t="n">
        <f aca="false">IF(M8&lt;Assumptions!$G$34,Assumptions!$G$42*Assumptions!$G$41,IF(AND(M8&gt;Assumptions!$G$34,L8&lt;Assumptions!$G$34),Assumptions!$G$42*Assumptions!$G$41*(1-$C$6),0))</f>
        <v>80.5732263674459</v>
      </c>
      <c r="N26" s="274" t="n">
        <f aca="false">IF(N8&lt;Assumptions!$G$34,Assumptions!$G$42*Assumptions!$G$41,IF(AND(N8&gt;Assumptions!$G$34,M8&lt;Assumptions!$G$34),Assumptions!$G$42*Assumptions!$G$41*(1-$C$6),0))</f>
        <v>80.5732263674459</v>
      </c>
      <c r="O26" s="274" t="n">
        <f aca="false">IF(O8&lt;Assumptions!$G$34,Assumptions!$G$42*Assumptions!$G$41,IF(AND(O8&gt;Assumptions!$G$34,N8&lt;Assumptions!$G$34),Assumptions!$G$42*Assumptions!$G$41*(1-$C$6),0))</f>
        <v>80.5732263674459</v>
      </c>
      <c r="P26" s="274" t="n">
        <f aca="false">IF(P8&lt;Assumptions!$G$34,Assumptions!$G$42*Assumptions!$G$41,IF(AND(P8&gt;Assumptions!$G$34,O8&lt;Assumptions!$G$34),Assumptions!$G$42*Assumptions!$G$41*(1-$C$6),0))</f>
        <v>80.5732263674459</v>
      </c>
      <c r="Q26" s="274" t="n">
        <f aca="false">IF(Q8&lt;Assumptions!$G$34,Assumptions!$G$42*Assumptions!$G$41,IF(AND(Q8&gt;Assumptions!$G$34,P8&lt;Assumptions!$G$34),Assumptions!$G$42*Assumptions!$G$41*(1-$C$6),0))</f>
        <v>80.5732263674459</v>
      </c>
      <c r="R26" s="274" t="n">
        <f aca="false">IF(R8&lt;Assumptions!$G$34,Assumptions!$G$42*Assumptions!$G$41,IF(AND(R8&gt;Assumptions!$G$34,Q8&lt;Assumptions!$G$34),Assumptions!$G$42*Assumptions!$G$41*(1-$C$6),0))</f>
        <v>80.5732263674459</v>
      </c>
      <c r="S26" s="274" t="n">
        <f aca="false">IF(S8&lt;Assumptions!$G$34,Assumptions!$G$42*Assumptions!$G$41,IF(AND(S8&gt;Assumptions!$G$34,R8&lt;Assumptions!$G$34),Assumptions!$G$42*Assumptions!$G$41*(1-$C$6),0))</f>
        <v>80.5732263674459</v>
      </c>
      <c r="T26" s="274" t="n">
        <f aca="false">IF(T8&lt;Assumptions!$G$34,Assumptions!$G$42*Assumptions!$G$41,IF(AND(T8&gt;Assumptions!$G$34,S8&lt;Assumptions!$G$34),Assumptions!$G$42*Assumptions!$G$41*(1-$C$6),0))</f>
        <v>80.5732263674459</v>
      </c>
      <c r="U26" s="274" t="n">
        <f aca="false">IF(U8&lt;Assumptions!$G$34,Assumptions!$G$42*Assumptions!$G$41,IF(AND(U8&gt;Assumptions!$G$34,T8&lt;Assumptions!$G$34),Assumptions!$G$42*Assumptions!$G$41*(1-$C$6),0))</f>
        <v>80.5732263674459</v>
      </c>
      <c r="V26" s="274" t="n">
        <f aca="false">IF(V8&lt;Assumptions!$G$34,Assumptions!$G$42*Assumptions!$G$41,IF(AND(V8&gt;Assumptions!$G$34,U8&lt;Assumptions!$G$34),Assumptions!$G$42*Assumptions!$G$41*(1-$C$6),0))</f>
        <v>80.5732263674459</v>
      </c>
      <c r="W26" s="274" t="n">
        <f aca="false">IF(W8&lt;Assumptions!$G$34,Assumptions!$G$42*Assumptions!$G$41,IF(AND(W8&gt;Assumptions!$G$34,V8&lt;Assumptions!$G$34),Assumptions!$G$42*Assumptions!$G$41*(1-$C$6),0))</f>
        <v>26.857742122482</v>
      </c>
      <c r="X26" s="274" t="n">
        <f aca="false">IF(X8&lt;Assumptions!$G$34,Assumptions!$G$42*Assumptions!$G$41,IF(AND(X8&gt;Assumptions!$G$34,W8&lt;Assumptions!$G$34),Assumptions!$G$42*Assumptions!$G$41*(1-$C$6),0))</f>
        <v>0</v>
      </c>
      <c r="Y26" s="274" t="n">
        <f aca="false">IF(Y8&lt;Assumptions!$G$34,Assumptions!$G$42*Assumptions!$G$41,IF(AND(Y8&gt;Assumptions!$G$34,X8&lt;Assumptions!$G$34),Assumptions!$G$42*Assumptions!$G$41*(1-$C$6),0))</f>
        <v>0</v>
      </c>
      <c r="Z26" s="274" t="n">
        <f aca="false">IF(Z8&lt;Assumptions!$G$34,Assumptions!$G$42*Assumptions!$G$41,IF(AND(Z8&gt;Assumptions!$G$34,Y8&lt;Assumptions!$G$34),Assumptions!$G$42*Assumptions!$G$41*(1-$C$6),0))</f>
        <v>0</v>
      </c>
      <c r="AA26" s="274" t="n">
        <f aca="false">IF(AA8&lt;Assumptions!$G$34,Assumptions!$G$42*Assumptions!$G$41,IF(AND(AA8&gt;Assumptions!$G$34,Z8&lt;Assumptions!$G$34),Assumptions!$G$42*Assumptions!$G$41*(1-$C$6),0))</f>
        <v>0</v>
      </c>
      <c r="AB26" s="274" t="n">
        <f aca="false">IF(AB8&lt;Assumptions!$G$34,Assumptions!$G$42*Assumptions!$G$41,IF(AND(AB8&gt;Assumptions!$G$34,AA8&lt;Assumptions!$G$34),Assumptions!$G$42*Assumptions!$G$41*(1-$C$6),0))</f>
        <v>0</v>
      </c>
      <c r="AC26" s="274" t="n">
        <f aca="false">IF(AC8&lt;Assumptions!$G$34,Assumptions!$G$42*Assumptions!$G$41,IF(AND(AC8&gt;Assumptions!$G$34,AB8&lt;Assumptions!$G$34),Assumptions!$G$42*Assumptions!$G$41*(1-$C$6),0))</f>
        <v>0</v>
      </c>
      <c r="AD26" s="274" t="n">
        <f aca="false">IF(AD8&lt;Assumptions!$G$34,Assumptions!$G$42*Assumptions!$G$41,IF(AND(AD8&gt;Assumptions!$G$34,AC8&lt;Assumptions!$G$34),Assumptions!$G$42*Assumptions!$G$41*(1-$C$6),0))</f>
        <v>0</v>
      </c>
      <c r="AE26" s="274" t="n">
        <f aca="false">IF(AE8&lt;Assumptions!$G$34,Assumptions!$G$42*Assumptions!$G$41,IF(AND(AE8&gt;Assumptions!$G$34,AD8&lt;Assumptions!$G$34),Assumptions!$G$42*Assumptions!$G$41*(1-$C$6),0))</f>
        <v>0</v>
      </c>
      <c r="AF26" s="274" t="n">
        <f aca="false">IF(AF8&lt;Assumptions!$G$34,Assumptions!$G$42*Assumptions!$G$41,IF(AND(AF8&gt;Assumptions!$G$34,AE8&lt;Assumptions!$G$34),Assumptions!$G$42*Assumptions!$G$41*(1-$C$6),0))</f>
        <v>0</v>
      </c>
      <c r="AG26" s="274" t="n">
        <f aca="false">IF(AG8&lt;Assumptions!$G$34,Assumptions!$G$42*Assumptions!$G$41,IF(AND(AG8&gt;Assumptions!$G$34,AF8&lt;Assumptions!$G$34),Assumptions!$G$42*Assumptions!$G$41*(1-$C$6),0))</f>
        <v>0</v>
      </c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</row>
    <row r="27" customFormat="false" ht="12.75" hidden="false" customHeight="false" outlineLevel="0" collapsed="false">
      <c r="A27" s="31" t="s">
        <v>157</v>
      </c>
      <c r="C27" s="274" t="n">
        <f aca="false">Assumptions!$O$23*Assumptions!$H$68*Assumptions!H18/12</f>
        <v>0</v>
      </c>
      <c r="D27" s="274" t="n">
        <f aca="false">Assumptions!$O$23*Assumptions!$H$68*(1+Assumptions!$N$11)</f>
        <v>0</v>
      </c>
      <c r="E27" s="274" t="n">
        <f aca="false">Assumptions!$O$23*Assumptions!$H$68*(1+Assumptions!$N$11)</f>
        <v>0</v>
      </c>
      <c r="F27" s="274" t="n">
        <f aca="false">Assumptions!$O$23*Assumptions!$H$68*(1+Assumptions!$N$11)</f>
        <v>0</v>
      </c>
      <c r="G27" s="274" t="n">
        <f aca="false">Assumptions!$O$23*Assumptions!$H$68*(1+Assumptions!$N$11)</f>
        <v>0</v>
      </c>
      <c r="H27" s="274" t="n">
        <f aca="false">Assumptions!$O$23*Assumptions!$H$68*(1+Assumptions!$N$11)</f>
        <v>0</v>
      </c>
      <c r="I27" s="274" t="n">
        <f aca="false">Assumptions!$O$23*Assumptions!$H$68*(1+Assumptions!$N$11)</f>
        <v>0</v>
      </c>
      <c r="J27" s="274" t="n">
        <f aca="false">Assumptions!$O$23*Assumptions!$H$68*(1+Assumptions!$N$11)</f>
        <v>0</v>
      </c>
      <c r="K27" s="274" t="n">
        <f aca="false">Assumptions!$O$23*Assumptions!$H$68*(1+Assumptions!$N$11)</f>
        <v>0</v>
      </c>
      <c r="L27" s="274" t="n">
        <f aca="false">Assumptions!$O$23*Assumptions!$H$68*(1+Assumptions!$N$11)</f>
        <v>0</v>
      </c>
      <c r="M27" s="274" t="n">
        <f aca="false">Assumptions!$O$23*Assumptions!$H$68*(1+Assumptions!$N$11)</f>
        <v>0</v>
      </c>
      <c r="N27" s="274" t="n">
        <f aca="false">Assumptions!$O$23*Assumptions!$H$68*(1+Assumptions!$N$11)</f>
        <v>0</v>
      </c>
      <c r="O27" s="274" t="n">
        <f aca="false">Assumptions!$O$23*Assumptions!$H$68*(1+Assumptions!$N$11)</f>
        <v>0</v>
      </c>
      <c r="P27" s="274" t="n">
        <f aca="false">Assumptions!$O$23*Assumptions!$H$68*(1+Assumptions!$N$11)</f>
        <v>0</v>
      </c>
      <c r="Q27" s="274" t="n">
        <f aca="false">Assumptions!$O$23*Assumptions!$H$68*(1+Assumptions!$N$11)</f>
        <v>0</v>
      </c>
      <c r="R27" s="274" t="n">
        <f aca="false">Assumptions!$O$23*Assumptions!$H$68*(1+Assumptions!$N$11)</f>
        <v>0</v>
      </c>
      <c r="S27" s="274" t="n">
        <f aca="false">Assumptions!$O$23*Assumptions!$H$68*(1+Assumptions!$N$11)</f>
        <v>0</v>
      </c>
      <c r="T27" s="274" t="n">
        <f aca="false">Assumptions!$O$23*Assumptions!$H$68*(1+Assumptions!$N$11)</f>
        <v>0</v>
      </c>
      <c r="U27" s="274" t="n">
        <f aca="false">Assumptions!$O$23*Assumptions!$H$68*(1+Assumptions!$N$11)</f>
        <v>0</v>
      </c>
      <c r="V27" s="274" t="n">
        <f aca="false">Assumptions!$O$23*Assumptions!$H$68*(1+Assumptions!$N$11)</f>
        <v>0</v>
      </c>
      <c r="W27" s="274" t="n">
        <f aca="false">Assumptions!$O$23*Assumptions!$H$68*(1+Assumptions!$N$11)</f>
        <v>0</v>
      </c>
      <c r="X27" s="274" t="n">
        <f aca="false">Assumptions!$O$23*Assumptions!$H$68*(1+Assumptions!$N$11)</f>
        <v>0</v>
      </c>
      <c r="Y27" s="274" t="n">
        <f aca="false">Assumptions!$O$23*Assumptions!$H$68*(1+Assumptions!$N$11)</f>
        <v>0</v>
      </c>
      <c r="Z27" s="274" t="n">
        <f aca="false">Assumptions!$O$23*Assumptions!$H$68*(1+Assumptions!$N$11)</f>
        <v>0</v>
      </c>
      <c r="AA27" s="274" t="n">
        <f aca="false">Assumptions!$O$23*Assumptions!$H$68*(1+Assumptions!$N$11)</f>
        <v>0</v>
      </c>
      <c r="AB27" s="274" t="n">
        <f aca="false">Assumptions!$O$23*Assumptions!$H$68*(1+Assumptions!$N$11)</f>
        <v>0</v>
      </c>
      <c r="AC27" s="274" t="n">
        <f aca="false">Assumptions!$O$23*Assumptions!$H$68*(1+Assumptions!$N$11)</f>
        <v>0</v>
      </c>
      <c r="AD27" s="274" t="n">
        <f aca="false">Assumptions!$O$23*Assumptions!$H$68*(1+Assumptions!$N$11)</f>
        <v>0</v>
      </c>
      <c r="AE27" s="274" t="n">
        <f aca="false">Assumptions!$O$23*Assumptions!$H$68*(1+Assumptions!$N$11)</f>
        <v>0</v>
      </c>
      <c r="AF27" s="274" t="n">
        <f aca="false">Assumptions!$O$23*Assumptions!$H$68*(1+Assumptions!$N$11)</f>
        <v>0</v>
      </c>
      <c r="AG27" s="274" t="n">
        <f aca="false">Assumptions!$O$23*Assumptions!$H$68*(1+Assumptions!$N$11)</f>
        <v>0</v>
      </c>
    </row>
    <row r="28" customFormat="false" ht="12.75" hidden="false" customHeight="false" outlineLevel="0" collapsed="false">
      <c r="A28" s="143" t="s">
        <v>287</v>
      </c>
      <c r="C28" s="274" t="n">
        <f aca="false">Assumptions!$N24*Assumptions!H18/12</f>
        <v>0</v>
      </c>
      <c r="D28" s="274" t="n">
        <f aca="false">Assumptions!$N24*(1+Assumptions!$N$11)</f>
        <v>0</v>
      </c>
      <c r="E28" s="274" t="n">
        <f aca="false">D28*(1+Assumptions!$N$11)</f>
        <v>0</v>
      </c>
      <c r="F28" s="274" t="n">
        <f aca="false">E28*(1+Assumptions!$N$11)</f>
        <v>0</v>
      </c>
      <c r="G28" s="274" t="n">
        <f aca="false">F28*(1+Assumptions!$N$11)</f>
        <v>0</v>
      </c>
      <c r="H28" s="274" t="n">
        <f aca="false">G28*(1+Assumptions!$N$11)</f>
        <v>0</v>
      </c>
      <c r="I28" s="274" t="n">
        <f aca="false">H28*(1+Assumptions!$N$11)</f>
        <v>0</v>
      </c>
      <c r="J28" s="274" t="n">
        <f aca="false">I28*(1+Assumptions!$N$11)</f>
        <v>0</v>
      </c>
      <c r="K28" s="274" t="n">
        <f aca="false">J28*(1+Assumptions!$N$11)</f>
        <v>0</v>
      </c>
      <c r="L28" s="274" t="n">
        <f aca="false">K28*(1+Assumptions!$N$11)</f>
        <v>0</v>
      </c>
      <c r="M28" s="274" t="n">
        <f aca="false">L28*(1+Assumptions!$N$11)</f>
        <v>0</v>
      </c>
      <c r="N28" s="274" t="n">
        <f aca="false">M28*(1+Assumptions!$N$11)</f>
        <v>0</v>
      </c>
      <c r="O28" s="274" t="n">
        <f aca="false">N28*(1+Assumptions!$N$11)</f>
        <v>0</v>
      </c>
      <c r="P28" s="274" t="n">
        <f aca="false">O28*(1+Assumptions!$N$11)</f>
        <v>0</v>
      </c>
      <c r="Q28" s="274" t="n">
        <f aca="false">P28*(1+Assumptions!$N$11)</f>
        <v>0</v>
      </c>
      <c r="R28" s="274" t="n">
        <f aca="false">Q28*(1+Assumptions!$N$11)</f>
        <v>0</v>
      </c>
      <c r="S28" s="274" t="n">
        <f aca="false">R28*(1+Assumptions!$N$11)</f>
        <v>0</v>
      </c>
      <c r="T28" s="274" t="n">
        <f aca="false">S28*(1+Assumptions!$N$11)</f>
        <v>0</v>
      </c>
      <c r="U28" s="274" t="n">
        <f aca="false">T28*(1+Assumptions!$N$11)</f>
        <v>0</v>
      </c>
      <c r="V28" s="274" t="n">
        <f aca="false">U28*(1+Assumptions!$N$11)</f>
        <v>0</v>
      </c>
      <c r="W28" s="274" t="n">
        <f aca="false">V28*(1+Assumptions!$N$11)</f>
        <v>0</v>
      </c>
      <c r="X28" s="274" t="n">
        <f aca="false">W28*(1+Assumptions!$N$11)</f>
        <v>0</v>
      </c>
      <c r="Y28" s="274" t="n">
        <f aca="false">X28*(1+Assumptions!$N$11)</f>
        <v>0</v>
      </c>
      <c r="Z28" s="274" t="n">
        <f aca="false">Y28*(1+Assumptions!$N$11)</f>
        <v>0</v>
      </c>
      <c r="AA28" s="274" t="n">
        <f aca="false">Z28*(1+Assumptions!$N$11)</f>
        <v>0</v>
      </c>
      <c r="AB28" s="274" t="n">
        <f aca="false">AA28*(1+Assumptions!$N$11)</f>
        <v>0</v>
      </c>
      <c r="AC28" s="274" t="n">
        <f aca="false">AB28*(1+Assumptions!$N$11)</f>
        <v>0</v>
      </c>
      <c r="AD28" s="274" t="n">
        <f aca="false">AC28*(1+Assumptions!$N$11)</f>
        <v>0</v>
      </c>
      <c r="AE28" s="274" t="n">
        <f aca="false">AD28*(1+Assumptions!$N$11)</f>
        <v>0</v>
      </c>
      <c r="AF28" s="274" t="n">
        <f aca="false">AE28*(1+Assumptions!$N$11)</f>
        <v>0</v>
      </c>
      <c r="AG28" s="274" t="n">
        <f aca="false">AF28*(1+Assumptions!$N$11)</f>
        <v>0</v>
      </c>
    </row>
    <row r="29" customFormat="false" ht="12.75" hidden="false" customHeight="false" outlineLevel="0" collapsed="false">
      <c r="A29" s="143" t="s">
        <v>288</v>
      </c>
      <c r="C29" s="280" t="n">
        <f aca="false">Assumptions!$N25*Assumptions!H18/12</f>
        <v>84</v>
      </c>
      <c r="D29" s="280" t="n">
        <f aca="false">Assumptions!$N25*(1+Assumptions!$N$11)</f>
        <v>129.78</v>
      </c>
      <c r="E29" s="280" t="n">
        <f aca="false">D29*(1+Assumptions!$N$11)</f>
        <v>133.6734</v>
      </c>
      <c r="F29" s="280" t="n">
        <f aca="false">E29*(1+Assumptions!$N$11)</f>
        <v>137.683602</v>
      </c>
      <c r="G29" s="280" t="n">
        <f aca="false">F29*(1+Assumptions!$N$11)</f>
        <v>141.81411006</v>
      </c>
      <c r="H29" s="280" t="n">
        <f aca="false">G29*(1+Assumptions!$N$11)</f>
        <v>146.0685333618</v>
      </c>
      <c r="I29" s="280" t="n">
        <f aca="false">H29*(1+Assumptions!$N$11)</f>
        <v>150.450589362654</v>
      </c>
      <c r="J29" s="280" t="n">
        <f aca="false">I29*(1+Assumptions!$N$11)</f>
        <v>154.964107043534</v>
      </c>
      <c r="K29" s="280" t="n">
        <f aca="false">J29*(1+Assumptions!$N$11)</f>
        <v>159.61303025484</v>
      </c>
      <c r="L29" s="280" t="n">
        <f aca="false">K29*(1+Assumptions!$N$11)</f>
        <v>164.401421162485</v>
      </c>
      <c r="M29" s="280" t="n">
        <f aca="false">L29*(1+Assumptions!$N$11)</f>
        <v>169.333463797359</v>
      </c>
      <c r="N29" s="280" t="n">
        <f aca="false">M29*(1+Assumptions!$N$11)</f>
        <v>174.41346771128</v>
      </c>
      <c r="O29" s="280" t="n">
        <f aca="false">N29*(1+Assumptions!$N$11)</f>
        <v>179.645871742619</v>
      </c>
      <c r="P29" s="280" t="n">
        <f aca="false">O29*(1+Assumptions!$N$11)</f>
        <v>185.035247894897</v>
      </c>
      <c r="Q29" s="280" t="n">
        <f aca="false">P29*(1+Assumptions!$N$11)</f>
        <v>190.586305331744</v>
      </c>
      <c r="R29" s="280" t="n">
        <f aca="false">Q29*(1+Assumptions!$N$11)</f>
        <v>196.303894491696</v>
      </c>
      <c r="S29" s="280" t="n">
        <f aca="false">R29*(1+Assumptions!$N$11)</f>
        <v>202.193011326447</v>
      </c>
      <c r="T29" s="280" t="n">
        <f aca="false">S29*(1+Assumptions!$N$11)</f>
        <v>208.258801666241</v>
      </c>
      <c r="U29" s="280" t="n">
        <f aca="false">T29*(1+Assumptions!$N$11)</f>
        <v>214.506565716228</v>
      </c>
      <c r="V29" s="280" t="n">
        <f aca="false">U29*(1+Assumptions!$N$11)</f>
        <v>220.941762687715</v>
      </c>
      <c r="W29" s="280" t="n">
        <f aca="false">V29*(1+Assumptions!$N$11)</f>
        <v>227.570015568346</v>
      </c>
      <c r="X29" s="280" t="n">
        <f aca="false">W29*(1+Assumptions!$N$11)</f>
        <v>234.397116035397</v>
      </c>
      <c r="Y29" s="280" t="n">
        <f aca="false">X29*(1+Assumptions!$N$11)</f>
        <v>241.429029516459</v>
      </c>
      <c r="Z29" s="280" t="n">
        <f aca="false">Y29*(1+Assumptions!$N$11)</f>
        <v>248.671900401952</v>
      </c>
      <c r="AA29" s="280" t="n">
        <f aca="false">Z29*(1+Assumptions!$N$11)</f>
        <v>256.132057414011</v>
      </c>
      <c r="AB29" s="280" t="n">
        <f aca="false">AA29*(1+Assumptions!$N$11)</f>
        <v>263.816019136431</v>
      </c>
      <c r="AC29" s="280" t="n">
        <f aca="false">AB29*(1+Assumptions!$N$11)</f>
        <v>271.730499710524</v>
      </c>
      <c r="AD29" s="280" t="n">
        <f aca="false">AC29*(1+Assumptions!$N$11)</f>
        <v>279.88241470184</v>
      </c>
      <c r="AE29" s="280" t="n">
        <f aca="false">AD29*(1+Assumptions!$N$11)</f>
        <v>288.278887142895</v>
      </c>
      <c r="AF29" s="280" t="n">
        <f aca="false">AE29*(1+Assumptions!$N$11)</f>
        <v>296.927253757182</v>
      </c>
      <c r="AG29" s="280" t="n">
        <f aca="false">AF29*(1+Assumptions!$N$11)</f>
        <v>305.835071369898</v>
      </c>
    </row>
    <row r="30" customFormat="false" ht="12.75" hidden="false" customHeight="false" outlineLevel="0" collapsed="false">
      <c r="A30" s="143" t="s">
        <v>289</v>
      </c>
      <c r="C30" s="263" t="n">
        <f aca="false">SUM(C16:C29)</f>
        <v>2314.00946400308</v>
      </c>
      <c r="D30" s="263" t="n">
        <f aca="false">SUM(D16:D29)</f>
        <v>2682.73802263497</v>
      </c>
      <c r="E30" s="263" t="n">
        <f aca="false">SUM(E16:E29)</f>
        <v>2725.121986973</v>
      </c>
      <c r="F30" s="263" t="n">
        <f aca="false">SUM(F16:F29)</f>
        <v>2768.69587024116</v>
      </c>
      <c r="G30" s="263" t="n">
        <f aca="false">SUM(G16:G29)</f>
        <v>2813.49373800737</v>
      </c>
      <c r="H30" s="263" t="n">
        <f aca="false">SUM(H16:H29)</f>
        <v>2859.55064516657</v>
      </c>
      <c r="I30" s="263" t="n">
        <f aca="false">SUM(I16:I29)</f>
        <v>2906.90266496775</v>
      </c>
      <c r="J30" s="263" t="n">
        <f aca="false">SUM(J16:J29)</f>
        <v>2955.5869188987</v>
      </c>
      <c r="K30" s="263" t="n">
        <f aca="false">SUM(K16:K29)</f>
        <v>3005.64160745404</v>
      </c>
      <c r="L30" s="263" t="n">
        <f aca="false">SUM(L16:L29)</f>
        <v>3057.10604181263</v>
      </c>
      <c r="M30" s="263" t="n">
        <f aca="false">SUM(M16:M29)</f>
        <v>3110.02067645149</v>
      </c>
      <c r="N30" s="263" t="n">
        <f aca="false">SUM(N16:N29)</f>
        <v>3164.42714272404</v>
      </c>
      <c r="O30" s="263" t="n">
        <f aca="false">SUM(O16:O29)</f>
        <v>3220.36828343115</v>
      </c>
      <c r="P30" s="263" t="n">
        <f aca="false">SUM(P16:P29)</f>
        <v>3277.88818841482</v>
      </c>
      <c r="Q30" s="263" t="n">
        <f aca="false">SUM(Q16:Q29)</f>
        <v>3337.03223120442</v>
      </c>
      <c r="R30" s="263" t="n">
        <f aca="false">SUM(R16:R29)</f>
        <v>3397.84710674728</v>
      </c>
      <c r="S30" s="263" t="n">
        <f aca="false">SUM(S16:S29)</f>
        <v>3460.38087025538</v>
      </c>
      <c r="T30" s="263" t="n">
        <f aca="false">SUM(T16:T29)</f>
        <v>3524.68297720165</v>
      </c>
      <c r="U30" s="263" t="n">
        <f aca="false">SUM(U16:U29)</f>
        <v>3590.80432449991</v>
      </c>
      <c r="V30" s="263" t="n">
        <f aca="false">SUM(V16:V29)</f>
        <v>3658.79729290358</v>
      </c>
      <c r="W30" s="263" t="n">
        <f aca="false">SUM(W16:W29)</f>
        <v>3675.00030641459</v>
      </c>
      <c r="X30" s="263" t="n">
        <f aca="false">SUM(X16:X29)</f>
        <v>3720.04207208696</v>
      </c>
      <c r="Y30" s="263" t="n">
        <f aca="false">SUM(Y16:Y29)</f>
        <v>3793.97968932397</v>
      </c>
      <c r="Z30" s="263" t="n">
        <f aca="false">SUM(Z16:Z29)</f>
        <v>3870.01418177059</v>
      </c>
      <c r="AA30" s="263" t="n">
        <f aca="false">SUM(AA16:AA29)</f>
        <v>3948.20603061694</v>
      </c>
      <c r="AB30" s="263" t="n">
        <f aca="false">SUM(AB16:AB29)</f>
        <v>4028.61748298755</v>
      </c>
      <c r="AC30" s="263" t="n">
        <f aca="false">SUM(AC16:AC29)</f>
        <v>4111.31260394932</v>
      </c>
      <c r="AD30" s="263" t="n">
        <f aca="false">SUM(AD16:AD29)</f>
        <v>4196.35733006038</v>
      </c>
      <c r="AE30" s="263" t="n">
        <f aca="false">SUM(AE16:AE29)</f>
        <v>4283.81952450563</v>
      </c>
      <c r="AF30" s="263" t="n">
        <f aca="false">SUM(AF16:AF29)</f>
        <v>4373.7690338661</v>
      </c>
      <c r="AG30" s="263" t="n">
        <f aca="false">SUM(AG16:AG29)</f>
        <v>4466.27774657089</v>
      </c>
    </row>
    <row r="31" customFormat="false" ht="12.75" hidden="false" customHeight="false" outlineLevel="0" collapsed="false">
      <c r="A31" s="281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</row>
    <row r="32" customFormat="false" ht="12.75" hidden="false" customHeight="false" outlineLevel="0" collapsed="false">
      <c r="A32" s="273" t="s">
        <v>290</v>
      </c>
      <c r="C32" s="283" t="n">
        <f aca="false">C13-C30</f>
        <v>464.997182421703</v>
      </c>
      <c r="D32" s="283" t="n">
        <f aca="false">D13-D30</f>
        <v>862.437843632555</v>
      </c>
      <c r="E32" s="283" t="n">
        <f aca="false">E13-E30</f>
        <v>826.408175732553</v>
      </c>
      <c r="F32" s="283" t="n">
        <f aca="false">F13-F30</f>
        <v>1443.48706911222</v>
      </c>
      <c r="G32" s="283" t="n">
        <f aca="false">G13-G30</f>
        <v>1720.18821634619</v>
      </c>
      <c r="H32" s="283" t="n">
        <f aca="false">H13-H30</f>
        <v>1721.82330418248</v>
      </c>
      <c r="I32" s="283" t="n">
        <f aca="false">I13-I30</f>
        <v>1721.89251470409</v>
      </c>
      <c r="J32" s="283" t="n">
        <f aca="false">J13-J30</f>
        <v>1720.29955774738</v>
      </c>
      <c r="K32" s="283" t="n">
        <f aca="false">K13-K30</f>
        <v>1778.92048394143</v>
      </c>
      <c r="L32" s="283" t="n">
        <f aca="false">L13-L30</f>
        <v>1775.55590475585</v>
      </c>
      <c r="M32" s="283" t="n">
        <f aca="false">M13-M30</f>
        <v>1836.02014896404</v>
      </c>
      <c r="N32" s="283" t="n">
        <f aca="false">N13-N30</f>
        <v>1830.67028577877</v>
      </c>
      <c r="O32" s="283" t="n">
        <f aca="false">O13-O30</f>
        <v>1892.98108837674</v>
      </c>
      <c r="P32" s="283" t="n">
        <f aca="false">P13-P30</f>
        <v>1885.41267306669</v>
      </c>
      <c r="Q32" s="283" t="n">
        <f aca="false">Q13-Q30</f>
        <v>1875.563224283</v>
      </c>
      <c r="R32" s="283" t="n">
        <f aca="false">R13-R30</f>
        <v>1863.30167699757</v>
      </c>
      <c r="S32" s="283" t="n">
        <f aca="false">S13-S30</f>
        <v>1848.49113491891</v>
      </c>
      <c r="T32" s="283" t="n">
        <f aca="false">T13-T30</f>
        <v>1830.98863816897</v>
      </c>
      <c r="U32" s="283" t="n">
        <f aca="false">U13-U30</f>
        <v>1810.64492226067</v>
      </c>
      <c r="V32" s="283" t="n">
        <f aca="false">V13-V30</f>
        <v>1787.30416806302</v>
      </c>
      <c r="W32" s="283" t="n">
        <f aca="false">W13-W30</f>
        <v>-895.309866115361</v>
      </c>
      <c r="X32" s="283" t="n">
        <f aca="false">X13-X30</f>
        <v>-2284.12388091569</v>
      </c>
      <c r="Y32" s="283" t="n">
        <f aca="false">Y13-Y30</f>
        <v>-2346.58493196757</v>
      </c>
      <c r="Z32" s="283" t="n">
        <f aca="false">Z13-Z30</f>
        <v>-2410.79856124349</v>
      </c>
      <c r="AA32" s="283" t="n">
        <f aca="false">AA13-AA30</f>
        <v>-2476.81492102403</v>
      </c>
      <c r="AB32" s="283" t="n">
        <f aca="false">AB13-AB30</f>
        <v>-2544.68561965685</v>
      </c>
      <c r="AC32" s="283" t="n">
        <f aca="false">AC13-AC30</f>
        <v>-2614.4637642687</v>
      </c>
      <c r="AD32" s="283" t="n">
        <f aca="false">AD13-AD30</f>
        <v>-2686.20400473934</v>
      </c>
      <c r="AE32" s="283" t="n">
        <f aca="false">AE13-AE30</f>
        <v>-2759.96257897496</v>
      </c>
      <c r="AF32" s="283" t="n">
        <f aca="false">AF13-AF30</f>
        <v>-2835.79735951951</v>
      </c>
      <c r="AG32" s="283" t="n">
        <f aca="false">AG13-AG30</f>
        <v>-2913.7679015439</v>
      </c>
    </row>
    <row r="33" customFormat="false" ht="12.75" hidden="false" customHeight="false" outlineLevel="0" collapsed="false">
      <c r="A33" s="273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</row>
    <row r="34" customFormat="false" ht="12.75" hidden="false" customHeight="false" outlineLevel="0" collapsed="false">
      <c r="A34" s="143" t="s">
        <v>291</v>
      </c>
      <c r="C34" s="263" t="n">
        <f aca="false">Depreciation!D48</f>
        <v>844.189279400936</v>
      </c>
      <c r="D34" s="263" t="n">
        <f aca="false">Depreciation!E48</f>
        <v>1266.2839191014</v>
      </c>
      <c r="E34" s="263" t="n">
        <f aca="false">Depreciation!F48</f>
        <v>1266.2839191014</v>
      </c>
      <c r="F34" s="263" t="n">
        <f aca="false">Depreciation!G48</f>
        <v>1266.2839191014</v>
      </c>
      <c r="G34" s="263" t="n">
        <f aca="false">Depreciation!H48</f>
        <v>1266.2839191014</v>
      </c>
      <c r="H34" s="263" t="n">
        <f aca="false">Depreciation!I48</f>
        <v>963.347652434737</v>
      </c>
      <c r="I34" s="263" t="n">
        <f aca="false">Depreciation!J48</f>
        <v>811.879519101404</v>
      </c>
      <c r="J34" s="263" t="n">
        <f aca="false">Depreciation!K48</f>
        <v>811.879519101404</v>
      </c>
      <c r="K34" s="263" t="n">
        <f aca="false">Depreciation!L48</f>
        <v>811.879519101404</v>
      </c>
      <c r="L34" s="263" t="n">
        <f aca="false">Depreciation!M48</f>
        <v>811.879519101404</v>
      </c>
      <c r="M34" s="263" t="n">
        <f aca="false">Depreciation!N48</f>
        <v>811.879519101404</v>
      </c>
      <c r="N34" s="263" t="n">
        <f aca="false">Depreciation!O48</f>
        <v>811.879519101404</v>
      </c>
      <c r="O34" s="263" t="n">
        <f aca="false">Depreciation!P48</f>
        <v>811.879519101404</v>
      </c>
      <c r="P34" s="263" t="n">
        <f aca="false">Depreciation!Q48</f>
        <v>811.879519101404</v>
      </c>
      <c r="Q34" s="263" t="n">
        <f aca="false">Depreciation!R48</f>
        <v>811.879519101404</v>
      </c>
      <c r="R34" s="263" t="n">
        <f aca="false">Depreciation!S48</f>
        <v>811.879519101404</v>
      </c>
      <c r="S34" s="263" t="n">
        <f aca="false">Depreciation!T48</f>
        <v>811.879519101404</v>
      </c>
      <c r="T34" s="263" t="n">
        <f aca="false">Depreciation!U48</f>
        <v>811.879519101404</v>
      </c>
      <c r="U34" s="263" t="n">
        <f aca="false">Depreciation!V48</f>
        <v>811.879519101404</v>
      </c>
      <c r="V34" s="263" t="n">
        <f aca="false">Depreciation!W48</f>
        <v>811.879519101404</v>
      </c>
      <c r="W34" s="263" t="n">
        <f aca="false">Depreciation!X48</f>
        <v>811.879519101404</v>
      </c>
      <c r="X34" s="263" t="n">
        <f aca="false">Depreciation!Y48</f>
        <v>811.879519101404</v>
      </c>
      <c r="Y34" s="263" t="n">
        <f aca="false">Depreciation!Z48</f>
        <v>811.879519101404</v>
      </c>
      <c r="Z34" s="263" t="n">
        <f aca="false">Depreciation!AA48</f>
        <v>811.879519101404</v>
      </c>
      <c r="AA34" s="263" t="n">
        <f aca="false">Depreciation!AB48</f>
        <v>811.879519101404</v>
      </c>
      <c r="AB34" s="263" t="n">
        <f aca="false">Depreciation!AC48</f>
        <v>811.879519101404</v>
      </c>
      <c r="AC34" s="263" t="n">
        <f aca="false">Depreciation!AD48</f>
        <v>811.879519101404</v>
      </c>
      <c r="AD34" s="263" t="n">
        <f aca="false">Depreciation!AE48</f>
        <v>811.879519101404</v>
      </c>
      <c r="AE34" s="263" t="n">
        <f aca="false">Depreciation!AF48</f>
        <v>811.879519101404</v>
      </c>
      <c r="AF34" s="263" t="n">
        <f aca="false">Depreciation!AG48</f>
        <v>811.879519101404</v>
      </c>
      <c r="AG34" s="263" t="n">
        <f aca="false">Depreciation!AH48</f>
        <v>270.626506367135</v>
      </c>
    </row>
    <row r="35" customFormat="false" ht="12.75" hidden="false" customHeight="false" outlineLevel="0" collapsed="false">
      <c r="A35" s="14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</row>
    <row r="36" customFormat="false" ht="12.75" hidden="false" customHeight="false" outlineLevel="0" collapsed="false">
      <c r="A36" s="273" t="s">
        <v>292</v>
      </c>
      <c r="C36" s="283" t="n">
        <f aca="false">C32-C34</f>
        <v>-379.192096979233</v>
      </c>
      <c r="D36" s="283" t="n">
        <f aca="false">D32-D34</f>
        <v>-403.846075468849</v>
      </c>
      <c r="E36" s="283" t="n">
        <f aca="false">E32-E34</f>
        <v>-439.87574336885</v>
      </c>
      <c r="F36" s="283" t="n">
        <f aca="false">F32-F34</f>
        <v>177.203150010817</v>
      </c>
      <c r="G36" s="283" t="n">
        <f aca="false">G32-G34</f>
        <v>453.904297244789</v>
      </c>
      <c r="H36" s="283" t="n">
        <f aca="false">H32-H34</f>
        <v>758.475651747739</v>
      </c>
      <c r="I36" s="283" t="n">
        <f aca="false">I32-I34</f>
        <v>910.012995602689</v>
      </c>
      <c r="J36" s="283" t="n">
        <f aca="false">J32-J34</f>
        <v>908.420038645979</v>
      </c>
      <c r="K36" s="283" t="n">
        <f aca="false">K32-K34</f>
        <v>967.040964840022</v>
      </c>
      <c r="L36" s="283" t="n">
        <f aca="false">L32-L34</f>
        <v>963.67638565445</v>
      </c>
      <c r="M36" s="283" t="n">
        <f aca="false">M32-M34</f>
        <v>1024.14062986264</v>
      </c>
      <c r="N36" s="283" t="n">
        <f aca="false">N32-N34</f>
        <v>1018.79076667737</v>
      </c>
      <c r="O36" s="283" t="n">
        <f aca="false">O32-O34</f>
        <v>1081.10156927533</v>
      </c>
      <c r="P36" s="283" t="n">
        <f aca="false">P32-P34</f>
        <v>1073.53315396529</v>
      </c>
      <c r="Q36" s="283" t="n">
        <f aca="false">Q32-Q34</f>
        <v>1063.68370518159</v>
      </c>
      <c r="R36" s="283" t="n">
        <f aca="false">R32-R34</f>
        <v>1051.42215789617</v>
      </c>
      <c r="S36" s="283" t="n">
        <f aca="false">S32-S34</f>
        <v>1036.6116158175</v>
      </c>
      <c r="T36" s="283" t="n">
        <f aca="false">T32-T34</f>
        <v>1019.10911906756</v>
      </c>
      <c r="U36" s="283" t="n">
        <f aca="false">U32-U34</f>
        <v>998.765403159262</v>
      </c>
      <c r="V36" s="283" t="n">
        <f aca="false">V32-V34</f>
        <v>975.424648961613</v>
      </c>
      <c r="W36" s="283" t="n">
        <f aca="false">W32-W34</f>
        <v>-1707.18938521677</v>
      </c>
      <c r="X36" s="283" t="n">
        <f aca="false">X32-X34</f>
        <v>-3096.00340001709</v>
      </c>
      <c r="Y36" s="283" t="n">
        <f aca="false">Y32-Y34</f>
        <v>-3158.46445106897</v>
      </c>
      <c r="Z36" s="283" t="n">
        <f aca="false">Z32-Z34</f>
        <v>-3222.67808034489</v>
      </c>
      <c r="AA36" s="283" t="n">
        <f aca="false">AA32-AA34</f>
        <v>-3288.69444012543</v>
      </c>
      <c r="AB36" s="283" t="n">
        <f aca="false">AB32-AB34</f>
        <v>-3356.56513875825</v>
      </c>
      <c r="AC36" s="283" t="n">
        <f aca="false">AC32-AC34</f>
        <v>-3426.3432833701</v>
      </c>
      <c r="AD36" s="283" t="n">
        <f aca="false">AD32-AD34</f>
        <v>-3498.08352384074</v>
      </c>
      <c r="AE36" s="283" t="n">
        <f aca="false">AE32-AE34</f>
        <v>-3571.84209807636</v>
      </c>
      <c r="AF36" s="283" t="n">
        <f aca="false">AF32-AF34</f>
        <v>-3647.67687862091</v>
      </c>
      <c r="AG36" s="283" t="n">
        <f aca="false">AG32-AG34</f>
        <v>-3184.39440791104</v>
      </c>
    </row>
    <row r="37" customFormat="false" ht="12.75" hidden="false" customHeight="false" outlineLevel="0" collapsed="false">
      <c r="A37" s="27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</row>
    <row r="38" customFormat="false" ht="12.75" hidden="false" customHeight="false" outlineLevel="0" collapsed="false">
      <c r="A38" s="143" t="s">
        <v>293</v>
      </c>
      <c r="C38" s="263" t="n">
        <f aca="false">Debt!B57</f>
        <v>622.025467417634</v>
      </c>
      <c r="D38" s="263" t="n">
        <f aca="false">Debt!C57</f>
        <v>952.370661183203</v>
      </c>
      <c r="E38" s="263" t="n">
        <f aca="false">Debt!D57</f>
        <v>978.925679756335</v>
      </c>
      <c r="F38" s="263" t="n">
        <f aca="false">Debt!E57</f>
        <v>992.750032833657</v>
      </c>
      <c r="G38" s="263" t="n">
        <f aca="false">Debt!F57</f>
        <v>981.133720108131</v>
      </c>
      <c r="H38" s="263" t="n">
        <f aca="false">Debt!G57</f>
        <v>954.564405468838</v>
      </c>
      <c r="I38" s="263" t="n">
        <f aca="false">Debt!H57</f>
        <v>923.428653916547</v>
      </c>
      <c r="J38" s="263" t="n">
        <f aca="false">Debt!I57</f>
        <v>889.795558551531</v>
      </c>
      <c r="K38" s="263" t="n">
        <f aca="false">Debt!J57</f>
        <v>851.742264619667</v>
      </c>
      <c r="L38" s="263" t="n">
        <f aca="false">Debt!K57</f>
        <v>808.823527101872</v>
      </c>
      <c r="M38" s="263" t="n">
        <f aca="false">Debt!L57</f>
        <v>760.441674995189</v>
      </c>
      <c r="N38" s="263" t="n">
        <f aca="false">Debt!M57</f>
        <v>706.285662799425</v>
      </c>
      <c r="O38" s="263" t="n">
        <f aca="false">Debt!N57</f>
        <v>645.497097056426</v>
      </c>
      <c r="P38" s="263" t="n">
        <f aca="false">Debt!O57</f>
        <v>577.961001739403</v>
      </c>
      <c r="Q38" s="263" t="n">
        <f aca="false">Debt!P57</f>
        <v>504.682543331023</v>
      </c>
      <c r="R38" s="263" t="n">
        <f aca="false">Debt!Q57</f>
        <v>426.029098330508</v>
      </c>
      <c r="S38" s="263" t="n">
        <f aca="false">Debt!R57</f>
        <v>341.317308371819</v>
      </c>
      <c r="T38" s="263" t="n">
        <f aca="false">Debt!S57</f>
        <v>250.66552545601</v>
      </c>
      <c r="U38" s="263" t="n">
        <f aca="false">Debt!T57</f>
        <v>153.524878332378</v>
      </c>
      <c r="V38" s="263" t="n">
        <f aca="false">Debt!U57</f>
        <v>50.878701386642</v>
      </c>
      <c r="W38" s="263" t="n">
        <f aca="false">Debt!V57</f>
        <v>7.29996523914427</v>
      </c>
      <c r="X38" s="263" t="n">
        <f aca="false">Debt!W57</f>
        <v>77.4878923696187</v>
      </c>
      <c r="Y38" s="263" t="n">
        <f aca="false">Debt!X57</f>
        <v>222.132562224051</v>
      </c>
      <c r="Z38" s="263" t="n">
        <f aca="false">Debt!Y57</f>
        <v>393.697858580873</v>
      </c>
      <c r="AA38" s="263" t="n">
        <f aca="false">Debt!Z57</f>
        <v>584.285902240358</v>
      </c>
      <c r="AB38" s="263" t="n">
        <f aca="false">Debt!AA57</f>
        <v>794.942158355672</v>
      </c>
      <c r="AC38" s="263" t="n">
        <f aca="false">Debt!AB57</f>
        <v>1027.82359293627</v>
      </c>
      <c r="AD38" s="263" t="n">
        <f aca="false">Debt!AC57</f>
        <v>1284.67087395231</v>
      </c>
      <c r="AE38" s="263" t="n">
        <f aca="false">Debt!AD57</f>
        <v>1568.29361251134</v>
      </c>
      <c r="AF38" s="263" t="n">
        <f aca="false">Debt!AE57</f>
        <v>1880.25315743207</v>
      </c>
      <c r="AG38" s="263" t="n">
        <f aca="false">Debt!AF57</f>
        <v>2281.98205481674</v>
      </c>
    </row>
    <row r="39" customFormat="false" ht="12" hidden="false" customHeight="true" outlineLevel="0" collapsed="false">
      <c r="A39" s="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</row>
    <row r="40" customFormat="false" ht="12.75" hidden="false" customHeight="false" outlineLevel="0" collapsed="false">
      <c r="A40" s="273" t="s">
        <v>294</v>
      </c>
      <c r="C40" s="283" t="n">
        <f aca="false">C36-C38</f>
        <v>-1001.21756439687</v>
      </c>
      <c r="D40" s="283" t="n">
        <f aca="false">D36-D38</f>
        <v>-1356.21673665205</v>
      </c>
      <c r="E40" s="283" t="n">
        <f aca="false">E36-E38</f>
        <v>-1418.80142312519</v>
      </c>
      <c r="F40" s="283" t="n">
        <f aca="false">F36-F38</f>
        <v>-815.54688282284</v>
      </c>
      <c r="G40" s="283" t="n">
        <f aca="false">G36-G38</f>
        <v>-527.229422863342</v>
      </c>
      <c r="H40" s="283" t="n">
        <f aca="false">H36-H38</f>
        <v>-196.088753721099</v>
      </c>
      <c r="I40" s="283" t="n">
        <f aca="false">I36-I38</f>
        <v>-13.415658313858</v>
      </c>
      <c r="J40" s="283" t="n">
        <f aca="false">J36-J38</f>
        <v>18.6244800944473</v>
      </c>
      <c r="K40" s="283" t="n">
        <f aca="false">K36-K38</f>
        <v>115.298700220355</v>
      </c>
      <c r="L40" s="283" t="n">
        <f aca="false">L36-L38</f>
        <v>154.852858552577</v>
      </c>
      <c r="M40" s="283" t="n">
        <f aca="false">M36-M38</f>
        <v>263.69895486745</v>
      </c>
      <c r="N40" s="283" t="n">
        <f aca="false">N36-N38</f>
        <v>312.505103877943</v>
      </c>
      <c r="O40" s="283" t="n">
        <f aca="false">O36-O38</f>
        <v>435.604472218906</v>
      </c>
      <c r="P40" s="283" t="n">
        <f aca="false">P36-P38</f>
        <v>495.572152225887</v>
      </c>
      <c r="Q40" s="283" t="n">
        <f aca="false">Q36-Q38</f>
        <v>559.00116185057</v>
      </c>
      <c r="R40" s="283" t="n">
        <f aca="false">R36-R38</f>
        <v>625.393059565658</v>
      </c>
      <c r="S40" s="283" t="n">
        <f aca="false">S36-S38</f>
        <v>695.294307445685</v>
      </c>
      <c r="T40" s="283" t="n">
        <f aca="false">T36-T38</f>
        <v>768.443593611552</v>
      </c>
      <c r="U40" s="283" t="n">
        <f aca="false">U36-U38</f>
        <v>845.240524826884</v>
      </c>
      <c r="V40" s="283" t="n">
        <f aca="false">V36-V38</f>
        <v>924.545947574971</v>
      </c>
      <c r="W40" s="283" t="n">
        <f aca="false">W36-W38</f>
        <v>-1714.48935045591</v>
      </c>
      <c r="X40" s="283" t="n">
        <f aca="false">X36-X38</f>
        <v>-3173.49129238671</v>
      </c>
      <c r="Y40" s="283" t="n">
        <f aca="false">Y36-Y38</f>
        <v>-3380.59701329302</v>
      </c>
      <c r="Z40" s="283" t="n">
        <f aca="false">Z36-Z38</f>
        <v>-3616.37593892577</v>
      </c>
      <c r="AA40" s="283" t="n">
        <f aca="false">AA36-AA38</f>
        <v>-3872.98034236579</v>
      </c>
      <c r="AB40" s="283" t="n">
        <f aca="false">AB36-AB38</f>
        <v>-4151.50729711392</v>
      </c>
      <c r="AC40" s="283" t="n">
        <f aca="false">AC36-AC38</f>
        <v>-4454.16687630636</v>
      </c>
      <c r="AD40" s="283" t="n">
        <f aca="false">AD36-AD38</f>
        <v>-4782.75439779306</v>
      </c>
      <c r="AE40" s="283" t="n">
        <f aca="false">AE36-AE38</f>
        <v>-5140.1357105877</v>
      </c>
      <c r="AF40" s="283" t="n">
        <f aca="false">AF36-AF38</f>
        <v>-5527.93003605299</v>
      </c>
      <c r="AG40" s="283" t="n">
        <f aca="false">AG36-AG38</f>
        <v>-5466.37646272778</v>
      </c>
    </row>
    <row r="41" customFormat="false" ht="12.75" hidden="false" customHeight="false" outlineLevel="0" collapsed="false">
      <c r="A41" s="27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</row>
    <row r="42" customFormat="false" ht="12.75" hidden="false" customHeight="false" outlineLevel="0" collapsed="false">
      <c r="A42" s="143" t="s">
        <v>295</v>
      </c>
      <c r="B42" s="284" t="n">
        <f aca="false">Assumptions!N51</f>
        <v>0.07</v>
      </c>
      <c r="C42" s="274" t="n">
        <f aca="false">-C40*$B$42</f>
        <v>70.0852295077807</v>
      </c>
      <c r="D42" s="274" t="n">
        <f aca="false">-D40*$B$42</f>
        <v>94.9351715656437</v>
      </c>
      <c r="E42" s="274" t="n">
        <f aca="false">-E40*$B$42</f>
        <v>99.316099618763</v>
      </c>
      <c r="F42" s="274" t="n">
        <f aca="false">-F40*$B$42</f>
        <v>57.0882817975988</v>
      </c>
      <c r="G42" s="274" t="n">
        <f aca="false">-G40*$B$42</f>
        <v>36.9060596004339</v>
      </c>
      <c r="H42" s="274" t="n">
        <f aca="false">-H40*$B$42</f>
        <v>13.726212760477</v>
      </c>
      <c r="I42" s="274" t="n">
        <f aca="false">-I40*$B$42</f>
        <v>0.939096081970059</v>
      </c>
      <c r="J42" s="274" t="n">
        <f aca="false">-J40*$B$42</f>
        <v>-1.30371360661131</v>
      </c>
      <c r="K42" s="274" t="n">
        <f aca="false">-K40*$B$42</f>
        <v>-8.07090901542482</v>
      </c>
      <c r="L42" s="274" t="n">
        <f aca="false">-L40*$B$42</f>
        <v>-10.8397000986804</v>
      </c>
      <c r="M42" s="274" t="n">
        <f aca="false">-M40*$B$42</f>
        <v>-18.4589268407215</v>
      </c>
      <c r="N42" s="274" t="n">
        <f aca="false">-N40*$B$42</f>
        <v>-21.875357271456</v>
      </c>
      <c r="O42" s="274" t="n">
        <f aca="false">-O40*$B$42</f>
        <v>-30.4923130553235</v>
      </c>
      <c r="P42" s="274" t="n">
        <f aca="false">-P40*$B$42</f>
        <v>-34.6900506558121</v>
      </c>
      <c r="Q42" s="274" t="n">
        <f aca="false">-Q40*$B$42</f>
        <v>-39.1300813295399</v>
      </c>
      <c r="R42" s="274" t="n">
        <f aca="false">-R40*$B$42</f>
        <v>-43.777514169596</v>
      </c>
      <c r="S42" s="274" t="n">
        <f aca="false">-S40*$B$42</f>
        <v>-48.670601521198</v>
      </c>
      <c r="T42" s="274" t="n">
        <f aca="false">-T40*$B$42</f>
        <v>-53.7910515528086</v>
      </c>
      <c r="U42" s="274" t="n">
        <f aca="false">-U40*$B$42</f>
        <v>-59.1668367378819</v>
      </c>
      <c r="V42" s="274" t="n">
        <f aca="false">-V40*$B$42</f>
        <v>-64.718216330248</v>
      </c>
      <c r="W42" s="274" t="n">
        <f aca="false">-W40*$B$42</f>
        <v>120.014254531914</v>
      </c>
      <c r="X42" s="274" t="n">
        <f aca="false">-X40*$B$42</f>
        <v>222.14439046707</v>
      </c>
      <c r="Y42" s="274" t="n">
        <f aca="false">-Y40*$B$42</f>
        <v>236.641790930512</v>
      </c>
      <c r="Z42" s="274" t="n">
        <f aca="false">-Z40*$B$42</f>
        <v>253.146315724804</v>
      </c>
      <c r="AA42" s="274" t="n">
        <f aca="false">-AA40*$B$42</f>
        <v>271.108623965605</v>
      </c>
      <c r="AB42" s="274" t="n">
        <f aca="false">-AB40*$B$42</f>
        <v>290.605510797975</v>
      </c>
      <c r="AC42" s="274" t="n">
        <f aca="false">-AC40*$B$42</f>
        <v>311.791681341446</v>
      </c>
      <c r="AD42" s="274" t="n">
        <f aca="false">-AD40*$B$42</f>
        <v>334.792807845514</v>
      </c>
      <c r="AE42" s="274" t="n">
        <f aca="false">-AE40*$B$42</f>
        <v>359.809499741139</v>
      </c>
      <c r="AF42" s="274" t="n">
        <f aca="false">-AF40*$B$42</f>
        <v>386.955102523709</v>
      </c>
      <c r="AG42" s="274" t="n">
        <f aca="false">-AG40*$B$42</f>
        <v>382.646352390945</v>
      </c>
    </row>
    <row r="43" customFormat="false" ht="12.75" hidden="false" customHeight="false" outlineLevel="0" collapsed="false">
      <c r="A43" s="143" t="s">
        <v>296</v>
      </c>
      <c r="B43" s="284" t="n">
        <f aca="false">Assumptions!N50</f>
        <v>0.35</v>
      </c>
      <c r="C43" s="274" t="n">
        <f aca="false">(C40+C42)*-$B$43</f>
        <v>325.89631721118</v>
      </c>
      <c r="D43" s="274" t="n">
        <f aca="false">(D40+D42)*-$B$43</f>
        <v>441.448547780243</v>
      </c>
      <c r="E43" s="274" t="n">
        <f aca="false">(E40+E42)*-$B$43</f>
        <v>461.819863227248</v>
      </c>
      <c r="F43" s="274" t="n">
        <f aca="false">(F40+F42)*-$B$43</f>
        <v>265.460510358834</v>
      </c>
      <c r="G43" s="274" t="n">
        <f aca="false">(G40+G42)*-$B$43</f>
        <v>171.613177142018</v>
      </c>
      <c r="H43" s="274" t="n">
        <f aca="false">(H40+H42)*-$B$43</f>
        <v>63.8268893362178</v>
      </c>
      <c r="I43" s="274" t="n">
        <f aca="false">(I40+I42)*-$B$43</f>
        <v>4.36679678116078</v>
      </c>
      <c r="J43" s="274" t="n">
        <f aca="false">(J40+J42)*-$B$43</f>
        <v>-6.06226827074261</v>
      </c>
      <c r="K43" s="274" t="n">
        <f aca="false">(K40+K42)*-$B$43</f>
        <v>-37.5297269217254</v>
      </c>
      <c r="L43" s="274" t="n">
        <f aca="false">(L40+L42)*-$B$43</f>
        <v>-50.4046054588639</v>
      </c>
      <c r="M43" s="274" t="n">
        <f aca="false">(M40+M42)*-$B$43</f>
        <v>-85.8340098093549</v>
      </c>
      <c r="N43" s="274" t="n">
        <f aca="false">(N40+N42)*-$B$43</f>
        <v>-101.72041131227</v>
      </c>
      <c r="O43" s="274" t="n">
        <f aca="false">(O40+O42)*-$B$43</f>
        <v>-141.789255707254</v>
      </c>
      <c r="P43" s="274" t="n">
        <f aca="false">(P40+P42)*-$B$43</f>
        <v>-161.308735549526</v>
      </c>
      <c r="Q43" s="274" t="n">
        <f aca="false">(Q40+Q42)*-$B$43</f>
        <v>-181.954878182361</v>
      </c>
      <c r="R43" s="274" t="n">
        <f aca="false">(R40+R42)*-$B$43</f>
        <v>-203.565440888621</v>
      </c>
      <c r="S43" s="274" t="n">
        <f aca="false">(S40+S42)*-$B$43</f>
        <v>-226.318297073571</v>
      </c>
      <c r="T43" s="274" t="n">
        <f aca="false">(T40+T42)*-$B$43</f>
        <v>-250.12838972056</v>
      </c>
      <c r="U43" s="274" t="n">
        <f aca="false">(U40+U42)*-$B$43</f>
        <v>-275.125790831151</v>
      </c>
      <c r="V43" s="274" t="n">
        <f aca="false">(V40+V42)*-$B$43</f>
        <v>-300.939705935653</v>
      </c>
      <c r="W43" s="274" t="n">
        <f aca="false">(W40+W42)*-$B$43</f>
        <v>558.066283573398</v>
      </c>
      <c r="X43" s="274" t="n">
        <f aca="false">(X40+X42)*-$B$43</f>
        <v>1032.97141567187</v>
      </c>
      <c r="Y43" s="274" t="n">
        <f aca="false">(Y40+Y42)*-$B$43</f>
        <v>1100.38432782688</v>
      </c>
      <c r="Z43" s="274" t="n">
        <f aca="false">(Z40+Z42)*-$B$43</f>
        <v>1177.13036812034</v>
      </c>
      <c r="AA43" s="274" t="n">
        <f aca="false">(AA40+AA42)*-$B$43</f>
        <v>1260.65510144006</v>
      </c>
      <c r="AB43" s="274" t="n">
        <f aca="false">(AB40+AB42)*-$B$43</f>
        <v>1351.31562521058</v>
      </c>
      <c r="AC43" s="274" t="n">
        <f aca="false">(AC40+AC42)*-$B$43</f>
        <v>1449.83131823772</v>
      </c>
      <c r="AD43" s="274" t="n">
        <f aca="false">(AD40+AD42)*-$B$43</f>
        <v>1556.78655648164</v>
      </c>
      <c r="AE43" s="274" t="n">
        <f aca="false">(AE40+AE42)*-$B$43</f>
        <v>1673.11417379629</v>
      </c>
      <c r="AF43" s="274" t="n">
        <f aca="false">(AF40+AF42)*-$B$43</f>
        <v>1799.34122673525</v>
      </c>
      <c r="AG43" s="274" t="n">
        <f aca="false">(AG40+AG42)*-$B$43</f>
        <v>1779.30553861789</v>
      </c>
    </row>
    <row r="44" customFormat="false" ht="12.75" hidden="false" customHeight="false" outlineLevel="0" collapsed="false">
      <c r="A44" s="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</row>
    <row r="45" customFormat="false" ht="15.75" hidden="false" customHeight="false" outlineLevel="0" collapsed="false">
      <c r="A45" s="285" t="s">
        <v>297</v>
      </c>
      <c r="B45" s="4"/>
      <c r="C45" s="286" t="n">
        <f aca="false">C40+C42+C43</f>
        <v>-605.236017677906</v>
      </c>
      <c r="D45" s="286" t="n">
        <f aca="false">D40+D42+D43</f>
        <v>-819.833017306165</v>
      </c>
      <c r="E45" s="286" t="n">
        <f aca="false">E40+E42+E43</f>
        <v>-857.665460279175</v>
      </c>
      <c r="F45" s="286" t="n">
        <f aca="false">F40+F42+F43</f>
        <v>-492.998090666407</v>
      </c>
      <c r="G45" s="286" t="n">
        <f aca="false">G40+G42+G43</f>
        <v>-318.71018612089</v>
      </c>
      <c r="H45" s="286" t="n">
        <f aca="false">H40+H42+H43</f>
        <v>-118.535651624405</v>
      </c>
      <c r="I45" s="286" t="n">
        <f aca="false">I40+I42+I43</f>
        <v>-8.10976545072715</v>
      </c>
      <c r="J45" s="286" t="n">
        <f aca="false">J40+J42+J43</f>
        <v>11.2584982170934</v>
      </c>
      <c r="K45" s="286" t="n">
        <f aca="false">K40+K42+K43</f>
        <v>69.6980642832044</v>
      </c>
      <c r="L45" s="286" t="n">
        <f aca="false">L40+L42+L43</f>
        <v>93.6085529950329</v>
      </c>
      <c r="M45" s="286" t="n">
        <f aca="false">M40+M42+M43</f>
        <v>159.406018217373</v>
      </c>
      <c r="N45" s="286" t="n">
        <f aca="false">N40+N42+N43</f>
        <v>188.909335294216</v>
      </c>
      <c r="O45" s="286" t="n">
        <f aca="false">O40+O42+O43</f>
        <v>263.322903456329</v>
      </c>
      <c r="P45" s="286" t="n">
        <f aca="false">P40+P42+P43</f>
        <v>299.573366020549</v>
      </c>
      <c r="Q45" s="286" t="n">
        <f aca="false">Q40+Q42+Q43</f>
        <v>337.91620233867</v>
      </c>
      <c r="R45" s="286" t="n">
        <f aca="false">R40+R42+R43</f>
        <v>378.05010450744</v>
      </c>
      <c r="S45" s="286" t="n">
        <f aca="false">S40+S42+S43</f>
        <v>420.305408850917</v>
      </c>
      <c r="T45" s="286" t="n">
        <f aca="false">T40+T42+T43</f>
        <v>464.524152338183</v>
      </c>
      <c r="U45" s="286" t="n">
        <f aca="false">U40+U42+U43</f>
        <v>510.947897257852</v>
      </c>
      <c r="V45" s="286" t="n">
        <f aca="false">V40+V42+V43</f>
        <v>558.88802530907</v>
      </c>
      <c r="W45" s="286" t="n">
        <f aca="false">W40+W42+W43</f>
        <v>-1036.4088123506</v>
      </c>
      <c r="X45" s="286" t="n">
        <f aca="false">X40+X42+X43</f>
        <v>-1918.37548624777</v>
      </c>
      <c r="Y45" s="286" t="n">
        <f aca="false">Y40+Y42+Y43</f>
        <v>-2043.57089453563</v>
      </c>
      <c r="Z45" s="286" t="n">
        <f aca="false">Z40+Z42+Z43</f>
        <v>-2186.09925508063</v>
      </c>
      <c r="AA45" s="286" t="n">
        <f aca="false">AA40+AA42+AA43</f>
        <v>-2341.21661696012</v>
      </c>
      <c r="AB45" s="286" t="n">
        <f aca="false">AB40+AB42+AB43</f>
        <v>-2509.58616110537</v>
      </c>
      <c r="AC45" s="286" t="n">
        <f aca="false">AC40+AC42+AC43</f>
        <v>-2692.5438767272</v>
      </c>
      <c r="AD45" s="286" t="n">
        <f aca="false">AD40+AD42+AD43</f>
        <v>-2891.1750334659</v>
      </c>
      <c r="AE45" s="286" t="n">
        <f aca="false">AE40+AE42+AE43</f>
        <v>-3107.21203705026</v>
      </c>
      <c r="AF45" s="286" t="n">
        <f aca="false">AF40+AF42+AF43</f>
        <v>-3341.63370679403</v>
      </c>
      <c r="AG45" s="286" t="n">
        <f aca="false">AG40+AG42+AG43</f>
        <v>-3304.42457171894</v>
      </c>
    </row>
    <row r="48" customFormat="false" ht="12.75" hidden="false" customHeight="false" outlineLevel="0" collapsed="false"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</row>
    <row r="49" customFormat="false" ht="12.75" hidden="false" customHeight="false" outlineLevel="0" collapsed="false">
      <c r="A49" s="252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</row>
    <row r="50" customFormat="false" ht="12.75" hidden="false" customHeight="false" outlineLevel="0" collapsed="false">
      <c r="A50" s="252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</row>
    <row r="51" customFormat="false" ht="12.75" hidden="false" customHeight="false" outlineLevel="0" collapsed="false">
      <c r="C51" s="287"/>
      <c r="D51" s="287"/>
      <c r="E51" s="287"/>
      <c r="F51" s="287"/>
      <c r="G51" s="287"/>
    </row>
    <row r="52" customFormat="false" ht="12.75" hidden="false" customHeight="false" outlineLevel="0" collapsed="false">
      <c r="C52" s="113"/>
      <c r="D52" s="113"/>
      <c r="E52" s="113"/>
      <c r="F52" s="113"/>
      <c r="G52" s="113"/>
    </row>
    <row r="53" customFormat="false" ht="12.75" hidden="false" customHeight="false" outlineLevel="0" collapsed="false">
      <c r="C53" s="287"/>
      <c r="D53" s="287"/>
      <c r="E53" s="287"/>
      <c r="F53" s="287"/>
      <c r="G53" s="287"/>
    </row>
    <row r="54" customFormat="false" ht="12.75" hidden="false" customHeight="false" outlineLevel="0" collapsed="false">
      <c r="C54" s="287"/>
      <c r="D54" s="287"/>
      <c r="E54" s="287"/>
      <c r="F54" s="287"/>
      <c r="G54" s="287"/>
    </row>
    <row r="55" customFormat="false" ht="12.75" hidden="false" customHeight="false" outlineLevel="0" collapsed="false">
      <c r="C55" s="287"/>
      <c r="D55" s="287"/>
      <c r="E55" s="287"/>
      <c r="F55" s="287"/>
      <c r="G55" s="287"/>
    </row>
    <row r="56" customFormat="false" ht="12.75" hidden="false" customHeight="false" outlineLevel="0" collapsed="false">
      <c r="C56" s="287"/>
      <c r="D56" s="287"/>
      <c r="E56" s="287"/>
      <c r="F56" s="287"/>
      <c r="G56" s="287"/>
    </row>
    <row r="57" customFormat="false" ht="12.75" hidden="false" customHeight="false" outlineLevel="0" collapsed="false">
      <c r="C57" s="287"/>
      <c r="D57" s="287"/>
      <c r="E57" s="287"/>
      <c r="F57" s="287"/>
      <c r="G57" s="287"/>
    </row>
    <row r="58" customFormat="false" ht="12.75" hidden="false" customHeight="false" outlineLevel="0" collapsed="false">
      <c r="C58" s="113"/>
      <c r="D58" s="113"/>
      <c r="E58" s="113"/>
      <c r="F58" s="113"/>
      <c r="G58" s="113"/>
    </row>
    <row r="59" customFormat="false" ht="12.75" hidden="false" customHeight="false" outlineLevel="0" collapsed="false">
      <c r="C59" s="113"/>
      <c r="D59" s="113"/>
      <c r="E59" s="113"/>
      <c r="F59" s="113"/>
      <c r="G59" s="113"/>
    </row>
    <row r="60" customFormat="false" ht="12.75" hidden="false" customHeight="false" outlineLevel="0" collapsed="false">
      <c r="C60" s="288"/>
      <c r="D60" s="288"/>
      <c r="E60" s="288"/>
      <c r="F60" s="288"/>
      <c r="G60" s="113"/>
    </row>
    <row r="61" customFormat="false" ht="12.75" hidden="false" customHeight="false" outlineLevel="0" collapsed="false">
      <c r="C61" s="113"/>
      <c r="D61" s="113"/>
      <c r="E61" s="113"/>
      <c r="F61" s="113"/>
      <c r="G61" s="113"/>
    </row>
    <row r="62" customFormat="false" ht="12.75" hidden="false" customHeight="false" outlineLevel="0" collapsed="false">
      <c r="C62" s="288"/>
      <c r="D62" s="113"/>
      <c r="E62" s="113"/>
      <c r="F62" s="113"/>
      <c r="G62" s="113"/>
    </row>
    <row r="63" customFormat="false" ht="12.75" hidden="false" customHeight="false" outlineLevel="0" collapsed="false">
      <c r="C63" s="113"/>
      <c r="D63" s="113"/>
      <c r="E63" s="113"/>
      <c r="F63" s="113"/>
      <c r="G63" s="113"/>
    </row>
    <row r="64" customFormat="false" ht="12.75" hidden="false" customHeight="false" outlineLevel="0" collapsed="false">
      <c r="C64" s="113"/>
      <c r="D64" s="113"/>
      <c r="E64" s="113"/>
      <c r="F64" s="113"/>
      <c r="G64" s="11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9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Rochester</v>
      </c>
    </row>
    <row r="4" customFormat="false" ht="18.75" hidden="false" customHeight="false" outlineLevel="0" collapsed="false">
      <c r="A4" s="268" t="s">
        <v>298</v>
      </c>
      <c r="B4" s="290"/>
      <c r="C4" s="290"/>
    </row>
    <row r="6" customFormat="false" ht="12.75" hidden="false" customHeight="false" outlineLevel="0" collapsed="false">
      <c r="C6" s="291" t="n">
        <v>0</v>
      </c>
      <c r="D6" s="292" t="n">
        <f aca="false">'Price_Technical Assumption'!D7</f>
        <v>0.666666666666667</v>
      </c>
      <c r="E6" s="292" t="n">
        <f aca="false">'Price_Technical Assumption'!E7</f>
        <v>1.66666666666667</v>
      </c>
      <c r="F6" s="292" t="n">
        <f aca="false">'Price_Technical Assumption'!F7</f>
        <v>2.66666666666667</v>
      </c>
      <c r="G6" s="292" t="n">
        <f aca="false">'Price_Technical Assumption'!G7</f>
        <v>3.66666666666667</v>
      </c>
      <c r="H6" s="292" t="n">
        <f aca="false">'Price_Technical Assumption'!H7</f>
        <v>4.66666666666667</v>
      </c>
      <c r="I6" s="292" t="n">
        <f aca="false">'Price_Technical Assumption'!I7</f>
        <v>5.66666666666667</v>
      </c>
      <c r="J6" s="292" t="n">
        <f aca="false">'Price_Technical Assumption'!J7</f>
        <v>6.66666666666667</v>
      </c>
      <c r="K6" s="292" t="n">
        <f aca="false">'Price_Technical Assumption'!K7</f>
        <v>7.66666666666667</v>
      </c>
      <c r="L6" s="292" t="n">
        <f aca="false">'Price_Technical Assumption'!L7</f>
        <v>8.66666666666667</v>
      </c>
      <c r="M6" s="292" t="n">
        <f aca="false">'Price_Technical Assumption'!M7</f>
        <v>9.66666666666667</v>
      </c>
      <c r="N6" s="292" t="n">
        <f aca="false">'Price_Technical Assumption'!N7</f>
        <v>10.6666666666667</v>
      </c>
      <c r="O6" s="292" t="n">
        <f aca="false">'Price_Technical Assumption'!O7</f>
        <v>11.6666666666667</v>
      </c>
      <c r="P6" s="292" t="n">
        <f aca="false">'Price_Technical Assumption'!P7</f>
        <v>12.6666666666667</v>
      </c>
      <c r="Q6" s="292" t="n">
        <f aca="false">'Price_Technical Assumption'!Q7</f>
        <v>13.6666666666667</v>
      </c>
      <c r="R6" s="292" t="n">
        <f aca="false">'Price_Technical Assumption'!R7</f>
        <v>14.6666666666667</v>
      </c>
      <c r="S6" s="292" t="n">
        <f aca="false">'Price_Technical Assumption'!S7</f>
        <v>15.6666666666667</v>
      </c>
      <c r="T6" s="292" t="n">
        <f aca="false">'Price_Technical Assumption'!T7</f>
        <v>16.6666666666667</v>
      </c>
      <c r="U6" s="292" t="n">
        <f aca="false">'Price_Technical Assumption'!U7</f>
        <v>17.6666666666667</v>
      </c>
      <c r="V6" s="292" t="n">
        <f aca="false">'Price_Technical Assumption'!V7</f>
        <v>18.6666666666667</v>
      </c>
      <c r="W6" s="292" t="n">
        <f aca="false">'Price_Technical Assumption'!W7</f>
        <v>19.6666666666667</v>
      </c>
      <c r="X6" s="292" t="n">
        <f aca="false">'Price_Technical Assumption'!X7</f>
        <v>20.6666666666667</v>
      </c>
      <c r="Y6" s="292" t="n">
        <f aca="false">'Price_Technical Assumption'!Y7</f>
        <v>21.6666666666667</v>
      </c>
      <c r="Z6" s="292" t="n">
        <f aca="false">'Price_Technical Assumption'!Z7</f>
        <v>22.6666666666667</v>
      </c>
      <c r="AA6" s="292" t="n">
        <f aca="false">'Price_Technical Assumption'!AA7</f>
        <v>23.6666666666667</v>
      </c>
      <c r="AB6" s="292" t="n">
        <f aca="false">'Price_Technical Assumption'!AB7</f>
        <v>24.6666666666667</v>
      </c>
      <c r="AC6" s="292" t="n">
        <f aca="false">'Price_Technical Assumption'!AC7</f>
        <v>25.6666666666667</v>
      </c>
      <c r="AD6" s="292" t="n">
        <f aca="false">'Price_Technical Assumption'!AD7</f>
        <v>26.6666666666667</v>
      </c>
      <c r="AE6" s="292" t="n">
        <f aca="false">'Price_Technical Assumption'!AE7</f>
        <v>27.6666666666667</v>
      </c>
      <c r="AF6" s="292" t="n">
        <f aca="false">'Price_Technical Assumption'!AF7</f>
        <v>28.6666666666667</v>
      </c>
      <c r="AG6" s="292" t="n">
        <f aca="false">'Price_Technical Assumption'!AG7</f>
        <v>29.6666666666667</v>
      </c>
      <c r="AH6" s="292" t="n">
        <f aca="false">'Price_Technical Assumption'!AH7</f>
        <v>30.6666666666667</v>
      </c>
    </row>
    <row r="7" customFormat="false" ht="13.5" hidden="false" customHeight="false" outlineLevel="0" collapsed="false">
      <c r="A7" s="269" t="s">
        <v>278</v>
      </c>
      <c r="B7" s="270"/>
      <c r="C7" s="293" t="s">
        <v>299</v>
      </c>
      <c r="D7" s="270" t="n">
        <f aca="false">'Price_Technical Assumption'!D8</f>
        <v>2001</v>
      </c>
      <c r="E7" s="270" t="n">
        <f aca="false">'Price_Technical Assumption'!E8</f>
        <v>2002</v>
      </c>
      <c r="F7" s="270" t="n">
        <f aca="false">'Price_Technical Assumption'!F8</f>
        <v>2003</v>
      </c>
      <c r="G7" s="270" t="n">
        <f aca="false">'Price_Technical Assumption'!G8</f>
        <v>2004</v>
      </c>
      <c r="H7" s="270" t="n">
        <f aca="false">'Price_Technical Assumption'!H8</f>
        <v>2005</v>
      </c>
      <c r="I7" s="270" t="n">
        <f aca="false">'Price_Technical Assumption'!I8</f>
        <v>2006</v>
      </c>
      <c r="J7" s="270" t="n">
        <f aca="false">'Price_Technical Assumption'!J8</f>
        <v>2007</v>
      </c>
      <c r="K7" s="270" t="n">
        <f aca="false">'Price_Technical Assumption'!K8</f>
        <v>2008</v>
      </c>
      <c r="L7" s="270" t="n">
        <f aca="false">'Price_Technical Assumption'!L8</f>
        <v>2009</v>
      </c>
      <c r="M7" s="270" t="n">
        <f aca="false">'Price_Technical Assumption'!M8</f>
        <v>2010</v>
      </c>
      <c r="N7" s="270" t="n">
        <f aca="false">'Price_Technical Assumption'!N8</f>
        <v>2011</v>
      </c>
      <c r="O7" s="270" t="n">
        <f aca="false">'Price_Technical Assumption'!O8</f>
        <v>2012</v>
      </c>
      <c r="P7" s="270" t="n">
        <f aca="false">'Price_Technical Assumption'!P8</f>
        <v>2013</v>
      </c>
      <c r="Q7" s="270" t="n">
        <f aca="false">'Price_Technical Assumption'!Q8</f>
        <v>2014</v>
      </c>
      <c r="R7" s="270" t="n">
        <f aca="false">'Price_Technical Assumption'!R8</f>
        <v>2015</v>
      </c>
      <c r="S7" s="270" t="n">
        <f aca="false">'Price_Technical Assumption'!S8</f>
        <v>2016</v>
      </c>
      <c r="T7" s="270" t="n">
        <f aca="false">'Price_Technical Assumption'!T8</f>
        <v>2017</v>
      </c>
      <c r="U7" s="270" t="n">
        <f aca="false">'Price_Technical Assumption'!U8</f>
        <v>2018</v>
      </c>
      <c r="V7" s="270" t="n">
        <f aca="false">'Price_Technical Assumption'!V8</f>
        <v>2019</v>
      </c>
      <c r="W7" s="270" t="n">
        <f aca="false">'Price_Technical Assumption'!W8</f>
        <v>2020</v>
      </c>
      <c r="X7" s="270" t="n">
        <f aca="false">'Price_Technical Assumption'!X8</f>
        <v>2021</v>
      </c>
      <c r="Y7" s="270" t="n">
        <f aca="false">'Price_Technical Assumption'!Y8</f>
        <v>2022</v>
      </c>
      <c r="Z7" s="270" t="n">
        <f aca="false">'Price_Technical Assumption'!Z8</f>
        <v>2023</v>
      </c>
      <c r="AA7" s="270" t="n">
        <f aca="false">'Price_Technical Assumption'!AA8</f>
        <v>2024</v>
      </c>
      <c r="AB7" s="270" t="n">
        <f aca="false">'Price_Technical Assumption'!AB8</f>
        <v>2025</v>
      </c>
      <c r="AC7" s="270" t="n">
        <f aca="false">'Price_Technical Assumption'!AC8</f>
        <v>2026</v>
      </c>
      <c r="AD7" s="270" t="n">
        <f aca="false">'Price_Technical Assumption'!AD8</f>
        <v>2027</v>
      </c>
      <c r="AE7" s="270" t="n">
        <f aca="false">'Price_Technical Assumption'!AE8</f>
        <v>2028</v>
      </c>
      <c r="AF7" s="270" t="n">
        <f aca="false">'Price_Technical Assumption'!AF8</f>
        <v>2029</v>
      </c>
      <c r="AG7" s="270" t="n">
        <f aca="false">'Price_Technical Assumption'!AG8</f>
        <v>2030</v>
      </c>
      <c r="AH7" s="270" t="n">
        <f aca="false">'Price_Technical Assumption'!AH8</f>
        <v>2031</v>
      </c>
    </row>
    <row r="8" customFormat="false" ht="12.75" hidden="false" customHeight="false" outlineLevel="0" collapsed="false">
      <c r="A8" s="271"/>
      <c r="C8" s="294"/>
      <c r="D8" s="295" t="n">
        <f aca="false">Assumptions!H17+365.25*Assumptions!H18/12</f>
        <v>37255.5</v>
      </c>
      <c r="E8" s="295" t="n">
        <f aca="false">D8+365.25</f>
        <v>37620.75</v>
      </c>
      <c r="F8" s="295" t="n">
        <f aca="false">E8+365.25</f>
        <v>37986</v>
      </c>
      <c r="G8" s="295" t="n">
        <f aca="false">F8+365.25</f>
        <v>38351.25</v>
      </c>
      <c r="H8" s="295" t="n">
        <f aca="false">G8+365.25</f>
        <v>38716.5</v>
      </c>
      <c r="I8" s="295" t="n">
        <f aca="false">H8+365.25</f>
        <v>39081.75</v>
      </c>
      <c r="J8" s="295" t="n">
        <f aca="false">I8+365.25</f>
        <v>39447</v>
      </c>
      <c r="K8" s="295" t="n">
        <f aca="false">J8+365.25</f>
        <v>39812.25</v>
      </c>
      <c r="L8" s="295" t="n">
        <f aca="false">K8+365.25</f>
        <v>40177.5</v>
      </c>
      <c r="M8" s="295" t="n">
        <f aca="false">L8+365.25</f>
        <v>40542.75</v>
      </c>
      <c r="N8" s="295" t="n">
        <f aca="false">M8+365.25</f>
        <v>40908</v>
      </c>
      <c r="O8" s="295" t="n">
        <f aca="false">N8+365.25</f>
        <v>41273.25</v>
      </c>
      <c r="P8" s="295" t="n">
        <f aca="false">O8+365.25</f>
        <v>41638.5</v>
      </c>
      <c r="Q8" s="295" t="n">
        <f aca="false">P8+365.25</f>
        <v>42003.75</v>
      </c>
      <c r="R8" s="295" t="n">
        <f aca="false">Q8+365.25</f>
        <v>42369</v>
      </c>
      <c r="S8" s="295" t="n">
        <f aca="false">R8+365.25</f>
        <v>42734.25</v>
      </c>
      <c r="T8" s="295" t="n">
        <f aca="false">S8+365.25</f>
        <v>43099.5</v>
      </c>
      <c r="U8" s="295" t="n">
        <f aca="false">T8+365.25</f>
        <v>43464.75</v>
      </c>
      <c r="V8" s="295" t="n">
        <f aca="false">U8+365.25</f>
        <v>43830</v>
      </c>
      <c r="W8" s="295" t="n">
        <f aca="false">V8+365.25</f>
        <v>44195.25</v>
      </c>
      <c r="X8" s="295" t="n">
        <f aca="false">W8+365.25</f>
        <v>44560.5</v>
      </c>
      <c r="Y8" s="295" t="n">
        <f aca="false">X8+365.25</f>
        <v>44925.75</v>
      </c>
      <c r="Z8" s="295" t="n">
        <f aca="false">Y8+365.25</f>
        <v>45291</v>
      </c>
      <c r="AA8" s="295" t="n">
        <f aca="false">Z8+365.25</f>
        <v>45656.25</v>
      </c>
      <c r="AB8" s="295" t="n">
        <f aca="false">AA8+365.25</f>
        <v>46021.5</v>
      </c>
      <c r="AC8" s="295" t="n">
        <f aca="false">AB8+365.25</f>
        <v>46386.75</v>
      </c>
      <c r="AD8" s="295" t="n">
        <f aca="false">AC8+365.25</f>
        <v>46752</v>
      </c>
      <c r="AE8" s="295" t="n">
        <f aca="false">AD8+365.25</f>
        <v>47117.25</v>
      </c>
      <c r="AF8" s="295" t="n">
        <f aca="false">AE8+365.25</f>
        <v>47482.5</v>
      </c>
      <c r="AG8" s="295" t="n">
        <f aca="false">AF8+365.25</f>
        <v>47847.75</v>
      </c>
      <c r="AH8" s="295" t="n">
        <f aca="false">AG8+365.25</f>
        <v>48213</v>
      </c>
    </row>
    <row r="9" customFormat="false" ht="12.75" hidden="false" customHeight="false" outlineLevel="0" collapsed="false">
      <c r="A9" s="273" t="s">
        <v>300</v>
      </c>
      <c r="B9" s="1"/>
      <c r="C9" s="296"/>
      <c r="D9" s="263"/>
      <c r="E9" s="263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</row>
    <row r="10" customFormat="false" ht="12.75" hidden="false" customHeight="false" outlineLevel="0" collapsed="false">
      <c r="A10" s="273"/>
      <c r="B10" s="1"/>
      <c r="C10" s="296"/>
      <c r="D10" s="263"/>
      <c r="E10" s="263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</row>
    <row r="11" customFormat="false" ht="12.75" hidden="false" customHeight="false" outlineLevel="0" collapsed="false">
      <c r="A11" s="185" t="s">
        <v>301</v>
      </c>
      <c r="B11" s="1"/>
      <c r="C11" s="298" t="n">
        <v>0</v>
      </c>
      <c r="D11" s="185" t="n">
        <v>0</v>
      </c>
      <c r="E11" s="185" t="n">
        <v>0</v>
      </c>
      <c r="F11" s="185" t="n">
        <v>0</v>
      </c>
      <c r="G11" s="185" t="n">
        <v>0</v>
      </c>
      <c r="H11" s="185" t="n">
        <v>0</v>
      </c>
      <c r="I11" s="185" t="n">
        <v>0</v>
      </c>
      <c r="J11" s="185" t="n">
        <v>0</v>
      </c>
      <c r="K11" s="185" t="n">
        <v>0</v>
      </c>
      <c r="L11" s="185" t="n">
        <v>0</v>
      </c>
      <c r="M11" s="185" t="n">
        <v>0</v>
      </c>
      <c r="N11" s="185" t="n">
        <v>0</v>
      </c>
      <c r="O11" s="185" t="n">
        <v>0</v>
      </c>
      <c r="P11" s="185" t="n">
        <v>0</v>
      </c>
      <c r="Q11" s="185" t="n">
        <v>0</v>
      </c>
      <c r="R11" s="185" t="n">
        <v>0</v>
      </c>
      <c r="S11" s="185" t="n">
        <v>0</v>
      </c>
      <c r="T11" s="185" t="n">
        <v>0</v>
      </c>
      <c r="U11" s="185" t="n">
        <v>0</v>
      </c>
      <c r="V11" s="185" t="n">
        <v>0</v>
      </c>
      <c r="W11" s="185" t="n">
        <v>0</v>
      </c>
      <c r="X11" s="185" t="n">
        <v>0</v>
      </c>
      <c r="Y11" s="185" t="n">
        <v>0</v>
      </c>
      <c r="Z11" s="185" t="n">
        <v>0</v>
      </c>
      <c r="AA11" s="185" t="n">
        <v>0</v>
      </c>
      <c r="AB11" s="185" t="n">
        <v>0</v>
      </c>
      <c r="AC11" s="185" t="n">
        <v>0</v>
      </c>
      <c r="AD11" s="185" t="n">
        <v>0</v>
      </c>
      <c r="AE11" s="185" t="n">
        <v>0</v>
      </c>
      <c r="AF11" s="185" t="n">
        <v>0</v>
      </c>
      <c r="AG11" s="185" t="n">
        <v>0</v>
      </c>
      <c r="AH11" s="185" t="n">
        <v>0</v>
      </c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</row>
    <row r="12" customFormat="false" ht="12.75" hidden="false" customHeight="false" outlineLevel="0" collapsed="false">
      <c r="A12" s="185" t="s">
        <v>302</v>
      </c>
      <c r="B12" s="1"/>
      <c r="C12" s="298" t="n">
        <v>0</v>
      </c>
      <c r="D12" s="185" t="n">
        <v>0</v>
      </c>
      <c r="E12" s="185" t="n">
        <v>0</v>
      </c>
      <c r="F12" s="185" t="n">
        <v>0</v>
      </c>
      <c r="G12" s="185" t="n">
        <v>0</v>
      </c>
      <c r="H12" s="185" t="n">
        <v>0</v>
      </c>
      <c r="I12" s="185" t="n">
        <v>0</v>
      </c>
      <c r="J12" s="185" t="n">
        <v>0</v>
      </c>
      <c r="K12" s="185" t="n">
        <v>0</v>
      </c>
      <c r="L12" s="185" t="n">
        <v>0</v>
      </c>
      <c r="M12" s="185" t="n">
        <v>0</v>
      </c>
      <c r="N12" s="185" t="n">
        <v>0</v>
      </c>
      <c r="O12" s="185" t="n">
        <v>0</v>
      </c>
      <c r="P12" s="185" t="n">
        <v>0</v>
      </c>
      <c r="Q12" s="185" t="n">
        <v>0</v>
      </c>
      <c r="R12" s="185" t="n">
        <v>0</v>
      </c>
      <c r="S12" s="185" t="n">
        <v>0</v>
      </c>
      <c r="T12" s="185" t="n">
        <v>0</v>
      </c>
      <c r="U12" s="185" t="n">
        <v>0</v>
      </c>
      <c r="V12" s="185" t="n">
        <v>0</v>
      </c>
      <c r="W12" s="185" t="n">
        <v>0</v>
      </c>
      <c r="X12" s="185" t="n">
        <v>0</v>
      </c>
      <c r="Y12" s="185" t="n">
        <v>0</v>
      </c>
      <c r="Z12" s="185" t="n">
        <v>0</v>
      </c>
      <c r="AA12" s="185" t="n">
        <v>0</v>
      </c>
      <c r="AB12" s="185" t="n">
        <v>0</v>
      </c>
      <c r="AC12" s="185" t="n">
        <v>0</v>
      </c>
      <c r="AD12" s="185" t="n">
        <v>0</v>
      </c>
      <c r="AE12" s="185" t="n">
        <v>0</v>
      </c>
      <c r="AF12" s="185" t="n">
        <v>0</v>
      </c>
      <c r="AG12" s="185" t="n">
        <v>0</v>
      </c>
      <c r="AH12" s="185" t="n">
        <v>0</v>
      </c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</row>
    <row r="13" customFormat="false" ht="12.75" hidden="false" customHeight="false" outlineLevel="0" collapsed="false">
      <c r="A13" s="185" t="s">
        <v>303</v>
      </c>
      <c r="B13" s="1"/>
      <c r="C13" s="298" t="n">
        <v>0</v>
      </c>
      <c r="D13" s="185" t="n">
        <v>0</v>
      </c>
      <c r="E13" s="185" t="n">
        <v>0</v>
      </c>
      <c r="F13" s="185" t="n">
        <v>0</v>
      </c>
      <c r="G13" s="185" t="n">
        <v>0</v>
      </c>
      <c r="H13" s="185" t="n">
        <v>0</v>
      </c>
      <c r="I13" s="185" t="n">
        <v>0</v>
      </c>
      <c r="J13" s="185" t="n">
        <v>0</v>
      </c>
      <c r="K13" s="185" t="n">
        <v>0</v>
      </c>
      <c r="L13" s="185" t="n">
        <v>0</v>
      </c>
      <c r="M13" s="185" t="n">
        <v>0</v>
      </c>
      <c r="N13" s="185" t="n">
        <v>0</v>
      </c>
      <c r="O13" s="185" t="n">
        <v>0</v>
      </c>
      <c r="P13" s="185" t="n">
        <v>0</v>
      </c>
      <c r="Q13" s="185" t="n">
        <v>0</v>
      </c>
      <c r="R13" s="185" t="n">
        <v>0</v>
      </c>
      <c r="S13" s="185" t="n">
        <v>0</v>
      </c>
      <c r="T13" s="185" t="n">
        <v>0</v>
      </c>
      <c r="U13" s="185" t="n">
        <v>0</v>
      </c>
      <c r="V13" s="185" t="n">
        <v>0</v>
      </c>
      <c r="W13" s="185" t="n">
        <v>0</v>
      </c>
      <c r="X13" s="185" t="n">
        <v>0</v>
      </c>
      <c r="Y13" s="185" t="n">
        <v>0</v>
      </c>
      <c r="Z13" s="185" t="n">
        <v>0</v>
      </c>
      <c r="AA13" s="185" t="n">
        <v>0</v>
      </c>
      <c r="AB13" s="185" t="n">
        <v>0</v>
      </c>
      <c r="AC13" s="185" t="n">
        <v>0</v>
      </c>
      <c r="AD13" s="185" t="n">
        <v>0</v>
      </c>
      <c r="AE13" s="185" t="n">
        <v>0</v>
      </c>
      <c r="AF13" s="185" t="n">
        <v>0</v>
      </c>
      <c r="AG13" s="185" t="n">
        <v>0</v>
      </c>
      <c r="AH13" s="185" t="n">
        <v>0</v>
      </c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</row>
    <row r="14" customFormat="false" ht="12.75" hidden="false" customHeight="false" outlineLevel="0" collapsed="false">
      <c r="A14" s="185" t="s">
        <v>304</v>
      </c>
      <c r="B14" s="1"/>
      <c r="C14" s="298" t="n">
        <v>0</v>
      </c>
      <c r="D14" s="185" t="n">
        <v>0</v>
      </c>
      <c r="E14" s="185" t="n">
        <v>0</v>
      </c>
      <c r="F14" s="185" t="n">
        <v>0</v>
      </c>
      <c r="G14" s="185" t="n">
        <v>0</v>
      </c>
      <c r="H14" s="185" t="n">
        <v>0</v>
      </c>
      <c r="I14" s="185" t="n">
        <v>0</v>
      </c>
      <c r="J14" s="185" t="n">
        <v>0</v>
      </c>
      <c r="K14" s="185" t="n">
        <v>0</v>
      </c>
      <c r="L14" s="185" t="n">
        <v>0</v>
      </c>
      <c r="M14" s="185" t="n">
        <v>0</v>
      </c>
      <c r="N14" s="185" t="n">
        <v>0</v>
      </c>
      <c r="O14" s="185" t="n">
        <v>0</v>
      </c>
      <c r="P14" s="185" t="n">
        <v>0</v>
      </c>
      <c r="Q14" s="185" t="n">
        <v>0</v>
      </c>
      <c r="R14" s="185" t="n">
        <v>0</v>
      </c>
      <c r="S14" s="185" t="n">
        <v>0</v>
      </c>
      <c r="T14" s="185" t="n">
        <v>0</v>
      </c>
      <c r="U14" s="185" t="n">
        <v>0</v>
      </c>
      <c r="V14" s="185" t="n">
        <v>0</v>
      </c>
      <c r="W14" s="185" t="n">
        <v>0</v>
      </c>
      <c r="X14" s="185" t="n">
        <v>0</v>
      </c>
      <c r="Y14" s="185" t="n">
        <v>0</v>
      </c>
      <c r="Z14" s="185" t="n">
        <v>0</v>
      </c>
      <c r="AA14" s="185" t="n">
        <v>0</v>
      </c>
      <c r="AB14" s="185" t="n">
        <v>0</v>
      </c>
      <c r="AC14" s="185" t="n">
        <v>0</v>
      </c>
      <c r="AD14" s="185" t="n">
        <v>0</v>
      </c>
      <c r="AE14" s="185" t="n">
        <v>0</v>
      </c>
      <c r="AF14" s="185" t="n">
        <v>0</v>
      </c>
      <c r="AG14" s="185" t="n">
        <v>0</v>
      </c>
      <c r="AH14" s="185" t="n">
        <v>0</v>
      </c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</row>
    <row r="15" customFormat="false" ht="12.75" hidden="false" customHeight="false" outlineLevel="0" collapsed="false">
      <c r="A15" s="299" t="s">
        <v>305</v>
      </c>
      <c r="B15" s="122"/>
      <c r="C15" s="300" t="n">
        <v>0</v>
      </c>
      <c r="D15" s="299" t="n">
        <v>0</v>
      </c>
      <c r="E15" s="299" t="n">
        <v>0</v>
      </c>
      <c r="F15" s="299" t="n">
        <v>0</v>
      </c>
      <c r="G15" s="299" t="n">
        <v>0</v>
      </c>
      <c r="H15" s="299" t="n">
        <v>0</v>
      </c>
      <c r="I15" s="299" t="n">
        <v>0</v>
      </c>
      <c r="J15" s="299" t="n">
        <v>0</v>
      </c>
      <c r="K15" s="299" t="n">
        <v>0</v>
      </c>
      <c r="L15" s="299" t="n">
        <v>0</v>
      </c>
      <c r="M15" s="299" t="n">
        <v>0</v>
      </c>
      <c r="N15" s="299" t="n">
        <v>0</v>
      </c>
      <c r="O15" s="299" t="n">
        <v>0</v>
      </c>
      <c r="P15" s="299" t="n">
        <v>0</v>
      </c>
      <c r="Q15" s="299" t="n">
        <v>0</v>
      </c>
      <c r="R15" s="299" t="n">
        <v>0</v>
      </c>
      <c r="S15" s="299" t="n">
        <v>0</v>
      </c>
      <c r="T15" s="299" t="n">
        <v>0</v>
      </c>
      <c r="U15" s="299" t="n">
        <v>0</v>
      </c>
      <c r="V15" s="299" t="n">
        <v>0</v>
      </c>
      <c r="W15" s="299" t="n">
        <v>0</v>
      </c>
      <c r="X15" s="299" t="n">
        <v>0</v>
      </c>
      <c r="Y15" s="299" t="n">
        <v>0</v>
      </c>
      <c r="Z15" s="299" t="n">
        <v>0</v>
      </c>
      <c r="AA15" s="299" t="n">
        <v>0</v>
      </c>
      <c r="AB15" s="299" t="n">
        <v>0</v>
      </c>
      <c r="AC15" s="299" t="n">
        <v>0</v>
      </c>
      <c r="AD15" s="299" t="n">
        <v>0</v>
      </c>
      <c r="AE15" s="299" t="n">
        <v>0</v>
      </c>
      <c r="AF15" s="299" t="n">
        <v>0</v>
      </c>
      <c r="AG15" s="299" t="n">
        <v>0</v>
      </c>
      <c r="AH15" s="299" t="n">
        <v>0</v>
      </c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</row>
    <row r="16" customFormat="false" ht="12.75" hidden="false" customHeight="false" outlineLevel="0" collapsed="false">
      <c r="A16" s="185" t="s">
        <v>306</v>
      </c>
      <c r="B16" s="1"/>
      <c r="C16" s="298"/>
      <c r="D16" s="185" t="n">
        <f aca="false">SUM(D11:D15)</f>
        <v>0</v>
      </c>
      <c r="E16" s="185" t="n">
        <f aca="false">SUM(E11:E15)</f>
        <v>0</v>
      </c>
      <c r="F16" s="185" t="n">
        <f aca="false">SUM(F11:F15)</f>
        <v>0</v>
      </c>
      <c r="G16" s="185" t="n">
        <f aca="false">SUM(G11:G15)</f>
        <v>0</v>
      </c>
      <c r="H16" s="185" t="n">
        <f aca="false">SUM(H11:H15)</f>
        <v>0</v>
      </c>
      <c r="I16" s="185" t="n">
        <f aca="false">SUM(I11:I15)</f>
        <v>0</v>
      </c>
      <c r="J16" s="185" t="n">
        <f aca="false">SUM(J11:J15)</f>
        <v>0</v>
      </c>
      <c r="K16" s="185" t="n">
        <f aca="false">SUM(K11:K15)</f>
        <v>0</v>
      </c>
      <c r="L16" s="185" t="n">
        <f aca="false">SUM(L11:L15)</f>
        <v>0</v>
      </c>
      <c r="M16" s="185" t="n">
        <f aca="false">SUM(M11:M15)</f>
        <v>0</v>
      </c>
      <c r="N16" s="185" t="n">
        <f aca="false">SUM(N11:N15)</f>
        <v>0</v>
      </c>
      <c r="O16" s="185" t="n">
        <f aca="false">SUM(O11:O15)</f>
        <v>0</v>
      </c>
      <c r="P16" s="185" t="n">
        <f aca="false">SUM(P11:P15)</f>
        <v>0</v>
      </c>
      <c r="Q16" s="185" t="n">
        <f aca="false">SUM(Q11:Q15)</f>
        <v>0</v>
      </c>
      <c r="R16" s="185" t="n">
        <f aca="false">SUM(R11:R15)</f>
        <v>0</v>
      </c>
      <c r="S16" s="185" t="n">
        <f aca="false">SUM(S11:S15)</f>
        <v>0</v>
      </c>
      <c r="T16" s="185" t="n">
        <f aca="false">SUM(T11:T15)</f>
        <v>0</v>
      </c>
      <c r="U16" s="185" t="n">
        <f aca="false">SUM(U11:U15)</f>
        <v>0</v>
      </c>
      <c r="V16" s="185" t="n">
        <f aca="false">SUM(V11:V15)</f>
        <v>0</v>
      </c>
      <c r="W16" s="185" t="n">
        <f aca="false">SUM(W11:W15)</f>
        <v>0</v>
      </c>
      <c r="X16" s="185" t="n">
        <f aca="false">SUM(X11:X15)</f>
        <v>0</v>
      </c>
      <c r="Y16" s="185" t="n">
        <f aca="false">SUM(Y11:Y15)</f>
        <v>0</v>
      </c>
      <c r="Z16" s="185" t="n">
        <f aca="false">SUM(Z11:Z15)</f>
        <v>0</v>
      </c>
      <c r="AA16" s="185" t="n">
        <f aca="false">SUM(AA11:AA15)</f>
        <v>0</v>
      </c>
      <c r="AB16" s="185" t="n">
        <f aca="false">SUM(AB11:AB15)</f>
        <v>0</v>
      </c>
      <c r="AC16" s="185" t="n">
        <f aca="false">SUM(AC11:AC15)</f>
        <v>0</v>
      </c>
      <c r="AD16" s="185" t="n">
        <f aca="false">SUM(AD11:AD15)</f>
        <v>0</v>
      </c>
      <c r="AE16" s="185" t="n">
        <f aca="false">SUM(AE11:AE15)</f>
        <v>0</v>
      </c>
      <c r="AF16" s="185" t="n">
        <f aca="false">SUM(AF11:AF15)</f>
        <v>0</v>
      </c>
      <c r="AG16" s="185" t="n">
        <f aca="false">SUM(AG11:AG15)</f>
        <v>0</v>
      </c>
      <c r="AH16" s="185" t="n">
        <f aca="false">SUM(AH11:AH15)</f>
        <v>0</v>
      </c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</row>
    <row r="17" customFormat="false" ht="12.75" hidden="false" customHeight="false" outlineLevel="0" collapsed="false">
      <c r="A17" s="31"/>
      <c r="B17" s="1"/>
      <c r="C17" s="298"/>
      <c r="D17" s="185"/>
      <c r="E17" s="185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</row>
    <row r="18" customFormat="false" ht="12.75" hidden="false" customHeight="false" outlineLevel="0" collapsed="false">
      <c r="A18" s="185" t="s">
        <v>307</v>
      </c>
      <c r="B18" s="1"/>
      <c r="C18" s="298" t="n">
        <f aca="false">Assumptions!C58</f>
        <v>28437.2906367135</v>
      </c>
      <c r="D18" s="185" t="n">
        <f aca="false">Depreciation!$B$48</f>
        <v>29334.6726367135</v>
      </c>
      <c r="E18" s="185" t="n">
        <f aca="false">Depreciation!$B$48</f>
        <v>29334.6726367135</v>
      </c>
      <c r="F18" s="185" t="n">
        <f aca="false">Depreciation!$B$48</f>
        <v>29334.6726367135</v>
      </c>
      <c r="G18" s="185" t="n">
        <f aca="false">Depreciation!$B$48</f>
        <v>29334.6726367135</v>
      </c>
      <c r="H18" s="185" t="n">
        <f aca="false">Depreciation!$B$48</f>
        <v>29334.6726367135</v>
      </c>
      <c r="I18" s="185" t="n">
        <f aca="false">Depreciation!$B$48</f>
        <v>29334.6726367135</v>
      </c>
      <c r="J18" s="185" t="n">
        <f aca="false">Depreciation!$B$48</f>
        <v>29334.6726367135</v>
      </c>
      <c r="K18" s="185" t="n">
        <f aca="false">Depreciation!$B$48</f>
        <v>29334.6726367135</v>
      </c>
      <c r="L18" s="185" t="n">
        <f aca="false">Depreciation!$B$48</f>
        <v>29334.6726367135</v>
      </c>
      <c r="M18" s="185" t="n">
        <f aca="false">Depreciation!$B$48</f>
        <v>29334.6726367135</v>
      </c>
      <c r="N18" s="185" t="n">
        <f aca="false">Depreciation!$B$48</f>
        <v>29334.6726367135</v>
      </c>
      <c r="O18" s="185" t="n">
        <f aca="false">Depreciation!$B$48</f>
        <v>29334.6726367135</v>
      </c>
      <c r="P18" s="185" t="n">
        <f aca="false">Depreciation!$B$48</f>
        <v>29334.6726367135</v>
      </c>
      <c r="Q18" s="185" t="n">
        <f aca="false">Depreciation!$B$48</f>
        <v>29334.6726367135</v>
      </c>
      <c r="R18" s="185" t="n">
        <f aca="false">Depreciation!$B$48</f>
        <v>29334.6726367135</v>
      </c>
      <c r="S18" s="185" t="n">
        <f aca="false">Depreciation!$B$48</f>
        <v>29334.6726367135</v>
      </c>
      <c r="T18" s="185" t="n">
        <f aca="false">Depreciation!$B$48</f>
        <v>29334.6726367135</v>
      </c>
      <c r="U18" s="185" t="n">
        <f aca="false">Depreciation!$B$48</f>
        <v>29334.6726367135</v>
      </c>
      <c r="V18" s="185" t="n">
        <f aca="false">Depreciation!$B$48</f>
        <v>29334.6726367135</v>
      </c>
      <c r="W18" s="185" t="n">
        <f aca="false">Depreciation!$B$48</f>
        <v>29334.6726367135</v>
      </c>
      <c r="X18" s="185" t="n">
        <f aca="false">Depreciation!$B$48</f>
        <v>29334.6726367135</v>
      </c>
      <c r="Y18" s="185" t="n">
        <f aca="false">Depreciation!$B$48</f>
        <v>29334.6726367135</v>
      </c>
      <c r="Z18" s="185" t="n">
        <f aca="false">Depreciation!$B$48</f>
        <v>29334.6726367135</v>
      </c>
      <c r="AA18" s="185" t="n">
        <f aca="false">Depreciation!$B$48</f>
        <v>29334.6726367135</v>
      </c>
      <c r="AB18" s="185" t="n">
        <f aca="false">Depreciation!$B$48</f>
        <v>29334.6726367135</v>
      </c>
      <c r="AC18" s="185" t="n">
        <f aca="false">Depreciation!$B$48</f>
        <v>29334.6726367135</v>
      </c>
      <c r="AD18" s="185" t="n">
        <f aca="false">Depreciation!$B$48</f>
        <v>29334.6726367135</v>
      </c>
      <c r="AE18" s="185" t="n">
        <f aca="false">Depreciation!$B$48</f>
        <v>29334.6726367135</v>
      </c>
      <c r="AF18" s="185" t="n">
        <f aca="false">Depreciation!$B$48</f>
        <v>29334.6726367135</v>
      </c>
      <c r="AG18" s="185" t="n">
        <f aca="false">Depreciation!$B$48</f>
        <v>29334.6726367135</v>
      </c>
      <c r="AH18" s="185" t="n">
        <f aca="false">Depreciation!$B$48</f>
        <v>29334.6726367135</v>
      </c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</row>
    <row r="19" customFormat="false" ht="12.75" hidden="false" customHeight="false" outlineLevel="0" collapsed="false">
      <c r="A19" s="185" t="s">
        <v>308</v>
      </c>
      <c r="B19" s="31"/>
      <c r="C19" s="301" t="n">
        <v>0</v>
      </c>
      <c r="D19" s="302" t="n">
        <f aca="false">SUM(Depreciation!$D$48:D48)</f>
        <v>844.189279400936</v>
      </c>
      <c r="E19" s="302" t="n">
        <f aca="false">SUM(Depreciation!$D$48:E48)</f>
        <v>2110.47319850234</v>
      </c>
      <c r="F19" s="302" t="n">
        <f aca="false">SUM(Depreciation!$D$48:F48)</f>
        <v>3376.75711760374</v>
      </c>
      <c r="G19" s="302" t="n">
        <f aca="false">SUM(Depreciation!$D$48:G48)</f>
        <v>4643.04103670515</v>
      </c>
      <c r="H19" s="302" t="n">
        <f aca="false">SUM(Depreciation!$D$48:H48)</f>
        <v>5909.32495580655</v>
      </c>
      <c r="I19" s="302" t="n">
        <f aca="false">SUM(Depreciation!$D$48:I48)</f>
        <v>6872.67260824129</v>
      </c>
      <c r="J19" s="302" t="n">
        <f aca="false">SUM(Depreciation!$D$48:J48)</f>
        <v>7684.55212734269</v>
      </c>
      <c r="K19" s="302" t="n">
        <f aca="false">SUM(Depreciation!$D$48:K48)</f>
        <v>8496.43164644409</v>
      </c>
      <c r="L19" s="302" t="n">
        <f aca="false">SUM(Depreciation!$D$48:L48)</f>
        <v>9308.3111655455</v>
      </c>
      <c r="M19" s="302" t="n">
        <f aca="false">SUM(Depreciation!$D$48:M48)</f>
        <v>10120.1906846469</v>
      </c>
      <c r="N19" s="302" t="n">
        <f aca="false">SUM(Depreciation!$D$48:N48)</f>
        <v>10932.0702037483</v>
      </c>
      <c r="O19" s="302" t="n">
        <f aca="false">SUM(Depreciation!$D$48:O48)</f>
        <v>11743.9497228497</v>
      </c>
      <c r="P19" s="302" t="n">
        <f aca="false">SUM(Depreciation!$D$48:P48)</f>
        <v>12555.8292419511</v>
      </c>
      <c r="Q19" s="302" t="n">
        <f aca="false">SUM(Depreciation!$D$48:Q48)</f>
        <v>13367.7087610525</v>
      </c>
      <c r="R19" s="302" t="n">
        <f aca="false">SUM(Depreciation!$D$48:R48)</f>
        <v>14179.5882801539</v>
      </c>
      <c r="S19" s="302" t="n">
        <f aca="false">SUM(Depreciation!$D$48:S48)</f>
        <v>14991.4677992553</v>
      </c>
      <c r="T19" s="302" t="n">
        <f aca="false">SUM(Depreciation!$D$48:T48)</f>
        <v>15803.3473183567</v>
      </c>
      <c r="U19" s="302" t="n">
        <f aca="false">SUM(Depreciation!$D$48:U48)</f>
        <v>16615.2268374581</v>
      </c>
      <c r="V19" s="302" t="n">
        <f aca="false">SUM(Depreciation!$D$48:V48)</f>
        <v>17427.1063565595</v>
      </c>
      <c r="W19" s="302" t="n">
        <f aca="false">SUM(Depreciation!$D$48:W48)</f>
        <v>18238.9858756609</v>
      </c>
      <c r="X19" s="302" t="n">
        <f aca="false">SUM(Depreciation!$D$48:X48)</f>
        <v>19050.8653947623</v>
      </c>
      <c r="Y19" s="302" t="n">
        <f aca="false">SUM(Depreciation!$D$48:Y48)</f>
        <v>19862.7449138637</v>
      </c>
      <c r="Z19" s="302" t="n">
        <f aca="false">SUM(Depreciation!$D$48:Z48)</f>
        <v>20674.6244329652</v>
      </c>
      <c r="AA19" s="302" t="n">
        <f aca="false">SUM(Depreciation!$D$48:AA48)</f>
        <v>21486.5039520666</v>
      </c>
      <c r="AB19" s="302" t="n">
        <f aca="false">SUM(Depreciation!$D$48:AB48)</f>
        <v>22298.383471168</v>
      </c>
      <c r="AC19" s="302" t="n">
        <f aca="false">SUM(Depreciation!$D$48:AC48)</f>
        <v>23110.2629902694</v>
      </c>
      <c r="AD19" s="302" t="n">
        <f aca="false">SUM(Depreciation!$D$48:AD48)</f>
        <v>23922.1425093708</v>
      </c>
      <c r="AE19" s="302" t="n">
        <f aca="false">SUM(Depreciation!$D$48:AE48)</f>
        <v>24734.0220284722</v>
      </c>
      <c r="AF19" s="302" t="n">
        <f aca="false">SUM(Depreciation!$D$48:AF48)</f>
        <v>25545.9015475736</v>
      </c>
      <c r="AG19" s="302" t="n">
        <f aca="false">SUM(Depreciation!$D$48:AG48)</f>
        <v>26357.781066675</v>
      </c>
      <c r="AH19" s="302" t="n">
        <f aca="false">SUM(Depreciation!$D$48:AH48)</f>
        <v>26628.4075730421</v>
      </c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</row>
    <row r="20" customFormat="false" ht="12.75" hidden="false" customHeight="false" outlineLevel="0" collapsed="false">
      <c r="A20" s="185" t="s">
        <v>309</v>
      </c>
      <c r="B20" s="31"/>
      <c r="C20" s="298" t="n">
        <f aca="false">C18-C19</f>
        <v>28437.2906367135</v>
      </c>
      <c r="D20" s="185" t="n">
        <f aca="false">D18-D19</f>
        <v>28490.4833573125</v>
      </c>
      <c r="E20" s="185" t="n">
        <f aca="false">E18-E19</f>
        <v>27224.1994382111</v>
      </c>
      <c r="F20" s="185" t="n">
        <f aca="false">F18-F19</f>
        <v>25957.9155191097</v>
      </c>
      <c r="G20" s="185" t="n">
        <f aca="false">G18-G19</f>
        <v>24691.6316000083</v>
      </c>
      <c r="H20" s="185" t="n">
        <f aca="false">H18-H19</f>
        <v>23425.3476809069</v>
      </c>
      <c r="I20" s="185" t="n">
        <f aca="false">I18-I19</f>
        <v>22462.0000284722</v>
      </c>
      <c r="J20" s="185" t="n">
        <f aca="false">J18-J19</f>
        <v>21650.1205093708</v>
      </c>
      <c r="K20" s="185" t="n">
        <f aca="false">K18-K19</f>
        <v>20838.2409902694</v>
      </c>
      <c r="L20" s="185" t="n">
        <f aca="false">L18-L19</f>
        <v>20026.361471168</v>
      </c>
      <c r="M20" s="185" t="n">
        <f aca="false">M18-M19</f>
        <v>19214.4819520666</v>
      </c>
      <c r="N20" s="185" t="n">
        <f aca="false">N18-N19</f>
        <v>18402.6024329652</v>
      </c>
      <c r="O20" s="185" t="n">
        <f aca="false">O18-O19</f>
        <v>17590.7229138637</v>
      </c>
      <c r="P20" s="185" t="n">
        <f aca="false">P18-P19</f>
        <v>16778.8433947623</v>
      </c>
      <c r="Q20" s="185" t="n">
        <f aca="false">Q18-Q19</f>
        <v>15966.9638756609</v>
      </c>
      <c r="R20" s="185" t="n">
        <f aca="false">R18-R19</f>
        <v>15155.0843565595</v>
      </c>
      <c r="S20" s="185" t="n">
        <f aca="false">S18-S19</f>
        <v>14343.2048374581</v>
      </c>
      <c r="T20" s="185" t="n">
        <f aca="false">T18-T19</f>
        <v>13531.3253183567</v>
      </c>
      <c r="U20" s="185" t="n">
        <f aca="false">U18-U19</f>
        <v>12719.4457992553</v>
      </c>
      <c r="V20" s="185" t="n">
        <f aca="false">V18-V19</f>
        <v>11907.5662801539</v>
      </c>
      <c r="W20" s="185" t="n">
        <f aca="false">W18-W19</f>
        <v>11095.6867610525</v>
      </c>
      <c r="X20" s="185" t="n">
        <f aca="false">X18-X19</f>
        <v>10283.8072419511</v>
      </c>
      <c r="Y20" s="185" t="n">
        <f aca="false">Y18-Y19</f>
        <v>9471.92772284971</v>
      </c>
      <c r="Z20" s="185" t="n">
        <f aca="false">Z18-Z19</f>
        <v>8660.04820374831</v>
      </c>
      <c r="AA20" s="185" t="n">
        <f aca="false">AA18-AA19</f>
        <v>7848.1686846469</v>
      </c>
      <c r="AB20" s="185" t="n">
        <f aca="false">AB18-AB19</f>
        <v>7036.2891655455</v>
      </c>
      <c r="AC20" s="185" t="n">
        <f aca="false">AC18-AC19</f>
        <v>6224.4096464441</v>
      </c>
      <c r="AD20" s="185" t="n">
        <f aca="false">AD18-AD19</f>
        <v>5412.53012734269</v>
      </c>
      <c r="AE20" s="185" t="n">
        <f aca="false">AE18-AE19</f>
        <v>4600.65060824129</v>
      </c>
      <c r="AF20" s="185" t="n">
        <f aca="false">AF18-AF19</f>
        <v>3788.77108913989</v>
      </c>
      <c r="AG20" s="185" t="n">
        <f aca="false">AG18-AG19</f>
        <v>2976.89157003848</v>
      </c>
      <c r="AH20" s="185" t="n">
        <f aca="false">AH18-AH19</f>
        <v>2706.26506367134</v>
      </c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</row>
    <row r="21" customFormat="false" ht="12.75" hidden="false" customHeight="false" outlineLevel="0" collapsed="false">
      <c r="A21" s="185"/>
      <c r="B21" s="31"/>
      <c r="C21" s="298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</row>
    <row r="22" customFormat="false" ht="12.75" hidden="false" customHeight="false" outlineLevel="0" collapsed="false">
      <c r="A22" s="185" t="s">
        <v>310</v>
      </c>
      <c r="B22" s="31"/>
      <c r="C22" s="298" t="n">
        <f aca="false">Assumptions!$C$47</f>
        <v>0</v>
      </c>
      <c r="D22" s="185" t="n">
        <f aca="false">Assumptions!$C$47</f>
        <v>0</v>
      </c>
      <c r="E22" s="185" t="n">
        <f aca="false">Assumptions!$C$47</f>
        <v>0</v>
      </c>
      <c r="F22" s="185" t="n">
        <f aca="false">Assumptions!$C$47</f>
        <v>0</v>
      </c>
      <c r="G22" s="185" t="n">
        <f aca="false">Assumptions!$C$47</f>
        <v>0</v>
      </c>
      <c r="H22" s="185" t="n">
        <f aca="false">Assumptions!$C$47</f>
        <v>0</v>
      </c>
      <c r="I22" s="185" t="n">
        <f aca="false">Assumptions!$C$47</f>
        <v>0</v>
      </c>
      <c r="J22" s="185" t="n">
        <f aca="false">Assumptions!$C$47</f>
        <v>0</v>
      </c>
      <c r="K22" s="185" t="n">
        <f aca="false">Assumptions!$C$47</f>
        <v>0</v>
      </c>
      <c r="L22" s="185" t="n">
        <f aca="false">Assumptions!$C$47</f>
        <v>0</v>
      </c>
      <c r="M22" s="185" t="n">
        <f aca="false">Assumptions!$C$47</f>
        <v>0</v>
      </c>
      <c r="N22" s="185" t="n">
        <f aca="false">Assumptions!$C$47</f>
        <v>0</v>
      </c>
      <c r="O22" s="185" t="n">
        <f aca="false">Assumptions!$C$47</f>
        <v>0</v>
      </c>
      <c r="P22" s="185" t="n">
        <f aca="false">Assumptions!$C$47</f>
        <v>0</v>
      </c>
      <c r="Q22" s="185" t="n">
        <f aca="false">Assumptions!$C$47</f>
        <v>0</v>
      </c>
      <c r="R22" s="185" t="n">
        <f aca="false">Assumptions!$C$47</f>
        <v>0</v>
      </c>
      <c r="S22" s="185" t="n">
        <f aca="false">Assumptions!$C$47</f>
        <v>0</v>
      </c>
      <c r="T22" s="185" t="n">
        <f aca="false">Assumptions!$C$47</f>
        <v>0</v>
      </c>
      <c r="U22" s="185" t="n">
        <f aca="false">Assumptions!$C$47</f>
        <v>0</v>
      </c>
      <c r="V22" s="185" t="n">
        <f aca="false">Assumptions!$C$47</f>
        <v>0</v>
      </c>
      <c r="W22" s="185" t="n">
        <f aca="false">Assumptions!$C$47</f>
        <v>0</v>
      </c>
      <c r="X22" s="185" t="n">
        <f aca="false">Assumptions!$C$47</f>
        <v>0</v>
      </c>
      <c r="Y22" s="185" t="n">
        <f aca="false">Assumptions!$C$47</f>
        <v>0</v>
      </c>
      <c r="Z22" s="185" t="n">
        <f aca="false">Assumptions!$C$47</f>
        <v>0</v>
      </c>
      <c r="AA22" s="185" t="n">
        <f aca="false">Assumptions!$C$47</f>
        <v>0</v>
      </c>
      <c r="AB22" s="185" t="n">
        <f aca="false">Assumptions!$C$47</f>
        <v>0</v>
      </c>
      <c r="AC22" s="185" t="n">
        <f aca="false">Assumptions!$C$47</f>
        <v>0</v>
      </c>
      <c r="AD22" s="185" t="n">
        <f aca="false">Assumptions!$C$47</f>
        <v>0</v>
      </c>
      <c r="AE22" s="185" t="n">
        <f aca="false">Assumptions!$C$47</f>
        <v>0</v>
      </c>
      <c r="AF22" s="185" t="n">
        <f aca="false">Assumptions!$C$47</f>
        <v>0</v>
      </c>
      <c r="AG22" s="185" t="n">
        <f aca="false">Assumptions!$C$47</f>
        <v>0</v>
      </c>
      <c r="AH22" s="185" t="n">
        <f aca="false">Assumptions!$C$47</f>
        <v>0</v>
      </c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</row>
    <row r="23" customFormat="false" ht="12.75" hidden="false" customHeight="false" outlineLevel="0" collapsed="false">
      <c r="A23" s="185" t="s">
        <v>311</v>
      </c>
      <c r="B23" s="31"/>
      <c r="C23" s="301" t="n">
        <v>0</v>
      </c>
      <c r="D23" s="302" t="n">
        <v>0</v>
      </c>
      <c r="E23" s="302" t="n">
        <v>0</v>
      </c>
      <c r="F23" s="302" t="n">
        <v>0</v>
      </c>
      <c r="G23" s="302" t="n">
        <v>0</v>
      </c>
      <c r="H23" s="302" t="n">
        <v>0</v>
      </c>
      <c r="I23" s="302" t="n">
        <v>0</v>
      </c>
      <c r="J23" s="302" t="n">
        <v>0</v>
      </c>
      <c r="K23" s="302" t="n">
        <v>0</v>
      </c>
      <c r="L23" s="302" t="n">
        <v>0</v>
      </c>
      <c r="M23" s="302" t="n">
        <v>0</v>
      </c>
      <c r="N23" s="302" t="n">
        <v>0</v>
      </c>
      <c r="O23" s="302" t="n">
        <v>0</v>
      </c>
      <c r="P23" s="302" t="n">
        <v>0</v>
      </c>
      <c r="Q23" s="302" t="n">
        <v>0</v>
      </c>
      <c r="R23" s="302" t="n">
        <v>0</v>
      </c>
      <c r="S23" s="302" t="n">
        <v>0</v>
      </c>
      <c r="T23" s="302" t="n">
        <v>0</v>
      </c>
      <c r="U23" s="302" t="n">
        <v>0</v>
      </c>
      <c r="V23" s="302" t="n">
        <v>0</v>
      </c>
      <c r="W23" s="302" t="n">
        <v>0</v>
      </c>
      <c r="X23" s="302" t="n">
        <v>0</v>
      </c>
      <c r="Y23" s="302" t="n">
        <v>0</v>
      </c>
      <c r="Z23" s="302" t="n">
        <v>0</v>
      </c>
      <c r="AA23" s="302" t="n">
        <v>0</v>
      </c>
      <c r="AB23" s="302" t="n">
        <v>0</v>
      </c>
      <c r="AC23" s="302" t="n">
        <v>0</v>
      </c>
      <c r="AD23" s="302" t="n">
        <v>0</v>
      </c>
      <c r="AE23" s="302" t="n">
        <v>0</v>
      </c>
      <c r="AF23" s="302" t="n">
        <v>0</v>
      </c>
      <c r="AG23" s="302" t="n">
        <v>0</v>
      </c>
      <c r="AH23" s="302" t="n">
        <v>0</v>
      </c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</row>
    <row r="24" customFormat="false" ht="12.75" hidden="false" customHeight="false" outlineLevel="0" collapsed="false">
      <c r="A24" s="31"/>
      <c r="B24" s="31"/>
      <c r="C24" s="298"/>
      <c r="D24" s="185"/>
      <c r="E24" s="185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</row>
    <row r="25" customFormat="false" ht="12.75" hidden="false" customHeight="false" outlineLevel="0" collapsed="false">
      <c r="A25" s="303" t="s">
        <v>312</v>
      </c>
      <c r="B25" s="31"/>
      <c r="C25" s="298" t="n">
        <f aca="false">SUM(C16,C20,C22,C23)</f>
        <v>28437.2906367135</v>
      </c>
      <c r="D25" s="185" t="n">
        <f aca="false">SUM(D16,D20,D22,D23)</f>
        <v>28490.4833573125</v>
      </c>
      <c r="E25" s="185" t="n">
        <f aca="false">SUM(E16,E20,E22,E23)</f>
        <v>27224.1994382111</v>
      </c>
      <c r="F25" s="185" t="n">
        <f aca="false">SUM(F16,F20,F22,F23)</f>
        <v>25957.9155191097</v>
      </c>
      <c r="G25" s="185" t="n">
        <f aca="false">SUM(G16,G20,G22,G23)</f>
        <v>24691.6316000083</v>
      </c>
      <c r="H25" s="185" t="n">
        <f aca="false">SUM(H16,H20,H22,H23)</f>
        <v>23425.3476809069</v>
      </c>
      <c r="I25" s="185" t="n">
        <f aca="false">SUM(I16,I20,I22,I23)</f>
        <v>22462.0000284722</v>
      </c>
      <c r="J25" s="185" t="n">
        <f aca="false">SUM(J16,J20,J22,J23)</f>
        <v>21650.1205093708</v>
      </c>
      <c r="K25" s="185" t="n">
        <f aca="false">SUM(K16,K20,K22,K23)</f>
        <v>20838.2409902694</v>
      </c>
      <c r="L25" s="185" t="n">
        <f aca="false">SUM(L16,L20,L22,L23)</f>
        <v>20026.361471168</v>
      </c>
      <c r="M25" s="185" t="n">
        <f aca="false">SUM(M16,M20,M22,M23)</f>
        <v>19214.4819520666</v>
      </c>
      <c r="N25" s="185" t="n">
        <f aca="false">SUM(N16,N20,N22,N23)</f>
        <v>18402.6024329652</v>
      </c>
      <c r="O25" s="185" t="n">
        <f aca="false">SUM(O16,O20,O22,O23)</f>
        <v>17590.7229138637</v>
      </c>
      <c r="P25" s="185" t="n">
        <f aca="false">SUM(P16,P20,P22,P23)</f>
        <v>16778.8433947623</v>
      </c>
      <c r="Q25" s="185" t="n">
        <f aca="false">SUM(Q16,Q20,Q22,Q23)</f>
        <v>15966.9638756609</v>
      </c>
      <c r="R25" s="185" t="n">
        <f aca="false">SUM(R16,R20,R22,R23)</f>
        <v>15155.0843565595</v>
      </c>
      <c r="S25" s="185" t="n">
        <f aca="false">SUM(S16,S20,S22,S23)</f>
        <v>14343.2048374581</v>
      </c>
      <c r="T25" s="185" t="n">
        <f aca="false">SUM(T16,T20,T22,T23)</f>
        <v>13531.3253183567</v>
      </c>
      <c r="U25" s="185" t="n">
        <f aca="false">SUM(U16,U20,U22,U23)</f>
        <v>12719.4457992553</v>
      </c>
      <c r="V25" s="185" t="n">
        <f aca="false">SUM(V16,V20,V22,V23)</f>
        <v>11907.5662801539</v>
      </c>
      <c r="W25" s="185" t="n">
        <f aca="false">SUM(W16,W20,W22,W23)</f>
        <v>11095.6867610525</v>
      </c>
      <c r="X25" s="185" t="n">
        <f aca="false">SUM(X16,X20,X22,X23)</f>
        <v>10283.8072419511</v>
      </c>
      <c r="Y25" s="185" t="n">
        <f aca="false">SUM(Y16,Y20,Y22,Y23)</f>
        <v>9471.92772284971</v>
      </c>
      <c r="Z25" s="185" t="n">
        <f aca="false">SUM(Z16,Z20,Z22,Z23)</f>
        <v>8660.04820374831</v>
      </c>
      <c r="AA25" s="185" t="n">
        <f aca="false">SUM(AA16,AA20,AA22,AA23)</f>
        <v>7848.1686846469</v>
      </c>
      <c r="AB25" s="185" t="n">
        <f aca="false">SUM(AB16,AB20,AB22,AB23)</f>
        <v>7036.2891655455</v>
      </c>
      <c r="AC25" s="185" t="n">
        <f aca="false">SUM(AC16,AC20,AC22,AC23)</f>
        <v>6224.4096464441</v>
      </c>
      <c r="AD25" s="185" t="n">
        <f aca="false">SUM(AD16,AD20,AD22,AD23)</f>
        <v>5412.53012734269</v>
      </c>
      <c r="AE25" s="185" t="n">
        <f aca="false">SUM(AE16,AE20,AE22,AE23)</f>
        <v>4600.65060824129</v>
      </c>
      <c r="AF25" s="185" t="n">
        <f aca="false">SUM(AF16,AF20,AF22,AF23)</f>
        <v>3788.77108913989</v>
      </c>
      <c r="AG25" s="185" t="n">
        <f aca="false">SUM(AG16,AG20,AG22,AG23)</f>
        <v>2976.89157003848</v>
      </c>
      <c r="AH25" s="185" t="n">
        <f aca="false">SUM(AH16,AH20,AH22,AH23)</f>
        <v>2706.26506367134</v>
      </c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</row>
    <row r="26" customFormat="false" ht="12.75" hidden="false" customHeight="false" outlineLevel="0" collapsed="false">
      <c r="A26" s="31"/>
      <c r="B26" s="31"/>
      <c r="C26" s="298"/>
      <c r="D26" s="185"/>
      <c r="E26" s="185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</row>
    <row r="27" customFormat="false" ht="12.75" hidden="false" customHeight="false" outlineLevel="0" collapsed="false">
      <c r="A27" s="31"/>
      <c r="B27" s="31"/>
      <c r="C27" s="298"/>
      <c r="D27" s="185"/>
      <c r="E27" s="185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</row>
    <row r="28" customFormat="false" ht="12.75" hidden="false" customHeight="false" outlineLevel="0" collapsed="false">
      <c r="A28" s="303" t="s">
        <v>313</v>
      </c>
      <c r="B28" s="31"/>
      <c r="C28" s="298"/>
      <c r="D28" s="185"/>
      <c r="E28" s="18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</row>
    <row r="29" customFormat="false" ht="12.75" hidden="false" customHeight="false" outlineLevel="0" collapsed="false">
      <c r="A29" s="303"/>
      <c r="B29" s="31"/>
      <c r="C29" s="298"/>
      <c r="D29" s="185"/>
      <c r="E29" s="185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</row>
    <row r="30" customFormat="false" ht="12.75" hidden="false" customHeight="false" outlineLevel="0" collapsed="false">
      <c r="A30" s="185" t="s">
        <v>314</v>
      </c>
      <c r="C30" s="298" t="n">
        <v>0</v>
      </c>
      <c r="D30" s="185" t="n">
        <v>0</v>
      </c>
      <c r="E30" s="185" t="n">
        <v>0</v>
      </c>
      <c r="F30" s="185" t="n">
        <v>0</v>
      </c>
      <c r="G30" s="185" t="n">
        <v>0</v>
      </c>
      <c r="H30" s="185" t="n">
        <v>0</v>
      </c>
      <c r="I30" s="185" t="n">
        <v>0</v>
      </c>
      <c r="J30" s="185" t="n">
        <v>0</v>
      </c>
      <c r="K30" s="185" t="n">
        <v>0</v>
      </c>
      <c r="L30" s="185" t="n">
        <v>0</v>
      </c>
      <c r="M30" s="185" t="n">
        <v>0</v>
      </c>
      <c r="N30" s="185" t="n">
        <v>0</v>
      </c>
      <c r="O30" s="185" t="n">
        <v>0</v>
      </c>
      <c r="P30" s="185" t="n">
        <v>0</v>
      </c>
      <c r="Q30" s="185" t="n">
        <v>0</v>
      </c>
      <c r="R30" s="185" t="n">
        <v>0</v>
      </c>
      <c r="S30" s="185" t="n">
        <v>0</v>
      </c>
      <c r="T30" s="185" t="n">
        <v>0</v>
      </c>
      <c r="U30" s="185" t="n">
        <v>0</v>
      </c>
      <c r="V30" s="185" t="n">
        <v>0</v>
      </c>
      <c r="W30" s="185" t="n">
        <v>0</v>
      </c>
      <c r="X30" s="185" t="n">
        <v>0</v>
      </c>
      <c r="Y30" s="185" t="n">
        <v>0</v>
      </c>
      <c r="Z30" s="185" t="n">
        <v>0</v>
      </c>
      <c r="AA30" s="185" t="n">
        <v>0</v>
      </c>
      <c r="AB30" s="185" t="n">
        <v>0</v>
      </c>
      <c r="AC30" s="185" t="n">
        <v>0</v>
      </c>
      <c r="AD30" s="185" t="n">
        <v>0</v>
      </c>
      <c r="AE30" s="185" t="n">
        <v>0</v>
      </c>
      <c r="AF30" s="185" t="n">
        <v>0</v>
      </c>
      <c r="AG30" s="185" t="n">
        <v>0</v>
      </c>
      <c r="AH30" s="185" t="n">
        <v>0</v>
      </c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</row>
    <row r="31" customFormat="false" ht="12.75" hidden="false" customHeight="false" outlineLevel="0" collapsed="false">
      <c r="A31" s="185" t="s">
        <v>315</v>
      </c>
      <c r="C31" s="298" t="n">
        <v>0</v>
      </c>
      <c r="D31" s="185" t="n">
        <v>0</v>
      </c>
      <c r="E31" s="185" t="n">
        <v>0</v>
      </c>
      <c r="F31" s="185" t="n">
        <v>0</v>
      </c>
      <c r="G31" s="185" t="n">
        <v>0</v>
      </c>
      <c r="H31" s="185" t="n">
        <v>0</v>
      </c>
      <c r="I31" s="185" t="n">
        <v>0</v>
      </c>
      <c r="J31" s="185" t="n">
        <v>0</v>
      </c>
      <c r="K31" s="185" t="n">
        <v>0</v>
      </c>
      <c r="L31" s="185" t="n">
        <v>0</v>
      </c>
      <c r="M31" s="185" t="n">
        <v>0</v>
      </c>
      <c r="N31" s="185" t="n">
        <v>0</v>
      </c>
      <c r="O31" s="185" t="n">
        <v>0</v>
      </c>
      <c r="P31" s="185" t="n">
        <v>0</v>
      </c>
      <c r="Q31" s="185" t="n">
        <v>0</v>
      </c>
      <c r="R31" s="185" t="n">
        <v>0</v>
      </c>
      <c r="S31" s="185" t="n">
        <v>0</v>
      </c>
      <c r="T31" s="185" t="n">
        <v>0</v>
      </c>
      <c r="U31" s="185" t="n">
        <v>0</v>
      </c>
      <c r="V31" s="185" t="n">
        <v>0</v>
      </c>
      <c r="W31" s="185" t="n">
        <v>0</v>
      </c>
      <c r="X31" s="185" t="n">
        <v>0</v>
      </c>
      <c r="Y31" s="185" t="n">
        <v>0</v>
      </c>
      <c r="Z31" s="185" t="n">
        <v>0</v>
      </c>
      <c r="AA31" s="185" t="n">
        <v>0</v>
      </c>
      <c r="AB31" s="185" t="n">
        <v>0</v>
      </c>
      <c r="AC31" s="185" t="n">
        <v>0</v>
      </c>
      <c r="AD31" s="185" t="n">
        <v>0</v>
      </c>
      <c r="AE31" s="185" t="n">
        <v>0</v>
      </c>
      <c r="AF31" s="185" t="n">
        <v>0</v>
      </c>
      <c r="AG31" s="185" t="n">
        <v>0</v>
      </c>
      <c r="AH31" s="185" t="n">
        <v>0</v>
      </c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</row>
    <row r="32" customFormat="false" ht="12.75" hidden="false" customHeight="false" outlineLevel="0" collapsed="false">
      <c r="A32" s="185" t="s">
        <v>316</v>
      </c>
      <c r="C32" s="298" t="n">
        <v>0</v>
      </c>
      <c r="D32" s="185" t="e">
        <f aca="false">C32+('Returns Analysis'!C15+#REF!)+(IS!C42+IS!C43)</f>
        <v>#REF!</v>
      </c>
      <c r="E32" s="185" t="e">
        <f aca="false">D32+('Returns Analysis'!D15+#REF!)+(IS!D42+IS!D43)</f>
        <v>#REF!</v>
      </c>
      <c r="F32" s="185" t="e">
        <f aca="false">E32+('Returns Analysis'!E15+#REF!)+(IS!E42+IS!E43)</f>
        <v>#REF!</v>
      </c>
      <c r="G32" s="185" t="e">
        <f aca="false">F32+('Returns Analysis'!F15+#REF!)+(IS!F42+IS!F43)</f>
        <v>#REF!</v>
      </c>
      <c r="H32" s="185" t="e">
        <f aca="false">G32+('Returns Analysis'!G15+#REF!)+(IS!G42+IS!G43)</f>
        <v>#REF!</v>
      </c>
      <c r="I32" s="185" t="e">
        <f aca="false">H32+('Returns Analysis'!H15+#REF!)+(IS!H42+IS!H43)</f>
        <v>#REF!</v>
      </c>
      <c r="J32" s="185" t="e">
        <f aca="false">I32+('Returns Analysis'!I15+#REF!)+(IS!I42+IS!I43)</f>
        <v>#REF!</v>
      </c>
      <c r="K32" s="185" t="e">
        <f aca="false">J32+('Returns Analysis'!J15+#REF!)+(IS!J42+IS!J43)</f>
        <v>#REF!</v>
      </c>
      <c r="L32" s="185" t="e">
        <f aca="false">K32+('Returns Analysis'!K15+#REF!)+(IS!K42+IS!K43)</f>
        <v>#REF!</v>
      </c>
      <c r="M32" s="185" t="e">
        <f aca="false">L32+('Returns Analysis'!L15+#REF!)+(IS!L42+IS!L43)</f>
        <v>#REF!</v>
      </c>
      <c r="N32" s="185" t="e">
        <f aca="false">M32+('Returns Analysis'!M15+#REF!)+(IS!M42+IS!M43)</f>
        <v>#REF!</v>
      </c>
      <c r="O32" s="185" t="e">
        <f aca="false">N32+('Returns Analysis'!N15+#REF!)+(IS!N42+IS!N43)</f>
        <v>#REF!</v>
      </c>
      <c r="P32" s="185" t="e">
        <f aca="false">O32+('Returns Analysis'!O15+#REF!)+(IS!O42+IS!O43)</f>
        <v>#REF!</v>
      </c>
      <c r="Q32" s="185" t="e">
        <f aca="false">P32+('Returns Analysis'!P15+#REF!)+(IS!P42+IS!P43)</f>
        <v>#REF!</v>
      </c>
      <c r="R32" s="185" t="e">
        <f aca="false">Q32+('Returns Analysis'!Q15+#REF!)+(IS!Q42+IS!Q43)</f>
        <v>#REF!</v>
      </c>
      <c r="S32" s="185" t="e">
        <f aca="false">R32+('Returns Analysis'!R15+#REF!)+(IS!R42+IS!R43)</f>
        <v>#REF!</v>
      </c>
      <c r="T32" s="185" t="e">
        <f aca="false">S32+('Returns Analysis'!S15+#REF!)+(IS!S42+IS!S43)</f>
        <v>#REF!</v>
      </c>
      <c r="U32" s="185" t="e">
        <f aca="false">T32+('Returns Analysis'!T15+#REF!)+(IS!T42+IS!T43)</f>
        <v>#REF!</v>
      </c>
      <c r="V32" s="185" t="e">
        <f aca="false">U32+('Returns Analysis'!U15+#REF!)+(IS!U42+IS!U43)</f>
        <v>#REF!</v>
      </c>
      <c r="W32" s="185" t="e">
        <f aca="false">V32+('Returns Analysis'!V15+#REF!)+(IS!V42+IS!V43)</f>
        <v>#REF!</v>
      </c>
      <c r="X32" s="185" t="e">
        <f aca="false">W32+('Returns Analysis'!W15+#REF!)+(IS!W42+IS!W43)</f>
        <v>#REF!</v>
      </c>
      <c r="Y32" s="185" t="e">
        <f aca="false">X32+('Returns Analysis'!X15+#REF!)+(IS!X42+IS!X43)</f>
        <v>#REF!</v>
      </c>
      <c r="Z32" s="185" t="e">
        <f aca="false">Y32+('Returns Analysis'!Y15+#REF!)+(IS!Y42+IS!Y43)</f>
        <v>#REF!</v>
      </c>
      <c r="AA32" s="185" t="e">
        <f aca="false">Z32+('Returns Analysis'!Z15+#REF!)+(IS!Z42+IS!Z43)</f>
        <v>#REF!</v>
      </c>
      <c r="AB32" s="185" t="e">
        <f aca="false">AA32+('Returns Analysis'!AA15+#REF!)+(IS!AA42+IS!AA43)</f>
        <v>#REF!</v>
      </c>
      <c r="AC32" s="185" t="e">
        <f aca="false">AB32+('Returns Analysis'!AB15+#REF!)+(IS!AB42+IS!AB43)</f>
        <v>#REF!</v>
      </c>
      <c r="AD32" s="185" t="e">
        <f aca="false">AC32+('Returns Analysis'!AC15+#REF!)+(IS!AC42+IS!AC43)</f>
        <v>#REF!</v>
      </c>
      <c r="AE32" s="185" t="e">
        <f aca="false">AD32+('Returns Analysis'!AD15+#REF!)+(IS!AD42+IS!AD43)</f>
        <v>#REF!</v>
      </c>
      <c r="AF32" s="185" t="e">
        <f aca="false">AE32+('Returns Analysis'!AE15+#REF!)+(IS!AE42+IS!AE43)</f>
        <v>#REF!</v>
      </c>
      <c r="AG32" s="185" t="e">
        <f aca="false">AF32+('Returns Analysis'!AF15+#REF!)+(IS!AF42+IS!AF43)</f>
        <v>#REF!</v>
      </c>
      <c r="AH32" s="185" t="e">
        <f aca="false">AG32+('Returns Analysis'!AG15+#REF!)+(IS!AG42+IS!AG43)</f>
        <v>#REF!</v>
      </c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</row>
    <row r="33" customFormat="false" ht="12.75" hidden="false" customHeight="false" outlineLevel="0" collapsed="false">
      <c r="A33" s="185" t="s">
        <v>317</v>
      </c>
      <c r="C33" s="298" t="n">
        <v>0</v>
      </c>
      <c r="D33" s="185" t="n">
        <f aca="false">Assumptions!$C$47</f>
        <v>0</v>
      </c>
      <c r="E33" s="185" t="n">
        <f aca="false">Assumptions!$C$47</f>
        <v>0</v>
      </c>
      <c r="F33" s="185" t="n">
        <f aca="false">Assumptions!$C$47</f>
        <v>0</v>
      </c>
      <c r="G33" s="185" t="n">
        <f aca="false">Assumptions!$C$47</f>
        <v>0</v>
      </c>
      <c r="H33" s="185" t="n">
        <f aca="false">Assumptions!$C$47</f>
        <v>0</v>
      </c>
      <c r="I33" s="185" t="n">
        <f aca="false">Assumptions!$C$47</f>
        <v>0</v>
      </c>
      <c r="J33" s="185" t="n">
        <f aca="false">Assumptions!$C$47</f>
        <v>0</v>
      </c>
      <c r="K33" s="185" t="n">
        <f aca="false">Assumptions!$C$47</f>
        <v>0</v>
      </c>
      <c r="L33" s="185" t="n">
        <f aca="false">Assumptions!$C$47</f>
        <v>0</v>
      </c>
      <c r="M33" s="185" t="n">
        <f aca="false">Assumptions!$C$47</f>
        <v>0</v>
      </c>
      <c r="N33" s="185" t="n">
        <f aca="false">Assumptions!$C$47</f>
        <v>0</v>
      </c>
      <c r="O33" s="185" t="n">
        <f aca="false">Assumptions!$C$47</f>
        <v>0</v>
      </c>
      <c r="P33" s="185" t="n">
        <f aca="false">Assumptions!$C$47</f>
        <v>0</v>
      </c>
      <c r="Q33" s="185" t="n">
        <f aca="false">Assumptions!$C$47</f>
        <v>0</v>
      </c>
      <c r="R33" s="185" t="n">
        <f aca="false">Assumptions!$C$47</f>
        <v>0</v>
      </c>
      <c r="S33" s="185" t="n">
        <f aca="false">Assumptions!$C$47</f>
        <v>0</v>
      </c>
      <c r="T33" s="185" t="n">
        <f aca="false">Assumptions!$C$47</f>
        <v>0</v>
      </c>
      <c r="U33" s="185" t="n">
        <f aca="false">Assumptions!$C$47</f>
        <v>0</v>
      </c>
      <c r="V33" s="185" t="n">
        <f aca="false">Assumptions!$C$47</f>
        <v>0</v>
      </c>
      <c r="W33" s="185" t="n">
        <f aca="false">Assumptions!$C$47</f>
        <v>0</v>
      </c>
      <c r="X33" s="185" t="n">
        <f aca="false">Assumptions!$C$47</f>
        <v>0</v>
      </c>
      <c r="Y33" s="185" t="n">
        <f aca="false">Assumptions!$C$47</f>
        <v>0</v>
      </c>
      <c r="Z33" s="185" t="n">
        <f aca="false">Assumptions!$C$47</f>
        <v>0</v>
      </c>
      <c r="AA33" s="185" t="n">
        <f aca="false">Assumptions!$C$47</f>
        <v>0</v>
      </c>
      <c r="AB33" s="185" t="n">
        <f aca="false">Assumptions!$C$47</f>
        <v>0</v>
      </c>
      <c r="AC33" s="185" t="n">
        <f aca="false">Assumptions!$C$47</f>
        <v>0</v>
      </c>
      <c r="AD33" s="185" t="n">
        <f aca="false">Assumptions!$C$47</f>
        <v>0</v>
      </c>
      <c r="AE33" s="185" t="n">
        <f aca="false">Assumptions!$C$47</f>
        <v>0</v>
      </c>
      <c r="AF33" s="185" t="n">
        <f aca="false">Assumptions!$C$47</f>
        <v>0</v>
      </c>
      <c r="AG33" s="185" t="n">
        <f aca="false">Assumptions!$C$47</f>
        <v>0</v>
      </c>
      <c r="AH33" s="185" t="n">
        <f aca="false">Assumptions!$C$47</f>
        <v>0</v>
      </c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</row>
    <row r="34" customFormat="false" ht="12.75" hidden="false" customHeight="false" outlineLevel="0" collapsed="false">
      <c r="A34" s="185" t="s">
        <v>318</v>
      </c>
      <c r="C34" s="298" t="n">
        <f aca="false">Assumptions!C12</f>
        <v>11225.3481719772</v>
      </c>
      <c r="D34" s="185" t="e">
        <f aca="false">#REF!+#REF!+#REF!</f>
        <v>#REF!</v>
      </c>
      <c r="E34" s="185" t="e">
        <f aca="false">#REF!+#REF!+#REF!</f>
        <v>#REF!</v>
      </c>
      <c r="F34" s="185" t="e">
        <f aca="false">#REF!+#REF!+#REF!</f>
        <v>#REF!</v>
      </c>
      <c r="G34" s="185" t="e">
        <f aca="false">#REF!+#REF!+#REF!</f>
        <v>#REF!</v>
      </c>
      <c r="H34" s="185" t="e">
        <f aca="false">#REF!+#REF!+#REF!</f>
        <v>#REF!</v>
      </c>
      <c r="I34" s="185" t="e">
        <f aca="false">#REF!+#REF!+#REF!</f>
        <v>#REF!</v>
      </c>
      <c r="J34" s="185" t="e">
        <f aca="false">#REF!+#REF!+#REF!</f>
        <v>#REF!</v>
      </c>
      <c r="K34" s="185" t="e">
        <f aca="false">#REF!+#REF!+#REF!</f>
        <v>#REF!</v>
      </c>
      <c r="L34" s="185" t="e">
        <f aca="false">#REF!+#REF!+#REF!</f>
        <v>#REF!</v>
      </c>
      <c r="M34" s="185" t="e">
        <f aca="false">#REF!+#REF!+#REF!</f>
        <v>#REF!</v>
      </c>
      <c r="N34" s="185" t="e">
        <f aca="false">#REF!+#REF!+#REF!</f>
        <v>#REF!</v>
      </c>
      <c r="O34" s="185" t="e">
        <f aca="false">#REF!+#REF!+#REF!</f>
        <v>#REF!</v>
      </c>
      <c r="P34" s="185" t="e">
        <f aca="false">#REF!+#REF!+#REF!</f>
        <v>#REF!</v>
      </c>
      <c r="Q34" s="185" t="e">
        <f aca="false">#REF!+#REF!+#REF!</f>
        <v>#REF!</v>
      </c>
      <c r="R34" s="185" t="e">
        <f aca="false">#REF!+#REF!+#REF!</f>
        <v>#REF!</v>
      </c>
      <c r="S34" s="185" t="e">
        <f aca="false">#REF!+#REF!+#REF!</f>
        <v>#REF!</v>
      </c>
      <c r="T34" s="185" t="e">
        <f aca="false">#REF!+#REF!+#REF!</f>
        <v>#REF!</v>
      </c>
      <c r="U34" s="185" t="e">
        <f aca="false">#REF!+#REF!+#REF!</f>
        <v>#REF!</v>
      </c>
      <c r="V34" s="185" t="e">
        <f aca="false">#REF!+#REF!+#REF!</f>
        <v>#REF!</v>
      </c>
      <c r="W34" s="185" t="e">
        <f aca="false">#REF!+#REF!+#REF!</f>
        <v>#REF!</v>
      </c>
      <c r="X34" s="185" t="e">
        <f aca="false">#REF!+#REF!+#REF!</f>
        <v>#REF!</v>
      </c>
      <c r="Y34" s="185" t="e">
        <f aca="false">#REF!+#REF!+#REF!</f>
        <v>#REF!</v>
      </c>
      <c r="Z34" s="185" t="e">
        <f aca="false">#REF!+#REF!+#REF!</f>
        <v>#REF!</v>
      </c>
      <c r="AA34" s="185" t="e">
        <f aca="false">#REF!+#REF!+#REF!</f>
        <v>#REF!</v>
      </c>
      <c r="AB34" s="185" t="e">
        <f aca="false">#REF!+#REF!+#REF!</f>
        <v>#REF!</v>
      </c>
      <c r="AC34" s="185" t="e">
        <f aca="false">#REF!+#REF!+#REF!</f>
        <v>#REF!</v>
      </c>
      <c r="AD34" s="185" t="e">
        <f aca="false">#REF!+#REF!+#REF!</f>
        <v>#REF!</v>
      </c>
      <c r="AE34" s="185" t="e">
        <f aca="false">#REF!+#REF!+#REF!</f>
        <v>#REF!</v>
      </c>
      <c r="AF34" s="185" t="e">
        <f aca="false">#REF!+#REF!+#REF!</f>
        <v>#REF!</v>
      </c>
      <c r="AG34" s="185" t="e">
        <f aca="false">#REF!+#REF!+#REF!</f>
        <v>#REF!</v>
      </c>
      <c r="AH34" s="185" t="e">
        <f aca="false">#REF!+#REF!+#REF!</f>
        <v>#REF!</v>
      </c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</row>
    <row r="35" customFormat="false" ht="12.75" hidden="false" customHeight="false" outlineLevel="0" collapsed="false">
      <c r="A35" s="185" t="s">
        <v>319</v>
      </c>
      <c r="C35" s="301" t="n">
        <v>0</v>
      </c>
      <c r="D35" s="302" t="n">
        <v>0</v>
      </c>
      <c r="E35" s="302" t="n">
        <v>0</v>
      </c>
      <c r="F35" s="304" t="n">
        <v>0</v>
      </c>
      <c r="G35" s="304" t="n">
        <v>0</v>
      </c>
      <c r="H35" s="304" t="n">
        <v>0</v>
      </c>
      <c r="I35" s="304" t="n">
        <v>0</v>
      </c>
      <c r="J35" s="304" t="n">
        <v>0</v>
      </c>
      <c r="K35" s="304" t="n">
        <v>0</v>
      </c>
      <c r="L35" s="304" t="n">
        <v>0</v>
      </c>
      <c r="M35" s="304" t="n">
        <v>0</v>
      </c>
      <c r="N35" s="304" t="n">
        <v>0</v>
      </c>
      <c r="O35" s="304" t="n">
        <v>0</v>
      </c>
      <c r="P35" s="304" t="n">
        <v>0</v>
      </c>
      <c r="Q35" s="304" t="n">
        <v>0</v>
      </c>
      <c r="R35" s="304" t="n">
        <v>0</v>
      </c>
      <c r="S35" s="304" t="n">
        <v>0</v>
      </c>
      <c r="T35" s="304" t="n">
        <v>0</v>
      </c>
      <c r="U35" s="304" t="n">
        <v>0</v>
      </c>
      <c r="V35" s="304" t="n">
        <v>0</v>
      </c>
      <c r="W35" s="304" t="n">
        <v>0</v>
      </c>
      <c r="X35" s="304" t="n">
        <v>0</v>
      </c>
      <c r="Y35" s="304" t="n">
        <v>0</v>
      </c>
      <c r="Z35" s="304" t="n">
        <v>0</v>
      </c>
      <c r="AA35" s="304" t="n">
        <v>0</v>
      </c>
      <c r="AB35" s="304" t="n">
        <v>0</v>
      </c>
      <c r="AC35" s="304" t="n">
        <v>0</v>
      </c>
      <c r="AD35" s="304" t="n">
        <v>0</v>
      </c>
      <c r="AE35" s="304" t="n">
        <v>0</v>
      </c>
      <c r="AF35" s="304" t="n">
        <v>0</v>
      </c>
      <c r="AG35" s="304" t="n">
        <v>0</v>
      </c>
      <c r="AH35" s="304" t="n">
        <v>0</v>
      </c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</row>
    <row r="36" customFormat="false" ht="12.75" hidden="false" customHeight="false" outlineLevel="0" collapsed="false">
      <c r="A36" s="185"/>
      <c r="C36" s="298"/>
      <c r="D36" s="185"/>
      <c r="E36" s="185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</row>
    <row r="37" customFormat="false" ht="12.75" hidden="false" customHeight="false" outlineLevel="0" collapsed="false">
      <c r="A37" s="303" t="s">
        <v>320</v>
      </c>
      <c r="B37" s="31"/>
      <c r="C37" s="298" t="n">
        <f aca="false">SUM(C30:C35)</f>
        <v>11225.3481719772</v>
      </c>
      <c r="D37" s="185" t="e">
        <f aca="false">SUM(D30:D35)</f>
        <v>#REF!</v>
      </c>
      <c r="E37" s="185" t="e">
        <f aca="false">SUM(E30:E35)</f>
        <v>#REF!</v>
      </c>
      <c r="F37" s="185" t="e">
        <f aca="false">SUM(F30:F35)</f>
        <v>#REF!</v>
      </c>
      <c r="G37" s="185" t="e">
        <f aca="false">SUM(G30:G35)</f>
        <v>#REF!</v>
      </c>
      <c r="H37" s="185" t="e">
        <f aca="false">SUM(H30:H35)</f>
        <v>#REF!</v>
      </c>
      <c r="I37" s="185" t="e">
        <f aca="false">SUM(I30:I35)</f>
        <v>#REF!</v>
      </c>
      <c r="J37" s="185" t="e">
        <f aca="false">SUM(J30:J35)</f>
        <v>#REF!</v>
      </c>
      <c r="K37" s="185" t="e">
        <f aca="false">SUM(K30:K35)</f>
        <v>#REF!</v>
      </c>
      <c r="L37" s="185" t="e">
        <f aca="false">SUM(L30:L35)</f>
        <v>#REF!</v>
      </c>
      <c r="M37" s="185" t="e">
        <f aca="false">SUM(M30:M35)</f>
        <v>#REF!</v>
      </c>
      <c r="N37" s="185" t="e">
        <f aca="false">SUM(N30:N35)</f>
        <v>#REF!</v>
      </c>
      <c r="O37" s="185" t="e">
        <f aca="false">SUM(O30:O35)</f>
        <v>#REF!</v>
      </c>
      <c r="P37" s="185" t="e">
        <f aca="false">SUM(P30:P35)</f>
        <v>#REF!</v>
      </c>
      <c r="Q37" s="185" t="e">
        <f aca="false">SUM(Q30:Q35)</f>
        <v>#REF!</v>
      </c>
      <c r="R37" s="185" t="e">
        <f aca="false">SUM(R30:R35)</f>
        <v>#REF!</v>
      </c>
      <c r="S37" s="185" t="e">
        <f aca="false">SUM(S30:S35)</f>
        <v>#REF!</v>
      </c>
      <c r="T37" s="185" t="e">
        <f aca="false">SUM(T30:T35)</f>
        <v>#REF!</v>
      </c>
      <c r="U37" s="185" t="e">
        <f aca="false">SUM(U30:U35)</f>
        <v>#REF!</v>
      </c>
      <c r="V37" s="185" t="e">
        <f aca="false">SUM(V30:V35)</f>
        <v>#REF!</v>
      </c>
      <c r="W37" s="185" t="e">
        <f aca="false">SUM(W30:W35)</f>
        <v>#REF!</v>
      </c>
      <c r="X37" s="185" t="e">
        <f aca="false">SUM(X30:X35)</f>
        <v>#REF!</v>
      </c>
      <c r="Y37" s="185" t="e">
        <f aca="false">SUM(Y30:Y35)</f>
        <v>#REF!</v>
      </c>
      <c r="Z37" s="185" t="e">
        <f aca="false">SUM(Z30:Z35)</f>
        <v>#REF!</v>
      </c>
      <c r="AA37" s="185" t="e">
        <f aca="false">SUM(AA30:AA35)</f>
        <v>#REF!</v>
      </c>
      <c r="AB37" s="185" t="e">
        <f aca="false">SUM(AB30:AB35)</f>
        <v>#REF!</v>
      </c>
      <c r="AC37" s="185" t="e">
        <f aca="false">SUM(AC30:AC35)</f>
        <v>#REF!</v>
      </c>
      <c r="AD37" s="185" t="e">
        <f aca="false">SUM(AD30:AD35)</f>
        <v>#REF!</v>
      </c>
      <c r="AE37" s="185" t="e">
        <f aca="false">SUM(AE30:AE35)</f>
        <v>#REF!</v>
      </c>
      <c r="AF37" s="185" t="e">
        <f aca="false">SUM(AF30:AF35)</f>
        <v>#REF!</v>
      </c>
      <c r="AG37" s="185" t="e">
        <f aca="false">SUM(AG30:AG35)</f>
        <v>#REF!</v>
      </c>
      <c r="AH37" s="185" t="e">
        <f aca="false">SUM(AH30:AH35)</f>
        <v>#REF!</v>
      </c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</row>
    <row r="38" customFormat="false" ht="12.75" hidden="false" customHeight="false" outlineLevel="0" collapsed="false">
      <c r="A38" s="185"/>
      <c r="B38" s="31"/>
      <c r="C38" s="298"/>
      <c r="D38" s="185"/>
      <c r="E38" s="185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</row>
    <row r="39" customFormat="false" ht="12.75" hidden="false" customHeight="false" outlineLevel="0" collapsed="false">
      <c r="A39" s="303" t="s">
        <v>321</v>
      </c>
      <c r="B39" s="31"/>
      <c r="C39" s="298"/>
      <c r="D39" s="185"/>
      <c r="E39" s="185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</row>
    <row r="40" customFormat="false" ht="12.75" hidden="false" customHeight="false" outlineLevel="0" collapsed="false">
      <c r="A40" s="303"/>
      <c r="B40" s="31"/>
      <c r="C40" s="298"/>
      <c r="D40" s="185"/>
      <c r="E40" s="185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</row>
    <row r="41" customFormat="false" ht="12.75" hidden="false" customHeight="false" outlineLevel="0" collapsed="false">
      <c r="A41" s="185" t="s">
        <v>322</v>
      </c>
      <c r="C41" s="298" t="n">
        <f aca="false">Assumptions!$C$11</f>
        <v>17211.9424647363</v>
      </c>
      <c r="D41" s="185" t="n">
        <f aca="false">Assumptions!$C$11</f>
        <v>17211.9424647363</v>
      </c>
      <c r="E41" s="185" t="n">
        <f aca="false">Assumptions!$C$11</f>
        <v>17211.9424647363</v>
      </c>
      <c r="F41" s="185" t="n">
        <f aca="false">Assumptions!$C$11</f>
        <v>17211.9424647363</v>
      </c>
      <c r="G41" s="185" t="n">
        <f aca="false">Assumptions!$C$11</f>
        <v>17211.9424647363</v>
      </c>
      <c r="H41" s="185" t="n">
        <f aca="false">Assumptions!$C$11</f>
        <v>17211.9424647363</v>
      </c>
      <c r="I41" s="185" t="n">
        <f aca="false">Assumptions!$C$11</f>
        <v>17211.9424647363</v>
      </c>
      <c r="J41" s="185" t="n">
        <f aca="false">Assumptions!$C$11</f>
        <v>17211.9424647363</v>
      </c>
      <c r="K41" s="185" t="n">
        <f aca="false">Assumptions!$C$11</f>
        <v>17211.9424647363</v>
      </c>
      <c r="L41" s="185" t="n">
        <f aca="false">Assumptions!$C$11</f>
        <v>17211.9424647363</v>
      </c>
      <c r="M41" s="185" t="n">
        <f aca="false">Assumptions!$C$11</f>
        <v>17211.9424647363</v>
      </c>
      <c r="N41" s="185" t="n">
        <f aca="false">Assumptions!$C$11</f>
        <v>17211.9424647363</v>
      </c>
      <c r="O41" s="185" t="n">
        <f aca="false">Assumptions!$C$11</f>
        <v>17211.9424647363</v>
      </c>
      <c r="P41" s="185" t="n">
        <f aca="false">Assumptions!$C$11</f>
        <v>17211.9424647363</v>
      </c>
      <c r="Q41" s="185" t="n">
        <f aca="false">Assumptions!$C$11</f>
        <v>17211.9424647363</v>
      </c>
      <c r="R41" s="185" t="n">
        <f aca="false">Assumptions!$C$11</f>
        <v>17211.9424647363</v>
      </c>
      <c r="S41" s="185" t="n">
        <f aca="false">Assumptions!$C$11</f>
        <v>17211.9424647363</v>
      </c>
      <c r="T41" s="185" t="n">
        <f aca="false">Assumptions!$C$11</f>
        <v>17211.9424647363</v>
      </c>
      <c r="U41" s="185" t="n">
        <f aca="false">Assumptions!$C$11</f>
        <v>17211.9424647363</v>
      </c>
      <c r="V41" s="185" t="n">
        <f aca="false">Assumptions!$C$11</f>
        <v>17211.9424647363</v>
      </c>
      <c r="W41" s="185" t="n">
        <f aca="false">Assumptions!$C$11</f>
        <v>17211.9424647363</v>
      </c>
      <c r="X41" s="185" t="n">
        <f aca="false">Assumptions!$C$11</f>
        <v>17211.9424647363</v>
      </c>
      <c r="Y41" s="185" t="n">
        <f aca="false">Assumptions!$C$11</f>
        <v>17211.9424647363</v>
      </c>
      <c r="Z41" s="185" t="n">
        <f aca="false">Assumptions!$C$11</f>
        <v>17211.9424647363</v>
      </c>
      <c r="AA41" s="185" t="n">
        <f aca="false">Assumptions!$C$11</f>
        <v>17211.9424647363</v>
      </c>
      <c r="AB41" s="185" t="n">
        <f aca="false">Assumptions!$C$11</f>
        <v>17211.9424647363</v>
      </c>
      <c r="AC41" s="185" t="n">
        <f aca="false">Assumptions!$C$11</f>
        <v>17211.9424647363</v>
      </c>
      <c r="AD41" s="185" t="n">
        <f aca="false">Assumptions!$C$11</f>
        <v>17211.9424647363</v>
      </c>
      <c r="AE41" s="185" t="n">
        <f aca="false">Assumptions!$C$11</f>
        <v>17211.9424647363</v>
      </c>
      <c r="AF41" s="185" t="n">
        <f aca="false">Assumptions!$C$11</f>
        <v>17211.9424647363</v>
      </c>
      <c r="AG41" s="185" t="n">
        <f aca="false">Assumptions!$C$11</f>
        <v>17211.9424647363</v>
      </c>
      <c r="AH41" s="185" t="n">
        <f aca="false">Assumptions!$C$11</f>
        <v>17211.9424647363</v>
      </c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</row>
    <row r="42" customFormat="false" ht="12.75" hidden="false" customHeight="false" outlineLevel="0" collapsed="false">
      <c r="A42" s="185" t="s">
        <v>323</v>
      </c>
      <c r="C42" s="301" t="e">
        <f aca="false">IS!B45-#REF!</f>
        <v>#REF!</v>
      </c>
      <c r="D42" s="302" t="e">
        <f aca="false">IS!C45-#REF!</f>
        <v>#REF!</v>
      </c>
      <c r="E42" s="302" t="e">
        <f aca="false">IS!D45-#REF!</f>
        <v>#REF!</v>
      </c>
      <c r="F42" s="302" t="e">
        <f aca="false">IS!E45-#REF!</f>
        <v>#REF!</v>
      </c>
      <c r="G42" s="302" t="e">
        <f aca="false">IS!F45-#REF!</f>
        <v>#REF!</v>
      </c>
      <c r="H42" s="302" t="e">
        <f aca="false">IS!G45-#REF!</f>
        <v>#REF!</v>
      </c>
      <c r="I42" s="302" t="e">
        <f aca="false">IS!H45-#REF!</f>
        <v>#REF!</v>
      </c>
      <c r="J42" s="302" t="e">
        <f aca="false">IS!I45-#REF!</f>
        <v>#REF!</v>
      </c>
      <c r="K42" s="302" t="e">
        <f aca="false">IS!J45-#REF!</f>
        <v>#REF!</v>
      </c>
      <c r="L42" s="302" t="e">
        <f aca="false">IS!K45-#REF!</f>
        <v>#REF!</v>
      </c>
      <c r="M42" s="302" t="e">
        <f aca="false">IS!L45-#REF!</f>
        <v>#REF!</v>
      </c>
      <c r="N42" s="302" t="e">
        <f aca="false">IS!M45-#REF!</f>
        <v>#REF!</v>
      </c>
      <c r="O42" s="302" t="e">
        <f aca="false">IS!N45-#REF!</f>
        <v>#REF!</v>
      </c>
      <c r="P42" s="302" t="e">
        <f aca="false">IS!O45-#REF!</f>
        <v>#REF!</v>
      </c>
      <c r="Q42" s="302" t="e">
        <f aca="false">IS!P45-#REF!</f>
        <v>#REF!</v>
      </c>
      <c r="R42" s="302" t="e">
        <f aca="false">IS!Q45-#REF!</f>
        <v>#REF!</v>
      </c>
      <c r="S42" s="302" t="e">
        <f aca="false">IS!R45-#REF!</f>
        <v>#REF!</v>
      </c>
      <c r="T42" s="302" t="e">
        <f aca="false">IS!S45-#REF!</f>
        <v>#REF!</v>
      </c>
      <c r="U42" s="302" t="e">
        <f aca="false">IS!T45-#REF!</f>
        <v>#REF!</v>
      </c>
      <c r="V42" s="302" t="e">
        <f aca="false">IS!U45-#REF!</f>
        <v>#REF!</v>
      </c>
      <c r="W42" s="302" t="e">
        <f aca="false">IS!V45-#REF!</f>
        <v>#REF!</v>
      </c>
      <c r="X42" s="302" t="e">
        <f aca="false">IS!W45-#REF!</f>
        <v>#REF!</v>
      </c>
      <c r="Y42" s="302" t="e">
        <f aca="false">IS!X45-#REF!</f>
        <v>#REF!</v>
      </c>
      <c r="Z42" s="302" t="e">
        <f aca="false">IS!Y45-#REF!</f>
        <v>#REF!</v>
      </c>
      <c r="AA42" s="302" t="e">
        <f aca="false">IS!Z45-#REF!</f>
        <v>#REF!</v>
      </c>
      <c r="AB42" s="302" t="e">
        <f aca="false">IS!AA45-#REF!</f>
        <v>#REF!</v>
      </c>
      <c r="AC42" s="302" t="e">
        <f aca="false">IS!AB45-#REF!</f>
        <v>#REF!</v>
      </c>
      <c r="AD42" s="302" t="e">
        <f aca="false">IS!AC45-#REF!</f>
        <v>#REF!</v>
      </c>
      <c r="AE42" s="302" t="e">
        <f aca="false">IS!AD45-#REF!</f>
        <v>#REF!</v>
      </c>
      <c r="AF42" s="302" t="e">
        <f aca="false">IS!AE45-#REF!</f>
        <v>#REF!</v>
      </c>
      <c r="AG42" s="302" t="e">
        <f aca="false">IS!AF45-#REF!</f>
        <v>#REF!</v>
      </c>
      <c r="AH42" s="302" t="e">
        <f aca="false">IS!AG45-#REF!</f>
        <v>#REF!</v>
      </c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</row>
    <row r="43" customFormat="false" ht="12.75" hidden="false" customHeight="false" outlineLevel="0" collapsed="false">
      <c r="A43" s="185" t="s">
        <v>324</v>
      </c>
      <c r="C43" s="298" t="e">
        <f aca="false">SUM(C41:C42)</f>
        <v>#REF!</v>
      </c>
      <c r="D43" s="185" t="e">
        <f aca="false">SUM(D41:D42)</f>
        <v>#REF!</v>
      </c>
      <c r="E43" s="185" t="e">
        <f aca="false">SUM(E41:E42)</f>
        <v>#REF!</v>
      </c>
      <c r="F43" s="185" t="e">
        <f aca="false">SUM(F41:F42)</f>
        <v>#REF!</v>
      </c>
      <c r="G43" s="185" t="e">
        <f aca="false">SUM(G41:G42)</f>
        <v>#REF!</v>
      </c>
      <c r="H43" s="185" t="e">
        <f aca="false">SUM(H41:H42)</f>
        <v>#REF!</v>
      </c>
      <c r="I43" s="185" t="e">
        <f aca="false">SUM(I41:I42)</f>
        <v>#REF!</v>
      </c>
      <c r="J43" s="185" t="e">
        <f aca="false">SUM(J41:J42)</f>
        <v>#REF!</v>
      </c>
      <c r="K43" s="185" t="e">
        <f aca="false">SUM(K41:K42)</f>
        <v>#REF!</v>
      </c>
      <c r="L43" s="185" t="e">
        <f aca="false">SUM(L41:L42)</f>
        <v>#REF!</v>
      </c>
      <c r="M43" s="185" t="e">
        <f aca="false">SUM(M41:M42)</f>
        <v>#REF!</v>
      </c>
      <c r="N43" s="185" t="e">
        <f aca="false">SUM(N41:N42)</f>
        <v>#REF!</v>
      </c>
      <c r="O43" s="185" t="e">
        <f aca="false">SUM(O41:O42)</f>
        <v>#REF!</v>
      </c>
      <c r="P43" s="185" t="e">
        <f aca="false">SUM(P41:P42)</f>
        <v>#REF!</v>
      </c>
      <c r="Q43" s="185" t="e">
        <f aca="false">SUM(Q41:Q42)</f>
        <v>#REF!</v>
      </c>
      <c r="R43" s="185" t="e">
        <f aca="false">SUM(R41:R42)</f>
        <v>#REF!</v>
      </c>
      <c r="S43" s="185" t="e">
        <f aca="false">SUM(S41:S42)</f>
        <v>#REF!</v>
      </c>
      <c r="T43" s="185" t="e">
        <f aca="false">SUM(T41:T42)</f>
        <v>#REF!</v>
      </c>
      <c r="U43" s="185" t="e">
        <f aca="false">SUM(U41:U42)</f>
        <v>#REF!</v>
      </c>
      <c r="V43" s="185" t="e">
        <f aca="false">SUM(V41:V42)</f>
        <v>#REF!</v>
      </c>
      <c r="W43" s="185" t="e">
        <f aca="false">SUM(W41:W42)</f>
        <v>#REF!</v>
      </c>
      <c r="X43" s="185" t="e">
        <f aca="false">SUM(X41:X42)</f>
        <v>#REF!</v>
      </c>
      <c r="Y43" s="185" t="e">
        <f aca="false">SUM(Y41:Y42)</f>
        <v>#REF!</v>
      </c>
      <c r="Z43" s="185" t="e">
        <f aca="false">SUM(Z41:Z42)</f>
        <v>#REF!</v>
      </c>
      <c r="AA43" s="185" t="e">
        <f aca="false">SUM(AA41:AA42)</f>
        <v>#REF!</v>
      </c>
      <c r="AB43" s="185" t="e">
        <f aca="false">SUM(AB41:AB42)</f>
        <v>#REF!</v>
      </c>
      <c r="AC43" s="185" t="e">
        <f aca="false">SUM(AC41:AC42)</f>
        <v>#REF!</v>
      </c>
      <c r="AD43" s="185" t="e">
        <f aca="false">SUM(AD41:AD42)</f>
        <v>#REF!</v>
      </c>
      <c r="AE43" s="185" t="e">
        <f aca="false">SUM(AE41:AE42)</f>
        <v>#REF!</v>
      </c>
      <c r="AF43" s="185" t="e">
        <f aca="false">SUM(AF41:AF42)</f>
        <v>#REF!</v>
      </c>
      <c r="AG43" s="185" t="e">
        <f aca="false">SUM(AG41:AG42)</f>
        <v>#REF!</v>
      </c>
      <c r="AH43" s="185" t="e">
        <f aca="false">SUM(AH41:AH42)</f>
        <v>#REF!</v>
      </c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</row>
    <row r="44" customFormat="false" ht="12.75" hidden="false" customHeight="false" outlineLevel="0" collapsed="false">
      <c r="A44" s="31"/>
      <c r="B44" s="31"/>
      <c r="C44" s="298"/>
      <c r="D44" s="185"/>
      <c r="E44" s="185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</row>
    <row r="45" customFormat="false" ht="12.75" hidden="false" customHeight="false" outlineLevel="0" collapsed="false">
      <c r="A45" s="303" t="s">
        <v>325</v>
      </c>
      <c r="B45" s="31"/>
      <c r="C45" s="298" t="e">
        <f aca="false">C43+C37</f>
        <v>#REF!</v>
      </c>
      <c r="D45" s="185" t="e">
        <f aca="false">D43+D37</f>
        <v>#REF!</v>
      </c>
      <c r="E45" s="185" t="e">
        <f aca="false">E43+E37</f>
        <v>#REF!</v>
      </c>
      <c r="F45" s="185" t="e">
        <f aca="false">F43+F37</f>
        <v>#REF!</v>
      </c>
      <c r="G45" s="185" t="e">
        <f aca="false">G43+G37</f>
        <v>#REF!</v>
      </c>
      <c r="H45" s="185" t="e">
        <f aca="false">H43+H37</f>
        <v>#REF!</v>
      </c>
      <c r="I45" s="185" t="e">
        <f aca="false">I43+I37</f>
        <v>#REF!</v>
      </c>
      <c r="J45" s="185" t="e">
        <f aca="false">J43+J37</f>
        <v>#REF!</v>
      </c>
      <c r="K45" s="185" t="e">
        <f aca="false">K43+K37</f>
        <v>#REF!</v>
      </c>
      <c r="L45" s="185" t="e">
        <f aca="false">L43+L37</f>
        <v>#REF!</v>
      </c>
      <c r="M45" s="185" t="e">
        <f aca="false">M43+M37</f>
        <v>#REF!</v>
      </c>
      <c r="N45" s="185" t="e">
        <f aca="false">N43+N37</f>
        <v>#REF!</v>
      </c>
      <c r="O45" s="185" t="e">
        <f aca="false">O43+O37</f>
        <v>#REF!</v>
      </c>
      <c r="P45" s="185" t="e">
        <f aca="false">P43+P37</f>
        <v>#REF!</v>
      </c>
      <c r="Q45" s="185" t="e">
        <f aca="false">Q43+Q37</f>
        <v>#REF!</v>
      </c>
      <c r="R45" s="185" t="e">
        <f aca="false">R43+R37</f>
        <v>#REF!</v>
      </c>
      <c r="S45" s="185" t="e">
        <f aca="false">S43+S37</f>
        <v>#REF!</v>
      </c>
      <c r="T45" s="185" t="e">
        <f aca="false">T43+T37</f>
        <v>#REF!</v>
      </c>
      <c r="U45" s="185" t="e">
        <f aca="false">U43+U37</f>
        <v>#REF!</v>
      </c>
      <c r="V45" s="185" t="e">
        <f aca="false">V43+V37</f>
        <v>#REF!</v>
      </c>
      <c r="W45" s="185" t="e">
        <f aca="false">W43+W37</f>
        <v>#REF!</v>
      </c>
      <c r="X45" s="185" t="e">
        <f aca="false">X43+X37</f>
        <v>#REF!</v>
      </c>
      <c r="Y45" s="185" t="e">
        <f aca="false">Y43+Y37</f>
        <v>#REF!</v>
      </c>
      <c r="Z45" s="185" t="e">
        <f aca="false">Z43+Z37</f>
        <v>#REF!</v>
      </c>
      <c r="AA45" s="185" t="e">
        <f aca="false">AA43+AA37</f>
        <v>#REF!</v>
      </c>
      <c r="AB45" s="185" t="e">
        <f aca="false">AB43+AB37</f>
        <v>#REF!</v>
      </c>
      <c r="AC45" s="185" t="e">
        <f aca="false">AC43+AC37</f>
        <v>#REF!</v>
      </c>
      <c r="AD45" s="185" t="e">
        <f aca="false">AD43+AD37</f>
        <v>#REF!</v>
      </c>
      <c r="AE45" s="185" t="e">
        <f aca="false">AE43+AE37</f>
        <v>#REF!</v>
      </c>
      <c r="AF45" s="185" t="e">
        <f aca="false">AF43+AF37</f>
        <v>#REF!</v>
      </c>
      <c r="AG45" s="185" t="e">
        <f aca="false">AG43+AG37</f>
        <v>#REF!</v>
      </c>
      <c r="AH45" s="185" t="e">
        <f aca="false">AH43+AH37</f>
        <v>#REF!</v>
      </c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</row>
    <row r="46" customFormat="false" ht="12.75" hidden="false" customHeight="false" outlineLevel="0" collapsed="false">
      <c r="A46" s="185"/>
      <c r="B46" s="31"/>
      <c r="C46" s="298"/>
      <c r="D46" s="185"/>
      <c r="E46" s="185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</row>
    <row r="47" customFormat="false" ht="12.75" hidden="false" customHeight="false" outlineLevel="0" collapsed="false">
      <c r="A47" s="303" t="s">
        <v>326</v>
      </c>
      <c r="B47" s="31"/>
      <c r="C47" s="298" t="e">
        <f aca="false">C25-C45</f>
        <v>#REF!</v>
      </c>
      <c r="D47" s="185" t="e">
        <f aca="false">D25-D45</f>
        <v>#REF!</v>
      </c>
      <c r="E47" s="185" t="e">
        <f aca="false">E25-E45</f>
        <v>#REF!</v>
      </c>
      <c r="F47" s="185" t="e">
        <f aca="false">F25-F45</f>
        <v>#REF!</v>
      </c>
      <c r="G47" s="185" t="e">
        <f aca="false">G25-G45</f>
        <v>#REF!</v>
      </c>
      <c r="H47" s="185" t="e">
        <f aca="false">H25-H45</f>
        <v>#REF!</v>
      </c>
      <c r="I47" s="185" t="e">
        <f aca="false">I25-I45</f>
        <v>#REF!</v>
      </c>
      <c r="J47" s="185" t="e">
        <f aca="false">J25-J45</f>
        <v>#REF!</v>
      </c>
      <c r="K47" s="185" t="e">
        <f aca="false">K25-K45</f>
        <v>#REF!</v>
      </c>
      <c r="L47" s="185" t="e">
        <f aca="false">L25-L45</f>
        <v>#REF!</v>
      </c>
      <c r="M47" s="185" t="e">
        <f aca="false">M25-M45</f>
        <v>#REF!</v>
      </c>
      <c r="N47" s="185" t="e">
        <f aca="false">N25-N45</f>
        <v>#REF!</v>
      </c>
      <c r="O47" s="185" t="e">
        <f aca="false">O25-O45</f>
        <v>#REF!</v>
      </c>
      <c r="P47" s="185" t="e">
        <f aca="false">P25-P45</f>
        <v>#REF!</v>
      </c>
      <c r="Q47" s="185" t="e">
        <f aca="false">Q25-Q45</f>
        <v>#REF!</v>
      </c>
      <c r="R47" s="185" t="e">
        <f aca="false">R25-R45</f>
        <v>#REF!</v>
      </c>
      <c r="S47" s="185" t="e">
        <f aca="false">S25-S45</f>
        <v>#REF!</v>
      </c>
      <c r="T47" s="185" t="e">
        <f aca="false">T25-T45</f>
        <v>#REF!</v>
      </c>
      <c r="U47" s="185" t="e">
        <f aca="false">U25-U45</f>
        <v>#REF!</v>
      </c>
      <c r="V47" s="185" t="e">
        <f aca="false">V25-V45</f>
        <v>#REF!</v>
      </c>
      <c r="W47" s="185" t="e">
        <f aca="false">W25-W45</f>
        <v>#REF!</v>
      </c>
      <c r="X47" s="185" t="e">
        <f aca="false">X25-X45</f>
        <v>#REF!</v>
      </c>
      <c r="Y47" s="185" t="e">
        <f aca="false">Y25-Y45</f>
        <v>#REF!</v>
      </c>
      <c r="Z47" s="185" t="e">
        <f aca="false">Z25-Z45</f>
        <v>#REF!</v>
      </c>
      <c r="AA47" s="185" t="e">
        <f aca="false">AA25-AA45</f>
        <v>#REF!</v>
      </c>
      <c r="AB47" s="185" t="e">
        <f aca="false">AB25-AB45</f>
        <v>#REF!</v>
      </c>
      <c r="AC47" s="185" t="e">
        <f aca="false">AC25-AC45</f>
        <v>#REF!</v>
      </c>
      <c r="AD47" s="185" t="e">
        <f aca="false">AD25-AD45</f>
        <v>#REF!</v>
      </c>
      <c r="AE47" s="185" t="e">
        <f aca="false">AE25-AE45</f>
        <v>#REF!</v>
      </c>
      <c r="AF47" s="185" t="e">
        <f aca="false">AF25-AF45</f>
        <v>#REF!</v>
      </c>
      <c r="AG47" s="185" t="e">
        <f aca="false">AG25-AG45</f>
        <v>#REF!</v>
      </c>
      <c r="AH47" s="185" t="e">
        <f aca="false">AH25-AH45</f>
        <v>#REF!</v>
      </c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</row>
    <row r="48" customFormat="false" ht="12.75" hidden="false" customHeight="false" outlineLevel="0" collapsed="false">
      <c r="A48" s="31"/>
      <c r="B48" s="31"/>
      <c r="C48" s="185"/>
      <c r="D48" s="185"/>
      <c r="E48" s="185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</row>
    <row r="49" customFormat="false" ht="12.75" hidden="false" customHeight="false" outlineLevel="0" collapsed="false">
      <c r="A49" s="31"/>
      <c r="B49" s="31"/>
      <c r="C49" s="185"/>
      <c r="D49" s="185"/>
      <c r="E49" s="185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</row>
    <row r="50" customFormat="false" ht="12.75" hidden="false" customHeight="false" outlineLevel="0" collapsed="false">
      <c r="A50" s="31"/>
      <c r="B50" s="31"/>
      <c r="C50" s="185"/>
      <c r="D50" s="185"/>
      <c r="E50" s="185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</row>
    <row r="51" customFormat="false" ht="12.75" hidden="false" customHeight="false" outlineLevel="0" collapsed="false">
      <c r="A51" s="31"/>
      <c r="B51" s="31"/>
      <c r="C51" s="185"/>
      <c r="D51" s="185"/>
      <c r="E51" s="185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</row>
    <row r="52" customFormat="false" ht="12.75" hidden="false" customHeight="false" outlineLevel="0" collapsed="false">
      <c r="A52" s="31"/>
      <c r="B52" s="31"/>
      <c r="C52" s="185"/>
      <c r="D52" s="185"/>
      <c r="E52" s="185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</row>
    <row r="53" customFormat="false" ht="12.75" hidden="false" customHeight="false" outlineLevel="0" collapsed="false">
      <c r="A53" s="31"/>
      <c r="B53" s="31"/>
      <c r="C53" s="185"/>
      <c r="D53" s="185"/>
      <c r="E53" s="185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</row>
    <row r="54" customFormat="false" ht="12.75" hidden="false" customHeight="false" outlineLevel="0" collapsed="false">
      <c r="A54" s="31"/>
      <c r="B54" s="31"/>
      <c r="C54" s="185"/>
      <c r="D54" s="185"/>
      <c r="E54" s="185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</row>
    <row r="55" customFormat="false" ht="12.75" hidden="false" customHeight="false" outlineLevel="0" collapsed="false">
      <c r="A55" s="31"/>
      <c r="B55" s="146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</row>
    <row r="56" customFormat="false" ht="12.75" hidden="false" customHeight="false" outlineLevel="0" collapsed="false">
      <c r="A56" s="31"/>
      <c r="B56" s="146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</row>
    <row r="57" customFormat="false" ht="12.75" hidden="false" customHeight="false" outlineLevel="0" collapsed="false">
      <c r="A57" s="31"/>
      <c r="B57" s="146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</row>
    <row r="58" customFormat="false" ht="12.75" hidden="false" customHeight="false" outlineLevel="0" collapsed="false">
      <c r="A58" s="31"/>
      <c r="B58" s="146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</row>
    <row r="59" customFormat="false" ht="12.75" hidden="false" customHeight="false" outlineLevel="0" collapsed="false">
      <c r="A59" s="31"/>
      <c r="B59" s="146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</row>
    <row r="60" customFormat="false" ht="12.75" hidden="false" customHeight="false" outlineLevel="0" collapsed="false">
      <c r="A60" s="31"/>
      <c r="B60" s="146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customFormat="false" ht="12.75" hidden="false" customHeight="false" outlineLevel="0" collapsed="false">
      <c r="A61" s="146"/>
      <c r="B61" s="146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customFormat="false" ht="12.75" hidden="false" customHeight="false" outlineLevel="0" collapsed="false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customFormat="false" ht="12.75" hidden="false" customHeight="false" outlineLevel="0" collapsed="false"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customFormat="false" ht="12.75" hidden="false" customHeight="false" outlineLevel="0" collapsed="false"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customFormat="false" ht="12.75" hidden="false" customHeight="false" outlineLevel="0" collapsed="false"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customFormat="false" ht="12.75" hidden="false" customHeight="false" outlineLevel="0" collapsed="false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customFormat="false" ht="12.75" hidden="false" customHeight="false" outlineLevel="0" collapsed="false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customFormat="false" ht="12.75" hidden="false" customHeight="false" outlineLevel="0" collapsed="false"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customFormat="false" ht="12.75" hidden="false" customHeight="false" outlineLevel="0" collapsed="false"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customFormat="false" ht="12.75" hidden="false" customHeight="false" outlineLevel="0" collapsed="false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customFormat="false" ht="12.75" hidden="false" customHeight="false" outlineLevel="0" collapsed="false"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customFormat="false" ht="12.75" hidden="false" customHeight="false" outlineLevel="0" collapsed="false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customFormat="false" ht="12.75" hidden="false" customHeight="false" outlineLevel="0" collapsed="false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</row>
    <row r="74" customFormat="false" ht="12.75" hidden="false" customHeight="false" outlineLevel="0" collapsed="false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</row>
    <row r="75" customFormat="false" ht="12.75" hidden="false" customHeight="false" outlineLevel="0" collapsed="false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customFormat="false" ht="12.75" hidden="false" customHeight="false" outlineLevel="0" collapsed="false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</row>
    <row r="77" customFormat="false" ht="12.75" hidden="false" customHeight="false" outlineLevel="0" collapsed="false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</row>
    <row r="78" customFormat="false" ht="12.75" hidden="false" customHeight="false" outlineLevel="0" collapsed="false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customFormat="false" ht="12.75" hidden="false" customHeight="false" outlineLevel="0" collapsed="false"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</row>
    <row r="80" customFormat="false" ht="12.75" hidden="false" customHeight="false" outlineLevel="0" collapsed="false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</row>
    <row r="81" customFormat="false" ht="12.75" hidden="false" customHeight="false" outlineLevel="0" collapsed="false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</row>
    <row r="82" customFormat="false" ht="12.75" hidden="false" customHeight="false" outlineLevel="0" collapsed="false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customFormat="false" ht="12.75" hidden="false" customHeight="false" outlineLevel="0" collapsed="false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</row>
    <row r="84" customFormat="false" ht="12.75" hidden="false" customHeight="false" outlineLevel="0" collapsed="false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</row>
    <row r="85" customFormat="false" ht="12.75" hidden="false" customHeight="false" outlineLevel="0" collapsed="false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</row>
    <row r="86" customFormat="false" ht="12.75" hidden="false" customHeight="false" outlineLevel="0" collapsed="false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customFormat="false" ht="12.75" hidden="false" customHeight="false" outlineLevel="0" collapsed="false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</row>
    <row r="88" customFormat="false" ht="12.75" hidden="false" customHeight="false" outlineLevel="0" collapsed="false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</row>
    <row r="89" customFormat="false" ht="12.75" hidden="false" customHeight="false" outlineLevel="0" collapsed="false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</row>
    <row r="90" customFormat="false" ht="12.75" hidden="false" customHeight="false" outlineLevel="0" collapsed="false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U25" colorId="64" zoomScale="75" zoomScaleNormal="75" zoomScalePageLayoutView="100" workbookViewId="0">
      <selection pane="topLeft" activeCell="W44" activeCellId="0" sqref="W44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Rochester</v>
      </c>
      <c r="Y2" s="113"/>
      <c r="Z2" s="113"/>
    </row>
    <row r="3" customFormat="false" ht="12.75" hidden="false" customHeight="false" outlineLevel="0" collapsed="false">
      <c r="Y3" s="113"/>
      <c r="Z3" s="113"/>
    </row>
    <row r="4" customFormat="false" ht="18.75" hidden="false" customHeight="false" outlineLevel="0" collapsed="false">
      <c r="A4" s="268" t="s">
        <v>327</v>
      </c>
      <c r="Y4" s="113"/>
      <c r="Z4" s="113"/>
    </row>
    <row r="5" customFormat="false" ht="12.75" hidden="false" customHeight="false" outlineLevel="0" collapsed="false">
      <c r="Y5" s="113"/>
      <c r="Z5" s="113"/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69" t="s">
        <v>278</v>
      </c>
      <c r="B7" s="270" t="s">
        <v>299</v>
      </c>
      <c r="C7" s="270" t="n">
        <f aca="false">'Price_Technical Assumption'!D8</f>
        <v>2001</v>
      </c>
      <c r="D7" s="270" t="n">
        <f aca="false">'Price_Technical Assumption'!E8</f>
        <v>2002</v>
      </c>
      <c r="E7" s="270" t="n">
        <f aca="false">'Price_Technical Assumption'!F8</f>
        <v>2003</v>
      </c>
      <c r="F7" s="270" t="n">
        <f aca="false">'Price_Technical Assumption'!G8</f>
        <v>2004</v>
      </c>
      <c r="G7" s="270" t="n">
        <f aca="false">'Price_Technical Assumption'!H8</f>
        <v>2005</v>
      </c>
      <c r="H7" s="270" t="n">
        <f aca="false">'Price_Technical Assumption'!I8</f>
        <v>2006</v>
      </c>
      <c r="I7" s="270" t="n">
        <f aca="false">'Price_Technical Assumption'!J8</f>
        <v>2007</v>
      </c>
      <c r="J7" s="270" t="n">
        <f aca="false">'Price_Technical Assumption'!K8</f>
        <v>2008</v>
      </c>
      <c r="K7" s="270" t="n">
        <f aca="false">'Price_Technical Assumption'!L8</f>
        <v>2009</v>
      </c>
      <c r="L7" s="270" t="n">
        <f aca="false">'Price_Technical Assumption'!M8</f>
        <v>2010</v>
      </c>
      <c r="M7" s="270" t="n">
        <f aca="false">'Price_Technical Assumption'!N8</f>
        <v>2011</v>
      </c>
      <c r="N7" s="270" t="n">
        <f aca="false">'Price_Technical Assumption'!O8</f>
        <v>2012</v>
      </c>
      <c r="O7" s="270" t="n">
        <f aca="false">'Price_Technical Assumption'!P8</f>
        <v>2013</v>
      </c>
      <c r="P7" s="270" t="n">
        <f aca="false">'Price_Technical Assumption'!Q8</f>
        <v>2014</v>
      </c>
      <c r="Q7" s="270" t="n">
        <f aca="false">'Price_Technical Assumption'!R8</f>
        <v>2015</v>
      </c>
      <c r="R7" s="270" t="n">
        <f aca="false">'Price_Technical Assumption'!S8</f>
        <v>2016</v>
      </c>
      <c r="S7" s="270" t="n">
        <f aca="false">'Price_Technical Assumption'!T8</f>
        <v>2017</v>
      </c>
      <c r="T7" s="270" t="n">
        <f aca="false">'Price_Technical Assumption'!U8</f>
        <v>2018</v>
      </c>
      <c r="U7" s="270" t="n">
        <f aca="false">'Price_Technical Assumption'!V8</f>
        <v>2019</v>
      </c>
      <c r="V7" s="270" t="n">
        <f aca="false">'Price_Technical Assumption'!W8</f>
        <v>2020</v>
      </c>
      <c r="W7" s="270" t="n">
        <f aca="false">'Price_Technical Assumption'!X8</f>
        <v>2021</v>
      </c>
      <c r="X7" s="270" t="n">
        <f aca="false">'Price_Technical Assumption'!Y8</f>
        <v>2022</v>
      </c>
      <c r="Y7" s="270" t="n">
        <f aca="false">'Price_Technical Assumption'!Z8</f>
        <v>2023</v>
      </c>
      <c r="Z7" s="270" t="n">
        <f aca="false">'Price_Technical Assumption'!AA8</f>
        <v>2024</v>
      </c>
      <c r="AA7" s="270" t="n">
        <f aca="false">'Price_Technical Assumption'!AB8</f>
        <v>2025</v>
      </c>
      <c r="AB7" s="270" t="n">
        <f aca="false">'Price_Technical Assumption'!AC8</f>
        <v>2026</v>
      </c>
      <c r="AC7" s="270" t="n">
        <f aca="false">'Price_Technical Assumption'!AD8</f>
        <v>2027</v>
      </c>
      <c r="AD7" s="270" t="n">
        <f aca="false">'Price_Technical Assumption'!AE8</f>
        <v>2028</v>
      </c>
      <c r="AE7" s="270" t="n">
        <f aca="false">'Price_Technical Assumption'!AF8</f>
        <v>2029</v>
      </c>
      <c r="AF7" s="270" t="n">
        <f aca="false">'Price_Technical Assumption'!AG8</f>
        <v>2030</v>
      </c>
      <c r="AG7" s="270" t="n">
        <f aca="false">'Price_Technical Assumption'!AH8</f>
        <v>2031</v>
      </c>
    </row>
    <row r="8" customFormat="false" ht="12.75" hidden="false" customHeight="false" outlineLevel="0" collapsed="false">
      <c r="A8" s="305"/>
      <c r="B8" s="306" t="n">
        <f aca="false">Assumptions!G46</f>
        <v>36617</v>
      </c>
      <c r="C8" s="306" t="n">
        <f aca="false">BS!D8</f>
        <v>37255.5</v>
      </c>
      <c r="D8" s="306" t="n">
        <f aca="false">BS!E8</f>
        <v>37620.75</v>
      </c>
      <c r="E8" s="306" t="n">
        <f aca="false">BS!F8</f>
        <v>37986</v>
      </c>
      <c r="F8" s="306" t="n">
        <f aca="false">BS!G8</f>
        <v>38351.25</v>
      </c>
      <c r="G8" s="306" t="n">
        <f aca="false">BS!H8</f>
        <v>38716.5</v>
      </c>
      <c r="H8" s="306" t="n">
        <f aca="false">BS!I8</f>
        <v>39081.75</v>
      </c>
      <c r="I8" s="306" t="n">
        <f aca="false">BS!J8</f>
        <v>39447</v>
      </c>
      <c r="J8" s="306" t="n">
        <f aca="false">BS!K8</f>
        <v>39812.25</v>
      </c>
      <c r="K8" s="306" t="n">
        <f aca="false">BS!L8</f>
        <v>40177.5</v>
      </c>
      <c r="L8" s="306" t="n">
        <f aca="false">BS!M8</f>
        <v>40542.75</v>
      </c>
      <c r="M8" s="306" t="n">
        <f aca="false">BS!N8</f>
        <v>40908</v>
      </c>
      <c r="N8" s="306" t="n">
        <f aca="false">BS!O8</f>
        <v>41273.25</v>
      </c>
      <c r="O8" s="306" t="n">
        <f aca="false">BS!P8</f>
        <v>41638.5</v>
      </c>
      <c r="P8" s="306" t="n">
        <f aca="false">BS!Q8</f>
        <v>42003.75</v>
      </c>
      <c r="Q8" s="306" t="n">
        <f aca="false">BS!R8</f>
        <v>42369</v>
      </c>
      <c r="R8" s="306" t="n">
        <f aca="false">BS!S8</f>
        <v>42734.25</v>
      </c>
      <c r="S8" s="306" t="n">
        <f aca="false">BS!T8</f>
        <v>43099.5</v>
      </c>
      <c r="T8" s="306" t="n">
        <f aca="false">BS!U8</f>
        <v>43464.75</v>
      </c>
      <c r="U8" s="306" t="n">
        <f aca="false">BS!V8</f>
        <v>43830</v>
      </c>
      <c r="V8" s="306" t="n">
        <f aca="false">BS!W8</f>
        <v>44195.25</v>
      </c>
      <c r="W8" s="306" t="n">
        <f aca="false">BS!X8</f>
        <v>44560.5</v>
      </c>
      <c r="X8" s="306" t="n">
        <f aca="false">BS!Y8</f>
        <v>44925.75</v>
      </c>
      <c r="Y8" s="306" t="n">
        <f aca="false">BS!Z8</f>
        <v>45291</v>
      </c>
      <c r="Z8" s="306" t="n">
        <f aca="false">BS!AA8</f>
        <v>45656.25</v>
      </c>
      <c r="AA8" s="306" t="n">
        <f aca="false">BS!AB8</f>
        <v>46021.5</v>
      </c>
      <c r="AB8" s="306" t="n">
        <f aca="false">BS!AC8</f>
        <v>46386.75</v>
      </c>
      <c r="AC8" s="306" t="n">
        <f aca="false">BS!AD8</f>
        <v>46752</v>
      </c>
      <c r="AD8" s="306" t="n">
        <f aca="false">BS!AE8</f>
        <v>47117.25</v>
      </c>
      <c r="AE8" s="306" t="n">
        <f aca="false">BS!AF8</f>
        <v>47482.5</v>
      </c>
      <c r="AF8" s="306" t="n">
        <f aca="false">BS!AG8</f>
        <v>47847.75</v>
      </c>
      <c r="AG8" s="306" t="n">
        <f aca="false">BS!AH8</f>
        <v>48213</v>
      </c>
    </row>
    <row r="9" customFormat="false" ht="12.75" hidden="false" customHeight="false" outlineLevel="0" collapsed="false">
      <c r="A9" s="305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</row>
    <row r="10" customFormat="false" ht="13.5" hidden="false" customHeight="true" outlineLevel="1" collapsed="false">
      <c r="A10" s="13"/>
      <c r="B10" s="271"/>
      <c r="C10" s="307"/>
      <c r="D10" s="307"/>
      <c r="E10" s="307"/>
      <c r="F10" s="307"/>
      <c r="G10" s="307"/>
      <c r="H10" s="307"/>
      <c r="I10" s="308"/>
      <c r="J10" s="308"/>
      <c r="K10" s="309"/>
      <c r="L10" s="309"/>
      <c r="M10" s="308"/>
      <c r="N10" s="308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</row>
    <row r="11" customFormat="false" ht="12.75" hidden="false" customHeight="false" outlineLevel="0" collapsed="false">
      <c r="A11" s="310" t="s">
        <v>290</v>
      </c>
      <c r="B11" s="185" t="n">
        <v>0</v>
      </c>
      <c r="C11" s="185" t="n">
        <f aca="false">IS!C32</f>
        <v>464.997182421703</v>
      </c>
      <c r="D11" s="185" t="n">
        <f aca="false">IS!D32</f>
        <v>862.437843632555</v>
      </c>
      <c r="E11" s="185" t="n">
        <f aca="false">IS!E32</f>
        <v>826.408175732553</v>
      </c>
      <c r="F11" s="185" t="n">
        <f aca="false">IS!F32</f>
        <v>1443.48706911222</v>
      </c>
      <c r="G11" s="185" t="n">
        <f aca="false">IS!G32</f>
        <v>1720.18821634619</v>
      </c>
      <c r="H11" s="185" t="n">
        <f aca="false">IS!H32</f>
        <v>1721.82330418248</v>
      </c>
      <c r="I11" s="185" t="n">
        <f aca="false">IS!I32</f>
        <v>1721.89251470409</v>
      </c>
      <c r="J11" s="185" t="n">
        <f aca="false">IS!J32</f>
        <v>1720.29955774738</v>
      </c>
      <c r="K11" s="185" t="n">
        <f aca="false">IS!K32</f>
        <v>1778.92048394143</v>
      </c>
      <c r="L11" s="185" t="n">
        <f aca="false">IS!L32</f>
        <v>1775.55590475585</v>
      </c>
      <c r="M11" s="185" t="n">
        <f aca="false">IS!M32</f>
        <v>1836.02014896404</v>
      </c>
      <c r="N11" s="185" t="n">
        <f aca="false">IS!N32</f>
        <v>1830.67028577877</v>
      </c>
      <c r="O11" s="185" t="n">
        <f aca="false">IS!O32</f>
        <v>1892.98108837674</v>
      </c>
      <c r="P11" s="185" t="n">
        <f aca="false">IS!P32</f>
        <v>1885.41267306669</v>
      </c>
      <c r="Q11" s="185" t="n">
        <f aca="false">IS!Q32</f>
        <v>1875.563224283</v>
      </c>
      <c r="R11" s="185" t="n">
        <f aca="false">IS!R32</f>
        <v>1863.30167699757</v>
      </c>
      <c r="S11" s="185" t="n">
        <f aca="false">IS!S32</f>
        <v>1848.49113491891</v>
      </c>
      <c r="T11" s="185" t="n">
        <f aca="false">IS!T32</f>
        <v>1830.98863816897</v>
      </c>
      <c r="U11" s="185" t="n">
        <f aca="false">IS!U32</f>
        <v>1810.64492226067</v>
      </c>
      <c r="V11" s="185" t="n">
        <f aca="false">IS!V32</f>
        <v>1787.30416806302</v>
      </c>
      <c r="W11" s="185" t="n">
        <f aca="false">IS!W32</f>
        <v>-895.309866115361</v>
      </c>
      <c r="X11" s="185" t="n">
        <f aca="false">IS!X32</f>
        <v>-2284.12388091569</v>
      </c>
      <c r="Y11" s="185" t="n">
        <f aca="false">IS!Y32</f>
        <v>-2346.58493196757</v>
      </c>
      <c r="Z11" s="185" t="n">
        <f aca="false">IS!Z32</f>
        <v>-2410.79856124349</v>
      </c>
      <c r="AA11" s="185" t="n">
        <f aca="false">IS!AA32</f>
        <v>-2476.81492102403</v>
      </c>
      <c r="AB11" s="185" t="n">
        <f aca="false">IS!AB32</f>
        <v>-2544.68561965685</v>
      </c>
      <c r="AC11" s="185" t="n">
        <f aca="false">IS!AC32</f>
        <v>-2614.4637642687</v>
      </c>
      <c r="AD11" s="185" t="n">
        <f aca="false">IS!AD32</f>
        <v>-2686.20400473934</v>
      </c>
      <c r="AE11" s="185" t="n">
        <f aca="false">IS!AE32</f>
        <v>-2759.96257897496</v>
      </c>
      <c r="AF11" s="185" t="n">
        <f aca="false">IS!AF32</f>
        <v>-2835.79735951951</v>
      </c>
      <c r="AG11" s="185" t="n">
        <f aca="false">IS!AG32</f>
        <v>-2913.7679015439</v>
      </c>
    </row>
    <row r="12" customFormat="false" ht="12.75" hidden="false" customHeight="false" outlineLevel="0" collapsed="false">
      <c r="A12" s="310" t="s">
        <v>328</v>
      </c>
      <c r="B12" s="302" t="n">
        <v>0</v>
      </c>
      <c r="C12" s="302" t="n">
        <f aca="false">-(Debt!B36)</f>
        <v>-387.931436826235</v>
      </c>
      <c r="D12" s="302" t="n">
        <f aca="false">-(Debt!B44+Debt!C27+Debt!C36)</f>
        <v>-945.745038230173</v>
      </c>
      <c r="E12" s="302" t="n">
        <f aca="false">-(Debt!C44+Debt!D27+Debt!D36)</f>
        <v>-972.147555805822</v>
      </c>
      <c r="F12" s="302" t="n">
        <f aca="false">-(Debt!D44+Debt!E27+Debt!E36)</f>
        <v>-993.413410151838</v>
      </c>
      <c r="G12" s="302" t="n">
        <f aca="false">-(Debt!E44+Debt!F27+Debt!F36)</f>
        <v>-986.280783903917</v>
      </c>
      <c r="H12" s="302" t="n">
        <f aca="false">-(Debt!F44+Debt!G27+Debt!G36)</f>
        <v>-962.013337683866</v>
      </c>
      <c r="I12" s="302" t="n">
        <f aca="false">-(Debt!G44+Debt!H27+Debt!H36)</f>
        <v>-931.512220030539</v>
      </c>
      <c r="J12" s="302" t="n">
        <f aca="false">-(Debt!H44+Debt!I27+Debt!I36)</f>
        <v>-899.138893249786</v>
      </c>
      <c r="K12" s="302" t="n">
        <f aca="false">-(Debt!I44+Debt!J27+Debt!J36)</f>
        <v>-861.328191683039</v>
      </c>
      <c r="L12" s="302" t="n">
        <f aca="false">-(Debt!J44+Debt!K27+Debt!K36)</f>
        <v>-820.062057931247</v>
      </c>
      <c r="M12" s="302" t="n">
        <f aca="false">-(Debt!K44+Debt!L27+Debt!L36)</f>
        <v>-773.345963896059</v>
      </c>
      <c r="N12" s="302" t="n">
        <f aca="false">-(Debt!L44+Debt!M27+Debt!M36)</f>
        <v>-720.924373820173</v>
      </c>
      <c r="O12" s="302" t="n">
        <f aca="false">-(Debt!M44+Debt!N27+Debt!N36)</f>
        <v>-661.122382244288</v>
      </c>
      <c r="P12" s="302" t="n">
        <f aca="false">-(Debt!N44+Debt!O27+Debt!O36)</f>
        <v>-595.57168858274</v>
      </c>
      <c r="Q12" s="302" t="n">
        <f aca="false">-(Debt!O44+Debt!P27+Debt!P36)</f>
        <v>-523.626201132721</v>
      </c>
      <c r="R12" s="302" t="n">
        <f aca="false">-(Debt!P44+Debt!Q27+Debt!Q36)</f>
        <v>-446.653589753422</v>
      </c>
      <c r="S12" s="302" t="n">
        <f aca="false">-(Debt!Q44+Debt!R27+Debt!R36)</f>
        <v>-362.876473885815</v>
      </c>
      <c r="T12" s="302" t="n">
        <f aca="false">-(Debt!R44+Debt!S27+Debt!S36)</f>
        <v>-274.0671695893</v>
      </c>
      <c r="U12" s="302" t="n">
        <f aca="false">-(Debt!S44+Debt!T27+Debt!T36)</f>
        <v>-178.579883057564</v>
      </c>
      <c r="V12" s="302" t="n">
        <f aca="false">-(Debt!T44+Debt!U27+Debt!U36)</f>
        <v>-76.5028112976969</v>
      </c>
      <c r="W12" s="302" t="n">
        <f aca="false">-(Debt!U44+Debt!V27+Debt!V36)</f>
        <v>-3.62262453683363</v>
      </c>
      <c r="X12" s="302" t="n">
        <f aca="false">-(Debt!V44+Debt!W27+Debt!W36)</f>
        <v>-45.8832966079674</v>
      </c>
      <c r="Y12" s="302" t="n">
        <f aca="false">-(Debt!W44+Debt!X27+Debt!X36)</f>
        <v>-181.517924628949</v>
      </c>
      <c r="Z12" s="302" t="n">
        <f aca="false">-(Debt!X44+Debt!Y27+Debt!Y36)</f>
        <v>-348.935220308639</v>
      </c>
      <c r="AA12" s="302" t="n">
        <f aca="false">-(Debt!Y44+Debt!Z27+Debt!Z36)</f>
        <v>-534.068770924582</v>
      </c>
      <c r="AB12" s="302" t="n">
        <f aca="false">-(Debt!Z44+Debt!AA27+Debt!AA36)</f>
        <v>-739.732886468861</v>
      </c>
      <c r="AC12" s="302" t="n">
        <f aca="false">-(Debt!AA44+Debt!AB27+Debt!AB36)</f>
        <v>-966.846437651192</v>
      </c>
      <c r="AD12" s="302" t="n">
        <f aca="false">-(Debt!AB44+Debt!AC27+Debt!AC36)</f>
        <v>-1218.33296132399</v>
      </c>
      <c r="AE12" s="302" t="n">
        <f aca="false">-(Debt!AC44+Debt!AD27+Debt!AD36)</f>
        <v>-1493.2632184427</v>
      </c>
      <c r="AF12" s="302" t="n">
        <f aca="false">-(Debt!AD44+Debt!AE27+Debt!AE36)</f>
        <v>-1798.68823906358</v>
      </c>
      <c r="AG12" s="302" t="n">
        <f aca="false">-(Debt!AE44+Debt!AF27+Debt!AF36)</f>
        <v>-1204.48193541614</v>
      </c>
      <c r="AH12" s="31"/>
      <c r="AI12" s="31"/>
    </row>
    <row r="13" customFormat="false" ht="12.75" hidden="false" customHeight="false" outlineLevel="0" collapsed="false">
      <c r="A13" s="310" t="s">
        <v>329</v>
      </c>
      <c r="B13" s="185" t="n">
        <f aca="false">SUM(B11:B12)</f>
        <v>0</v>
      </c>
      <c r="C13" s="185" t="n">
        <f aca="false">SUM(C11:C12)</f>
        <v>77.0657455954687</v>
      </c>
      <c r="D13" s="185" t="n">
        <f aca="false">SUM(D11:D12)</f>
        <v>-83.3071945976187</v>
      </c>
      <c r="E13" s="185" t="n">
        <f aca="false">SUM(E11:E12)</f>
        <v>-145.739380073269</v>
      </c>
      <c r="F13" s="185" t="n">
        <f aca="false">SUM(F11:F12)</f>
        <v>450.073658960383</v>
      </c>
      <c r="G13" s="185" t="n">
        <f aca="false">SUM(G11:G12)</f>
        <v>733.907432442276</v>
      </c>
      <c r="H13" s="185" t="n">
        <f aca="false">SUM(H11:H12)</f>
        <v>759.809966498611</v>
      </c>
      <c r="I13" s="185" t="n">
        <f aca="false">SUM(I11:I12)</f>
        <v>790.380294673554</v>
      </c>
      <c r="J13" s="185" t="n">
        <f aca="false">SUM(J11:J12)</f>
        <v>821.160664497596</v>
      </c>
      <c r="K13" s="185" t="n">
        <f aca="false">SUM(K11:K12)</f>
        <v>917.592292258386</v>
      </c>
      <c r="L13" s="185" t="n">
        <f aca="false">SUM(L11:L12)</f>
        <v>955.493846824607</v>
      </c>
      <c r="M13" s="185" t="n">
        <f aca="false">SUM(M11:M12)</f>
        <v>1062.67418506798</v>
      </c>
      <c r="N13" s="185" t="n">
        <f aca="false">SUM(N11:N12)</f>
        <v>1109.7459119586</v>
      </c>
      <c r="O13" s="185" t="n">
        <f aca="false">SUM(O11:O12)</f>
        <v>1231.85870613245</v>
      </c>
      <c r="P13" s="185" t="n">
        <f aca="false">SUM(P11:P12)</f>
        <v>1289.84098448395</v>
      </c>
      <c r="Q13" s="185" t="n">
        <f aca="false">SUM(Q11:Q12)</f>
        <v>1351.93702315028</v>
      </c>
      <c r="R13" s="185" t="n">
        <f aca="false">SUM(R11:R12)</f>
        <v>1416.64808724415</v>
      </c>
      <c r="S13" s="185" t="n">
        <f aca="false">SUM(S11:S12)</f>
        <v>1485.61466103309</v>
      </c>
      <c r="T13" s="185" t="n">
        <f aca="false">SUM(T11:T12)</f>
        <v>1556.92146857967</v>
      </c>
      <c r="U13" s="185" t="n">
        <f aca="false">SUM(U11:U12)</f>
        <v>1632.0650392031</v>
      </c>
      <c r="V13" s="185" t="n">
        <f aca="false">SUM(V11:V12)</f>
        <v>1710.80135676532</v>
      </c>
      <c r="W13" s="185" t="n">
        <f aca="false">SUM(W11:W12)</f>
        <v>-898.932490652195</v>
      </c>
      <c r="X13" s="185" t="n">
        <f aca="false">SUM(X11:X12)</f>
        <v>-2330.00717752365</v>
      </c>
      <c r="Y13" s="185" t="n">
        <f aca="false">SUM(Y11:Y12)</f>
        <v>-2528.10285659652</v>
      </c>
      <c r="Z13" s="185" t="n">
        <f aca="false">SUM(Z11:Z12)</f>
        <v>-2759.73378155213</v>
      </c>
      <c r="AA13" s="185" t="n">
        <f aca="false">SUM(AA11:AA12)</f>
        <v>-3010.88369194861</v>
      </c>
      <c r="AB13" s="185" t="n">
        <f aca="false">SUM(AB11:AB12)</f>
        <v>-3284.41850612571</v>
      </c>
      <c r="AC13" s="185" t="n">
        <f aca="false">SUM(AC11:AC12)</f>
        <v>-3581.31020191989</v>
      </c>
      <c r="AD13" s="185" t="n">
        <f aca="false">SUM(AD11:AD12)</f>
        <v>-3904.53696606333</v>
      </c>
      <c r="AE13" s="185" t="n">
        <f aca="false">SUM(AE11:AE12)</f>
        <v>-4253.22579741766</v>
      </c>
      <c r="AF13" s="185" t="n">
        <f aca="false">SUM(AF11:AF12)</f>
        <v>-4634.48559858309</v>
      </c>
      <c r="AG13" s="185" t="n">
        <f aca="false">SUM(AG11:AG12)</f>
        <v>-4118.24983696004</v>
      </c>
    </row>
    <row r="14" customFormat="false" ht="12.75" hidden="false" customHeight="false" outlineLevel="0" collapsed="false">
      <c r="A14" s="310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</row>
    <row r="15" customFormat="false" ht="12.75" hidden="false" customHeight="false" outlineLevel="0" collapsed="false">
      <c r="A15" s="310" t="s">
        <v>330</v>
      </c>
      <c r="B15" s="185" t="n">
        <v>0</v>
      </c>
      <c r="C15" s="185" t="n">
        <f aca="false">-Taxes!B24-Taxes!B41</f>
        <v>-0</v>
      </c>
      <c r="D15" s="185" t="n">
        <f aca="false">-Taxes!C24-Taxes!C41</f>
        <v>-0</v>
      </c>
      <c r="E15" s="185" t="n">
        <f aca="false">-Taxes!D24-Taxes!D41</f>
        <v>-0</v>
      </c>
      <c r="F15" s="185" t="n">
        <f aca="false">-Taxes!E24-Taxes!E41</f>
        <v>-0</v>
      </c>
      <c r="G15" s="185" t="n">
        <f aca="false">-Taxes!F24-Taxes!F41</f>
        <v>-0</v>
      </c>
      <c r="H15" s="185" t="n">
        <f aca="false">-Taxes!G24-Taxes!G41</f>
        <v>-0</v>
      </c>
      <c r="I15" s="185" t="n">
        <f aca="false">-Taxes!H24-Taxes!H41</f>
        <v>-0</v>
      </c>
      <c r="J15" s="185" t="n">
        <f aca="false">-Taxes!I24-Taxes!I41</f>
        <v>-0</v>
      </c>
      <c r="K15" s="185" t="n">
        <f aca="false">-Taxes!J24-Taxes!J41</f>
        <v>-0</v>
      </c>
      <c r="L15" s="185" t="n">
        <f aca="false">-Taxes!K24-Taxes!K41</f>
        <v>-0</v>
      </c>
      <c r="M15" s="185" t="n">
        <f aca="false">-Taxes!L24-Taxes!L41</f>
        <v>-0</v>
      </c>
      <c r="N15" s="185" t="n">
        <f aca="false">-Taxes!M24-Taxes!M41</f>
        <v>-0</v>
      </c>
      <c r="O15" s="185" t="n">
        <f aca="false">-Taxes!N24-Taxes!N41</f>
        <v>-0</v>
      </c>
      <c r="P15" s="185" t="n">
        <f aca="false">-Taxes!O24-Taxes!O41</f>
        <v>-0</v>
      </c>
      <c r="Q15" s="185" t="n">
        <f aca="false">-Taxes!P24-Taxes!P41</f>
        <v>-0</v>
      </c>
      <c r="R15" s="185" t="n">
        <f aca="false">-Taxes!Q24-Taxes!Q41</f>
        <v>-0</v>
      </c>
      <c r="S15" s="185" t="n">
        <f aca="false">-Taxes!R24-Taxes!R41</f>
        <v>-0</v>
      </c>
      <c r="T15" s="185" t="n">
        <f aca="false">-Taxes!S24-Taxes!S41</f>
        <v>-0</v>
      </c>
      <c r="U15" s="185" t="n">
        <f aca="false">-Taxes!T24-Taxes!T41</f>
        <v>-655.390977373638</v>
      </c>
      <c r="V15" s="185" t="n">
        <f aca="false">-Taxes!U24-Taxes!U41</f>
        <v>-686.756272070506</v>
      </c>
      <c r="W15" s="185" t="n">
        <f aca="false">-Taxes!V24-Taxes!V41</f>
        <v>-0</v>
      </c>
      <c r="X15" s="185" t="n">
        <f aca="false">-Taxes!W24-Taxes!W41</f>
        <v>-0</v>
      </c>
      <c r="Y15" s="185" t="n">
        <f aca="false">-Taxes!X24-Taxes!X41</f>
        <v>-0</v>
      </c>
      <c r="Z15" s="185" t="n">
        <f aca="false">-Taxes!Y24-Taxes!Y41</f>
        <v>-0</v>
      </c>
      <c r="AA15" s="185" t="n">
        <f aca="false">-Taxes!Z24-Taxes!Z41</f>
        <v>-0</v>
      </c>
      <c r="AB15" s="185" t="n">
        <f aca="false">-Taxes!AA24-Taxes!AA41</f>
        <v>-0</v>
      </c>
      <c r="AC15" s="185" t="n">
        <f aca="false">-Taxes!AB24-Taxes!AB41</f>
        <v>-0</v>
      </c>
      <c r="AD15" s="185" t="n">
        <f aca="false">-Taxes!AC24-Taxes!AC41</f>
        <v>-0</v>
      </c>
      <c r="AE15" s="185" t="n">
        <f aca="false">-Taxes!AD24-Taxes!AD41</f>
        <v>-0</v>
      </c>
      <c r="AF15" s="185" t="n">
        <f aca="false">-Taxes!AE24-Taxes!AE41</f>
        <v>-0</v>
      </c>
      <c r="AG15" s="185" t="n">
        <f aca="false">-Taxes!AF24-Taxes!AF41</f>
        <v>-0</v>
      </c>
    </row>
    <row r="16" customFormat="false" ht="12.75" hidden="false" customHeight="false" outlineLevel="0" collapsed="false">
      <c r="A16" s="310" t="s">
        <v>331</v>
      </c>
      <c r="B16" s="185" t="n">
        <v>0</v>
      </c>
      <c r="C16" s="185" t="n">
        <f aca="false">-Debt!B48</f>
        <v>163.642127524468</v>
      </c>
      <c r="D16" s="185" t="n">
        <f aca="false">-Debt!C48</f>
        <v>314.329519841231</v>
      </c>
      <c r="E16" s="185" t="n">
        <f aca="false">-Debt!D48</f>
        <v>329.539159765185</v>
      </c>
      <c r="F16" s="185" t="n">
        <f aca="false">-Debt!E48</f>
        <v>0.626264274453206</v>
      </c>
      <c r="G16" s="185" t="n">
        <f aca="false">-Debt!F48</f>
        <v>-283.118572845633</v>
      </c>
      <c r="H16" s="185" t="n">
        <f aca="false">-Debt!G48</f>
        <v>-362.152548582733</v>
      </c>
      <c r="I16" s="185" t="n">
        <f aca="false">-Debt!H48</f>
        <v>-393.007210337271</v>
      </c>
      <c r="J16" s="185" t="n">
        <f aca="false">-Debt!I48</f>
        <v>-425.375379488429</v>
      </c>
      <c r="K16" s="185" t="n">
        <f aca="false">-Debt!J48</f>
        <v>-494.928389142109</v>
      </c>
      <c r="L16" s="185" t="n">
        <f aca="false">-Debt!K48</f>
        <v>-546.395438257949</v>
      </c>
      <c r="M16" s="185" t="n">
        <f aca="false">-Debt!L48</f>
        <v>-627.381345163854</v>
      </c>
      <c r="N16" s="185" t="n">
        <f aca="false">-Debt!M48</f>
        <v>-689.268794809679</v>
      </c>
      <c r="O16" s="185" t="n">
        <f aca="false">-Debt!N48</f>
        <v>-782.107644236935</v>
      </c>
      <c r="P16" s="185" t="n">
        <f aca="false">-Debt!O48</f>
        <v>-856.197229146568</v>
      </c>
      <c r="Q16" s="185" t="n">
        <f aca="false">-Debt!P48</f>
        <v>-921.003676006607</v>
      </c>
      <c r="R16" s="185" t="n">
        <f aca="false">-Debt!Q48</f>
        <v>-989.983276067953</v>
      </c>
      <c r="S16" s="185" t="n">
        <f aca="false">-Debt!R48</f>
        <v>-1060.90380777784</v>
      </c>
      <c r="T16" s="185" t="n">
        <f aca="false">-Debt!S48</f>
        <v>-1137.74227221453</v>
      </c>
      <c r="U16" s="185" t="n">
        <f aca="false">-Debt!T48</f>
        <v>-1218.12543785455</v>
      </c>
      <c r="V16" s="185" t="n">
        <f aca="false">-Debt!U48</f>
        <v>-1245.79422144989</v>
      </c>
      <c r="W16" s="185" t="n">
        <f aca="false">-Debt!V48</f>
        <v>178.785129050068</v>
      </c>
      <c r="X16" s="185" t="n">
        <f aca="false">-Debt!W48</f>
        <v>1536.55377329373</v>
      </c>
      <c r="Y16" s="185" t="n">
        <f aca="false">-Debt!X48</f>
        <v>1974.60442520311</v>
      </c>
      <c r="Z16" s="185" t="n">
        <f aca="false">-Debt!Y48</f>
        <v>2192.34394694598</v>
      </c>
      <c r="AA16" s="185" t="n">
        <f aca="false">-Debt!Z48</f>
        <v>2425.38710861497</v>
      </c>
      <c r="AB16" s="185" t="n">
        <f aca="false">-Debt!AA48</f>
        <v>2684.16706476004</v>
      </c>
      <c r="AC16" s="185" t="n">
        <f aca="false">-Debt!AB48</f>
        <v>2964.59030024001</v>
      </c>
      <c r="AD16" s="185" t="n">
        <f aca="false">-Debt!AC48</f>
        <v>3272.29287949178</v>
      </c>
      <c r="AE16" s="185" t="n">
        <f aca="false">-Debt!AD48</f>
        <v>3600.75832855195</v>
      </c>
      <c r="AF16" s="185" t="n">
        <f aca="false">-Debt!AE48</f>
        <v>3965.52716676657</v>
      </c>
      <c r="AG16" s="185" t="n">
        <f aca="false">-Debt!AF48</f>
        <v>3989.69340808168</v>
      </c>
    </row>
    <row r="17" customFormat="false" ht="12.75" hidden="false" customHeight="false" outlineLevel="0" collapsed="false">
      <c r="A17" s="310" t="s">
        <v>332</v>
      </c>
      <c r="B17" s="311" t="n">
        <v>0</v>
      </c>
      <c r="C17" s="311" t="n">
        <v>0</v>
      </c>
      <c r="D17" s="311" t="n">
        <v>0</v>
      </c>
      <c r="E17" s="311" t="n">
        <v>0</v>
      </c>
      <c r="F17" s="311" t="n">
        <v>0</v>
      </c>
      <c r="G17" s="311" t="n">
        <v>0</v>
      </c>
      <c r="H17" s="311" t="n">
        <v>0</v>
      </c>
      <c r="I17" s="311" t="n">
        <v>0</v>
      </c>
      <c r="J17" s="311" t="n">
        <v>0</v>
      </c>
      <c r="K17" s="311" t="n">
        <v>0</v>
      </c>
      <c r="L17" s="311" t="n">
        <v>0</v>
      </c>
      <c r="M17" s="311" t="n">
        <v>0</v>
      </c>
      <c r="N17" s="311" t="n">
        <v>0</v>
      </c>
      <c r="O17" s="311" t="n">
        <v>0</v>
      </c>
      <c r="P17" s="311" t="n">
        <v>0</v>
      </c>
      <c r="Q17" s="311" t="n">
        <v>0</v>
      </c>
      <c r="R17" s="311" t="n">
        <v>0</v>
      </c>
      <c r="S17" s="311" t="n">
        <v>0</v>
      </c>
      <c r="T17" s="311" t="n">
        <v>0</v>
      </c>
      <c r="U17" s="311" t="n">
        <v>0</v>
      </c>
      <c r="V17" s="311" t="n">
        <v>0</v>
      </c>
      <c r="W17" s="311" t="n">
        <v>0</v>
      </c>
      <c r="X17" s="311" t="n">
        <v>0</v>
      </c>
      <c r="Y17" s="311" t="n">
        <v>0</v>
      </c>
      <c r="Z17" s="311" t="n">
        <v>0</v>
      </c>
      <c r="AA17" s="311" t="n">
        <v>0</v>
      </c>
      <c r="AB17" s="311" t="n">
        <v>0</v>
      </c>
      <c r="AC17" s="311" t="n">
        <v>0</v>
      </c>
      <c r="AD17" s="311" t="n">
        <v>0</v>
      </c>
      <c r="AE17" s="311" t="n">
        <v>0</v>
      </c>
      <c r="AF17" s="311" t="n">
        <v>0</v>
      </c>
      <c r="AG17" s="311" t="n">
        <v>0</v>
      </c>
    </row>
    <row r="18" customFormat="false" ht="12.75" hidden="false" customHeight="false" outlineLevel="0" collapsed="false">
      <c r="A18" s="310" t="s">
        <v>333</v>
      </c>
      <c r="B18" s="185" t="n">
        <f aca="false">B13+B17+B16+B15</f>
        <v>0</v>
      </c>
      <c r="C18" s="185" t="n">
        <f aca="false">C13+C17+C16+C15</f>
        <v>240.707873119937</v>
      </c>
      <c r="D18" s="185" t="n">
        <f aca="false">D13+D17+D16+D15</f>
        <v>231.022325243612</v>
      </c>
      <c r="E18" s="185" t="n">
        <f aca="false">E13+E17+E16+E15</f>
        <v>183.799779691916</v>
      </c>
      <c r="F18" s="185" t="n">
        <f aca="false">F13+F17+F16+F15</f>
        <v>450.699923234836</v>
      </c>
      <c r="G18" s="185" t="n">
        <f aca="false">G13+G17+G16+G15</f>
        <v>450.788859596643</v>
      </c>
      <c r="H18" s="185" t="n">
        <f aca="false">H13+H17+H16+H15</f>
        <v>397.657417915877</v>
      </c>
      <c r="I18" s="185" t="n">
        <f aca="false">I13+I17+I16+I15</f>
        <v>397.373084336282</v>
      </c>
      <c r="J18" s="185" t="n">
        <f aca="false">J13+J17+J16+J15</f>
        <v>395.785285009167</v>
      </c>
      <c r="K18" s="185" t="n">
        <f aca="false">K13+K17+K16+K15</f>
        <v>422.663903116277</v>
      </c>
      <c r="L18" s="185" t="n">
        <f aca="false">L13+L17+L16+L15</f>
        <v>409.098408566658</v>
      </c>
      <c r="M18" s="185" t="n">
        <f aca="false">M13+M17+M16+M15</f>
        <v>435.292839904129</v>
      </c>
      <c r="N18" s="185" t="n">
        <f aca="false">N13+N17+N16+N15</f>
        <v>420.477117148919</v>
      </c>
      <c r="O18" s="185" t="n">
        <f aca="false">O13+O17+O16+O15</f>
        <v>449.751061895514</v>
      </c>
      <c r="P18" s="185" t="n">
        <f aca="false">P13+P17+P16+P15</f>
        <v>433.643755337386</v>
      </c>
      <c r="Q18" s="185" t="n">
        <f aca="false">Q13+Q17+Q16+Q15</f>
        <v>430.933347143669</v>
      </c>
      <c r="R18" s="185" t="n">
        <f aca="false">R13+R17+R16+R15</f>
        <v>426.664811176194</v>
      </c>
      <c r="S18" s="185" t="n">
        <f aca="false">S13+S17+S16+S15</f>
        <v>424.710853255253</v>
      </c>
      <c r="T18" s="185" t="n">
        <f aca="false">T13+T17+T16+T15</f>
        <v>419.179196365136</v>
      </c>
      <c r="U18" s="185" t="n">
        <f aca="false">U13+U17+U16+U15</f>
        <v>-241.451376025087</v>
      </c>
      <c r="V18" s="185" t="n">
        <f aca="false">V13+V17+V16+V15</f>
        <v>-221.749136755076</v>
      </c>
      <c r="W18" s="185" t="n">
        <f aca="false">W13+W17+W16+W15</f>
        <v>-720.147361602127</v>
      </c>
      <c r="X18" s="185" t="n">
        <f aca="false">X13+X17+X16+X15</f>
        <v>-793.453404229921</v>
      </c>
      <c r="Y18" s="185" t="n">
        <f aca="false">Y13+Y17+Y16+Y15</f>
        <v>-553.498431393402</v>
      </c>
      <c r="Z18" s="185" t="n">
        <f aca="false">Z13+Z17+Z16+Z15</f>
        <v>-567.389834606149</v>
      </c>
      <c r="AA18" s="185" t="n">
        <f aca="false">AA13+AA17+AA16+AA15</f>
        <v>-585.496583333643</v>
      </c>
      <c r="AB18" s="185" t="n">
        <f aca="false">AB13+AB17+AB16+AB15</f>
        <v>-600.251441365674</v>
      </c>
      <c r="AC18" s="185" t="n">
        <f aca="false">AC13+AC17+AC16+AC15</f>
        <v>-616.719901679874</v>
      </c>
      <c r="AD18" s="185" t="n">
        <f aca="false">AD13+AD17+AD16+AD15</f>
        <v>-632.244086571556</v>
      </c>
      <c r="AE18" s="185" t="n">
        <f aca="false">AE13+AE17+AE16+AE15</f>
        <v>-652.467468865712</v>
      </c>
      <c r="AF18" s="185" t="n">
        <f aca="false">AF13+AF17+AF16+AF15</f>
        <v>-668.958431816525</v>
      </c>
      <c r="AG18" s="185" t="n">
        <f aca="false">AG13+AG17+AG16+AG15</f>
        <v>-128.556428878361</v>
      </c>
    </row>
    <row r="19" customFormat="false" ht="12.75" hidden="false" customHeight="false" outlineLevel="0" collapsed="false">
      <c r="A19" s="312"/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</row>
    <row r="20" customFormat="false" ht="12.75" hidden="false" customHeight="false" outlineLevel="0" collapsed="false">
      <c r="A20" s="314" t="s">
        <v>334</v>
      </c>
      <c r="B20" s="315" t="n">
        <v>1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</row>
    <row r="21" customFormat="false" ht="12.75" hidden="false" customHeight="false" outlineLevel="0" collapsed="false">
      <c r="B21" s="185" t="n">
        <f aca="false">$B$20*B18</f>
        <v>0</v>
      </c>
      <c r="C21" s="185" t="n">
        <f aca="false">$B$20*C18</f>
        <v>240.707873119937</v>
      </c>
      <c r="D21" s="185" t="n">
        <f aca="false">$B$20*D18</f>
        <v>231.022325243612</v>
      </c>
      <c r="E21" s="185" t="n">
        <f aca="false">$B$20*E18</f>
        <v>183.799779691916</v>
      </c>
      <c r="F21" s="185" t="n">
        <f aca="false">$B$20*F18</f>
        <v>450.699923234836</v>
      </c>
      <c r="G21" s="185" t="n">
        <f aca="false">$B$20*G18</f>
        <v>450.788859596643</v>
      </c>
      <c r="H21" s="185" t="n">
        <f aca="false">$B$20*H18</f>
        <v>397.657417915877</v>
      </c>
      <c r="I21" s="185" t="n">
        <f aca="false">$B$20*I18</f>
        <v>397.373084336282</v>
      </c>
      <c r="J21" s="185" t="n">
        <f aca="false">$B$20*J18</f>
        <v>395.785285009167</v>
      </c>
      <c r="K21" s="185" t="n">
        <f aca="false">$B$20*K18</f>
        <v>422.663903116277</v>
      </c>
      <c r="L21" s="185" t="n">
        <f aca="false">$B$20*L18</f>
        <v>409.098408566658</v>
      </c>
      <c r="M21" s="185" t="n">
        <f aca="false">$B$20*M18</f>
        <v>435.292839904129</v>
      </c>
      <c r="N21" s="185" t="n">
        <f aca="false">$B$20*N18</f>
        <v>420.477117148919</v>
      </c>
      <c r="O21" s="185" t="n">
        <f aca="false">$B$20*O18</f>
        <v>449.751061895514</v>
      </c>
      <c r="P21" s="185" t="n">
        <f aca="false">$B$20*P18</f>
        <v>433.643755337386</v>
      </c>
      <c r="Q21" s="185" t="n">
        <f aca="false">$B$20*Q18</f>
        <v>430.933347143669</v>
      </c>
      <c r="R21" s="185" t="n">
        <f aca="false">$B$20*R18</f>
        <v>426.664811176194</v>
      </c>
      <c r="S21" s="185" t="n">
        <f aca="false">$B$20*S18</f>
        <v>424.710853255253</v>
      </c>
      <c r="T21" s="185" t="n">
        <f aca="false">$B$20*T18</f>
        <v>419.179196365136</v>
      </c>
      <c r="U21" s="185" t="n">
        <f aca="false">$B$20*U18</f>
        <v>-241.451376025087</v>
      </c>
      <c r="V21" s="185" t="n">
        <f aca="false">$B$20*V18</f>
        <v>-221.749136755076</v>
      </c>
      <c r="W21" s="185" t="n">
        <f aca="false">$B$20*W18</f>
        <v>-720.147361602127</v>
      </c>
      <c r="X21" s="185" t="n">
        <f aca="false">$B$20*X18</f>
        <v>-793.453404229921</v>
      </c>
      <c r="Y21" s="185" t="n">
        <f aca="false">$B$20*Y18</f>
        <v>-553.498431393402</v>
      </c>
      <c r="Z21" s="185" t="n">
        <f aca="false">$B$20*Z18</f>
        <v>-567.389834606149</v>
      </c>
      <c r="AA21" s="185" t="n">
        <f aca="false">$B$20*AA18</f>
        <v>-585.496583333643</v>
      </c>
      <c r="AB21" s="185" t="n">
        <f aca="false">$B$20*AB18</f>
        <v>-600.251441365674</v>
      </c>
      <c r="AC21" s="185" t="n">
        <f aca="false">$B$20*AC18</f>
        <v>-616.719901679874</v>
      </c>
      <c r="AD21" s="185" t="n">
        <f aca="false">$B$20*AD18</f>
        <v>-632.244086571556</v>
      </c>
      <c r="AE21" s="185" t="n">
        <f aca="false">$B$20*AE18</f>
        <v>-652.467468865712</v>
      </c>
      <c r="AF21" s="185" t="n">
        <f aca="false">$B$20*AF18</f>
        <v>-668.958431816525</v>
      </c>
      <c r="AG21" s="185" t="n">
        <f aca="false">$B$20*AG18</f>
        <v>-128.556428878361</v>
      </c>
    </row>
    <row r="22" customFormat="false" ht="12.75" hidden="false" customHeight="false" outlineLevel="0" collapsed="false"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</row>
    <row r="23" customFormat="false" ht="12.75" hidden="false" customHeight="false" outlineLevel="0" collapsed="false">
      <c r="A23" s="313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</row>
    <row r="24" customFormat="false" ht="12.75" hidden="false" customHeight="false" outlineLevel="0" collapsed="false">
      <c r="A24" s="316" t="s">
        <v>335</v>
      </c>
      <c r="B24" s="317" t="n">
        <v>0.14</v>
      </c>
      <c r="AA24" s="313"/>
      <c r="AB24" s="313"/>
      <c r="AC24" s="313"/>
      <c r="AD24" s="313"/>
    </row>
    <row r="25" customFormat="false" ht="12.75" hidden="false" customHeight="false" outlineLevel="0" collapsed="false">
      <c r="A25" s="310" t="s">
        <v>336</v>
      </c>
      <c r="B25" s="185" t="n">
        <f aca="false">-Assumptions!C11</f>
        <v>-17211.9424647363</v>
      </c>
      <c r="C25" s="185" t="n">
        <f aca="false">+B29</f>
        <v>-17211.9424647363</v>
      </c>
      <c r="D25" s="185" t="n">
        <f aca="false">+C29</f>
        <v>-17211.9424647363</v>
      </c>
      <c r="E25" s="185" t="n">
        <f aca="false">+D29</f>
        <v>-17211.9424647363</v>
      </c>
      <c r="F25" s="185" t="n">
        <f aca="false">+E29</f>
        <v>-17211.9424647363</v>
      </c>
      <c r="G25" s="185" t="n">
        <f aca="false">+F29</f>
        <v>-17211.9424647363</v>
      </c>
      <c r="H25" s="185" t="n">
        <f aca="false">+G29</f>
        <v>-17211.9424647363</v>
      </c>
      <c r="I25" s="185" t="n">
        <f aca="false">+H29</f>
        <v>-17211.9424647363</v>
      </c>
      <c r="J25" s="185" t="n">
        <f aca="false">+I29</f>
        <v>-17211.9424647363</v>
      </c>
      <c r="K25" s="185" t="n">
        <f aca="false">+J29</f>
        <v>-17211.9424647363</v>
      </c>
      <c r="L25" s="185" t="n">
        <f aca="false">+K29</f>
        <v>-17211.9424647363</v>
      </c>
      <c r="M25" s="185" t="n">
        <f aca="false">+L29</f>
        <v>-17211.9424647363</v>
      </c>
      <c r="N25" s="185" t="n">
        <f aca="false">+M29</f>
        <v>-17211.9424647363</v>
      </c>
      <c r="O25" s="185" t="n">
        <f aca="false">+N29</f>
        <v>-17211.9424647363</v>
      </c>
      <c r="P25" s="185" t="n">
        <f aca="false">+O29</f>
        <v>-17211.9424647363</v>
      </c>
      <c r="Q25" s="185" t="n">
        <f aca="false">+P29</f>
        <v>-17211.9424647363</v>
      </c>
      <c r="R25" s="185" t="n">
        <f aca="false">+Q29</f>
        <v>-17211.9424647363</v>
      </c>
      <c r="S25" s="185" t="n">
        <f aca="false">+R29</f>
        <v>-17211.9424647363</v>
      </c>
      <c r="T25" s="185" t="n">
        <f aca="false">+S29</f>
        <v>-17211.9424647363</v>
      </c>
      <c r="U25" s="185" t="n">
        <f aca="false">+T29</f>
        <v>-17211.9424647363</v>
      </c>
      <c r="V25" s="185" t="n">
        <f aca="false">+U29</f>
        <v>-17211.9424647363</v>
      </c>
      <c r="W25" s="185" t="n">
        <f aca="false">+V29</f>
        <v>-17211.9424647363</v>
      </c>
      <c r="X25" s="185" t="n">
        <f aca="false">+W29</f>
        <v>-17211.9424647363</v>
      </c>
      <c r="Y25" s="185" t="n">
        <f aca="false">+X29</f>
        <v>-17211.9424647363</v>
      </c>
      <c r="Z25" s="185" t="n">
        <f aca="false">+Y29</f>
        <v>-17211.9424647363</v>
      </c>
      <c r="AA25" s="185" t="n">
        <f aca="false">+Z29</f>
        <v>-17211.9424647363</v>
      </c>
      <c r="AB25" s="185" t="n">
        <f aca="false">+AA29</f>
        <v>-17211.9424647363</v>
      </c>
      <c r="AC25" s="185" t="n">
        <f aca="false">+AB29</f>
        <v>-17211.9424647363</v>
      </c>
      <c r="AD25" s="185" t="n">
        <f aca="false">+AC29</f>
        <v>-17211.9424647363</v>
      </c>
      <c r="AE25" s="185" t="n">
        <f aca="false">+AD29</f>
        <v>-17211.9424647363</v>
      </c>
      <c r="AF25" s="185" t="n">
        <f aca="false">+AE29</f>
        <v>-17211.9424647363</v>
      </c>
      <c r="AG25" s="185" t="n">
        <f aca="false">+AF29</f>
        <v>-17211.9424647363</v>
      </c>
    </row>
    <row r="26" customFormat="false" ht="12.75" hidden="false" customHeight="false" outlineLevel="0" collapsed="false">
      <c r="A26" s="310" t="s">
        <v>337</v>
      </c>
      <c r="B26" s="185" t="n">
        <v>0</v>
      </c>
      <c r="C26" s="185" t="n">
        <f aca="false">+-B25*$B$24</f>
        <v>2409.67194506308</v>
      </c>
      <c r="D26" s="185" t="n">
        <f aca="false">+-D25*$B$24</f>
        <v>2409.67194506308</v>
      </c>
      <c r="E26" s="185" t="n">
        <f aca="false">+-E25*$B$24</f>
        <v>2409.67194506308</v>
      </c>
      <c r="F26" s="185" t="n">
        <f aca="false">+-F25*$B$24</f>
        <v>2409.67194506308</v>
      </c>
      <c r="G26" s="185" t="n">
        <f aca="false">+-G25*$B$24</f>
        <v>2409.67194506308</v>
      </c>
      <c r="H26" s="185" t="n">
        <f aca="false">+-H25*$B$24</f>
        <v>2409.67194506308</v>
      </c>
      <c r="I26" s="185" t="n">
        <f aca="false">+-I25*$B$24</f>
        <v>2409.67194506308</v>
      </c>
      <c r="J26" s="185" t="n">
        <f aca="false">+-J25*$B$24</f>
        <v>2409.67194506308</v>
      </c>
      <c r="K26" s="185" t="n">
        <f aca="false">+-K25*$B$24</f>
        <v>2409.67194506308</v>
      </c>
      <c r="L26" s="185" t="n">
        <f aca="false">+-L25*$B$24</f>
        <v>2409.67194506308</v>
      </c>
      <c r="M26" s="185" t="n">
        <f aca="false">+-M25*$B$24</f>
        <v>2409.67194506308</v>
      </c>
      <c r="N26" s="185" t="n">
        <f aca="false">+-N25*$B$24</f>
        <v>2409.67194506308</v>
      </c>
      <c r="O26" s="185" t="n">
        <f aca="false">+-O25*$B$24</f>
        <v>2409.67194506308</v>
      </c>
      <c r="P26" s="185" t="n">
        <f aca="false">+-P25*$B$24</f>
        <v>2409.67194506308</v>
      </c>
      <c r="Q26" s="185" t="n">
        <f aca="false">+-Q25*$B$24</f>
        <v>2409.67194506308</v>
      </c>
      <c r="R26" s="185" t="n">
        <f aca="false">+-R25*$B$24</f>
        <v>2409.67194506308</v>
      </c>
      <c r="S26" s="185" t="n">
        <f aca="false">+-S25*$B$24</f>
        <v>2409.67194506308</v>
      </c>
      <c r="T26" s="185" t="n">
        <f aca="false">+-T25*$B$24</f>
        <v>2409.67194506308</v>
      </c>
      <c r="U26" s="185" t="n">
        <f aca="false">+-U25*$B$24</f>
        <v>2409.67194506308</v>
      </c>
      <c r="V26" s="185" t="n">
        <f aca="false">+-V25*$B$24</f>
        <v>2409.67194506308</v>
      </c>
      <c r="W26" s="185" t="n">
        <f aca="false">+-W25*$B$24</f>
        <v>2409.67194506308</v>
      </c>
      <c r="X26" s="185" t="n">
        <f aca="false">+-X25*$B$24</f>
        <v>2409.67194506308</v>
      </c>
      <c r="Y26" s="185" t="n">
        <f aca="false">+-Y25*$B$24</f>
        <v>2409.67194506308</v>
      </c>
      <c r="Z26" s="185" t="n">
        <f aca="false">+-Z25*$B$24</f>
        <v>2409.67194506308</v>
      </c>
      <c r="AA26" s="185" t="n">
        <f aca="false">+-AA25*$B$24</f>
        <v>2409.67194506308</v>
      </c>
      <c r="AB26" s="185" t="n">
        <f aca="false">+-AB25*$B$24</f>
        <v>2409.67194506308</v>
      </c>
      <c r="AC26" s="185" t="n">
        <f aca="false">+-AC25*$B$24</f>
        <v>2409.67194506308</v>
      </c>
      <c r="AD26" s="185" t="n">
        <f aca="false">+-AD25*$B$24</f>
        <v>2409.67194506308</v>
      </c>
      <c r="AE26" s="185" t="n">
        <f aca="false">+-AE25*$B$24</f>
        <v>2409.67194506308</v>
      </c>
      <c r="AF26" s="185" t="n">
        <f aca="false">+-AF25*$B$24</f>
        <v>2409.67194506308</v>
      </c>
      <c r="AG26" s="185" t="n">
        <f aca="false">+-AG25*$B$24</f>
        <v>2409.67194506308</v>
      </c>
    </row>
    <row r="27" customFormat="false" ht="12.75" hidden="false" customHeight="false" outlineLevel="0" collapsed="false">
      <c r="A27" s="310" t="s">
        <v>338</v>
      </c>
      <c r="B27" s="185" t="n">
        <f aca="false">B21</f>
        <v>0</v>
      </c>
      <c r="C27" s="185" t="n">
        <f aca="false">C21</f>
        <v>240.707873119937</v>
      </c>
      <c r="D27" s="185" t="n">
        <f aca="false">D21</f>
        <v>231.022325243612</v>
      </c>
      <c r="E27" s="185" t="n">
        <f aca="false">E21</f>
        <v>183.799779691916</v>
      </c>
      <c r="F27" s="185" t="n">
        <f aca="false">F21</f>
        <v>450.699923234836</v>
      </c>
      <c r="G27" s="185" t="n">
        <f aca="false">G21</f>
        <v>450.788859596643</v>
      </c>
      <c r="H27" s="185" t="n">
        <f aca="false">H21</f>
        <v>397.657417915877</v>
      </c>
      <c r="I27" s="185" t="n">
        <f aca="false">I21</f>
        <v>397.373084336282</v>
      </c>
      <c r="J27" s="185" t="n">
        <f aca="false">J21</f>
        <v>395.785285009167</v>
      </c>
      <c r="K27" s="185" t="n">
        <f aca="false">K21</f>
        <v>422.663903116277</v>
      </c>
      <c r="L27" s="185" t="n">
        <f aca="false">L21</f>
        <v>409.098408566658</v>
      </c>
      <c r="M27" s="185" t="n">
        <f aca="false">M21</f>
        <v>435.292839904129</v>
      </c>
      <c r="N27" s="185" t="n">
        <f aca="false">N21</f>
        <v>420.477117148919</v>
      </c>
      <c r="O27" s="185" t="n">
        <f aca="false">O21</f>
        <v>449.751061895514</v>
      </c>
      <c r="P27" s="185" t="n">
        <f aca="false">P21</f>
        <v>433.643755337386</v>
      </c>
      <c r="Q27" s="185" t="n">
        <f aca="false">Q21</f>
        <v>430.933347143669</v>
      </c>
      <c r="R27" s="185" t="n">
        <f aca="false">R21</f>
        <v>426.664811176194</v>
      </c>
      <c r="S27" s="185" t="n">
        <f aca="false">S21</f>
        <v>424.710853255253</v>
      </c>
      <c r="T27" s="185" t="n">
        <f aca="false">T21</f>
        <v>419.179196365136</v>
      </c>
      <c r="U27" s="185" t="n">
        <f aca="false">U21</f>
        <v>-241.451376025087</v>
      </c>
      <c r="V27" s="185" t="n">
        <f aca="false">V21</f>
        <v>-221.749136755076</v>
      </c>
      <c r="W27" s="185" t="n">
        <f aca="false">W21</f>
        <v>-720.147361602127</v>
      </c>
      <c r="X27" s="185" t="n">
        <f aca="false">X21</f>
        <v>-793.453404229921</v>
      </c>
      <c r="Y27" s="185" t="n">
        <f aca="false">Y21</f>
        <v>-553.498431393402</v>
      </c>
      <c r="Z27" s="185" t="n">
        <f aca="false">Z21</f>
        <v>-567.389834606149</v>
      </c>
      <c r="AA27" s="185" t="n">
        <f aca="false">AA21</f>
        <v>-585.496583333643</v>
      </c>
      <c r="AB27" s="185" t="n">
        <f aca="false">AB21</f>
        <v>-600.251441365674</v>
      </c>
      <c r="AC27" s="185" t="n">
        <f aca="false">AC21</f>
        <v>-616.719901679874</v>
      </c>
      <c r="AD27" s="185" t="n">
        <f aca="false">AD21</f>
        <v>-632.244086571556</v>
      </c>
      <c r="AE27" s="185" t="n">
        <f aca="false">AE21</f>
        <v>-652.467468865712</v>
      </c>
      <c r="AF27" s="185" t="n">
        <f aca="false">AF21</f>
        <v>-668.958431816525</v>
      </c>
      <c r="AG27" s="185" t="n">
        <f aca="false">AG21</f>
        <v>-128.556428878361</v>
      </c>
    </row>
    <row r="28" customFormat="false" ht="12.75" hidden="false" customHeight="false" outlineLevel="0" collapsed="false">
      <c r="A28" s="310" t="s">
        <v>339</v>
      </c>
      <c r="B28" s="302" t="n">
        <v>0</v>
      </c>
      <c r="C28" s="302" t="n">
        <f aca="false">+IF(C27&gt;C26,C27-C26,0)</f>
        <v>0</v>
      </c>
      <c r="D28" s="302" t="n">
        <f aca="false">+IF(D27&gt;D26,D27-D26,0)</f>
        <v>0</v>
      </c>
      <c r="E28" s="302" t="n">
        <f aca="false">+IF(E27&gt;E26,E27-E26,0)</f>
        <v>0</v>
      </c>
      <c r="F28" s="302" t="n">
        <f aca="false">+IF(F27&gt;F26,F27-F26,0)</f>
        <v>0</v>
      </c>
      <c r="G28" s="302" t="n">
        <f aca="false">+IF(G27&gt;G26,G27-G26,0)</f>
        <v>0</v>
      </c>
      <c r="H28" s="302" t="n">
        <f aca="false">+IF(H27&gt;H26,H27-H26,0)</f>
        <v>0</v>
      </c>
      <c r="I28" s="302" t="n">
        <f aca="false">+IF(I27&gt;I26,I27-I26,0)</f>
        <v>0</v>
      </c>
      <c r="J28" s="302" t="n">
        <f aca="false">+IF(J27&gt;J26,J27-J26,0)</f>
        <v>0</v>
      </c>
      <c r="K28" s="302" t="n">
        <f aca="false">+IF(K27&gt;K26,K27-K26,0)</f>
        <v>0</v>
      </c>
      <c r="L28" s="302" t="n">
        <f aca="false">+IF(L27&gt;L26,L27-L26,0)</f>
        <v>0</v>
      </c>
      <c r="M28" s="302" t="n">
        <f aca="false">+IF(M27&gt;M26,M27-M26,0)</f>
        <v>0</v>
      </c>
      <c r="N28" s="302" t="n">
        <f aca="false">+IF(N27&gt;N26,N27-N26,0)</f>
        <v>0</v>
      </c>
      <c r="O28" s="302" t="n">
        <f aca="false">+IF(O27&gt;O26,O27-O26,0)</f>
        <v>0</v>
      </c>
      <c r="P28" s="302" t="n">
        <f aca="false">+IF(P27&gt;P26,P27-P26,0)</f>
        <v>0</v>
      </c>
      <c r="Q28" s="302" t="n">
        <f aca="false">+IF(Q27&gt;Q26,Q27-Q26,0)</f>
        <v>0</v>
      </c>
      <c r="R28" s="302" t="n">
        <f aca="false">+IF(R27&gt;R26,R27-R26,0)</f>
        <v>0</v>
      </c>
      <c r="S28" s="302" t="n">
        <f aca="false">+IF(S27&gt;S26,S27-S26,0)</f>
        <v>0</v>
      </c>
      <c r="T28" s="302" t="n">
        <f aca="false">+IF(T27&gt;T26,T27-T26,0)</f>
        <v>0</v>
      </c>
      <c r="U28" s="302" t="n">
        <f aca="false">+IF(U27&gt;U26,U27-U26,0)</f>
        <v>0</v>
      </c>
      <c r="V28" s="302" t="n">
        <f aca="false">+IF(V27&gt;V26,V27-V26,0)</f>
        <v>0</v>
      </c>
      <c r="W28" s="302" t="n">
        <f aca="false">+IF(W27&gt;W26,W27-W26,0)</f>
        <v>0</v>
      </c>
      <c r="X28" s="302" t="n">
        <f aca="false">+IF(X27&gt;X26,X27-X26,0)</f>
        <v>0</v>
      </c>
      <c r="Y28" s="302" t="n">
        <f aca="false">+IF(Y27&gt;Y26,Y27-Y26,0)</f>
        <v>0</v>
      </c>
      <c r="Z28" s="302" t="n">
        <f aca="false">+IF(Z27&gt;Z26,Z27-Z26,0)</f>
        <v>0</v>
      </c>
      <c r="AA28" s="302" t="n">
        <f aca="false">+IF(AA27&gt;AA26,AA27-AA26,0)</f>
        <v>0</v>
      </c>
      <c r="AB28" s="302" t="n">
        <f aca="false">+IF(AB27&gt;AB26,AB27-AB26,0)</f>
        <v>0</v>
      </c>
      <c r="AC28" s="302" t="n">
        <f aca="false">+IF(AC27&gt;AC26,AC27-AC26,0)</f>
        <v>0</v>
      </c>
      <c r="AD28" s="302" t="n">
        <f aca="false">+IF(AD27&gt;AD26,AD27-AD26,0)</f>
        <v>0</v>
      </c>
      <c r="AE28" s="302" t="n">
        <f aca="false">+IF(AE27&gt;AE26,AE27-AE26,0)</f>
        <v>0</v>
      </c>
      <c r="AF28" s="302" t="n">
        <f aca="false">+IF(AF27&gt;AF26,AF27-AF26,0)</f>
        <v>0</v>
      </c>
      <c r="AG28" s="302" t="n">
        <f aca="false">+IF(AG27&gt;AG26,AG27-AG26,0)</f>
        <v>0</v>
      </c>
    </row>
    <row r="29" customFormat="false" ht="12.75" hidden="false" customHeight="false" outlineLevel="0" collapsed="false">
      <c r="A29" s="310" t="s">
        <v>340</v>
      </c>
      <c r="B29" s="185" t="n">
        <f aca="false">+B25+B28</f>
        <v>-17211.9424647363</v>
      </c>
      <c r="C29" s="185" t="n">
        <f aca="false">+C25+C28</f>
        <v>-17211.9424647363</v>
      </c>
      <c r="D29" s="185" t="n">
        <f aca="false">+D25+D28</f>
        <v>-17211.9424647363</v>
      </c>
      <c r="E29" s="185" t="n">
        <f aca="false">+E25+E28</f>
        <v>-17211.9424647363</v>
      </c>
      <c r="F29" s="185" t="n">
        <f aca="false">+F25+F28</f>
        <v>-17211.9424647363</v>
      </c>
      <c r="G29" s="185" t="n">
        <f aca="false">+G25+G28</f>
        <v>-17211.9424647363</v>
      </c>
      <c r="H29" s="185" t="n">
        <f aca="false">+H25+H28</f>
        <v>-17211.9424647363</v>
      </c>
      <c r="I29" s="185" t="n">
        <f aca="false">+I25+I28</f>
        <v>-17211.9424647363</v>
      </c>
      <c r="J29" s="185" t="n">
        <f aca="false">+J25+J28</f>
        <v>-17211.9424647363</v>
      </c>
      <c r="K29" s="185" t="n">
        <f aca="false">+K25+K28</f>
        <v>-17211.9424647363</v>
      </c>
      <c r="L29" s="185" t="n">
        <f aca="false">+L25+L28</f>
        <v>-17211.9424647363</v>
      </c>
      <c r="M29" s="185" t="n">
        <f aca="false">+M25+M28</f>
        <v>-17211.9424647363</v>
      </c>
      <c r="N29" s="185" t="n">
        <f aca="false">+N25+N28</f>
        <v>-17211.9424647363</v>
      </c>
      <c r="O29" s="185" t="n">
        <f aca="false">+O25+O28</f>
        <v>-17211.9424647363</v>
      </c>
      <c r="P29" s="185" t="n">
        <f aca="false">+P25+P28</f>
        <v>-17211.9424647363</v>
      </c>
      <c r="Q29" s="185" t="n">
        <f aca="false">+Q25+Q28</f>
        <v>-17211.9424647363</v>
      </c>
      <c r="R29" s="185" t="n">
        <f aca="false">+R25+R28</f>
        <v>-17211.9424647363</v>
      </c>
      <c r="S29" s="185" t="n">
        <f aca="false">+S25+S28</f>
        <v>-17211.9424647363</v>
      </c>
      <c r="T29" s="185" t="n">
        <f aca="false">+T25+T28</f>
        <v>-17211.9424647363</v>
      </c>
      <c r="U29" s="185" t="n">
        <f aca="false">+U25+U28</f>
        <v>-17211.9424647363</v>
      </c>
      <c r="V29" s="185" t="n">
        <f aca="false">+V25+V28</f>
        <v>-17211.9424647363</v>
      </c>
      <c r="W29" s="185" t="n">
        <f aca="false">+W25+W28</f>
        <v>-17211.9424647363</v>
      </c>
      <c r="X29" s="185" t="n">
        <f aca="false">+X25+X28</f>
        <v>-17211.9424647363</v>
      </c>
      <c r="Y29" s="185" t="n">
        <f aca="false">+Y25+Y28</f>
        <v>-17211.9424647363</v>
      </c>
      <c r="Z29" s="185" t="n">
        <f aca="false">+Z25+Z28</f>
        <v>-17211.9424647363</v>
      </c>
      <c r="AA29" s="185" t="n">
        <f aca="false">+AA25+AA28</f>
        <v>-17211.9424647363</v>
      </c>
      <c r="AB29" s="185" t="n">
        <f aca="false">+AB25+AB28</f>
        <v>-17211.9424647363</v>
      </c>
      <c r="AC29" s="185" t="n">
        <f aca="false">+AC25+AC28</f>
        <v>-17211.9424647363</v>
      </c>
      <c r="AD29" s="185" t="n">
        <f aca="false">+AD25+AD28</f>
        <v>-17211.9424647363</v>
      </c>
      <c r="AE29" s="185" t="n">
        <f aca="false">+AE25+AE28</f>
        <v>-17211.9424647363</v>
      </c>
      <c r="AF29" s="185" t="n">
        <f aca="false">+AF25+AF28</f>
        <v>-17211.9424647363</v>
      </c>
      <c r="AG29" s="185" t="n">
        <f aca="false">+AG25+AG28</f>
        <v>-17211.9424647363</v>
      </c>
    </row>
    <row r="30" customFormat="false" ht="12.75" hidden="false" customHeight="false" outlineLevel="0" collapsed="false">
      <c r="A30" s="310"/>
    </row>
    <row r="31" customFormat="false" ht="12.75" hidden="false" customHeight="false" outlineLevel="0" collapsed="false">
      <c r="A31" s="310"/>
    </row>
    <row r="32" customFormat="false" ht="12.75" hidden="false" customHeight="false" outlineLevel="0" collapsed="false">
      <c r="A32" s="310"/>
    </row>
    <row r="33" customFormat="false" ht="12.75" hidden="false" customHeight="false" outlineLevel="0" collapsed="false">
      <c r="A33" s="316" t="s">
        <v>341</v>
      </c>
    </row>
    <row r="34" customFormat="false" ht="12.75" hidden="false" customHeight="false" outlineLevel="0" collapsed="false">
      <c r="A34" s="316"/>
    </row>
    <row r="35" customFormat="false" ht="12.75" hidden="false" customHeight="false" outlineLevel="0" collapsed="false">
      <c r="A35" s="314" t="s">
        <v>342</v>
      </c>
    </row>
    <row r="36" customFormat="false" ht="12.75" hidden="false" customHeight="false" outlineLevel="0" collapsed="false">
      <c r="A36" s="310" t="s">
        <v>343</v>
      </c>
      <c r="B36" s="185" t="n">
        <f aca="false">-Assumptions!C11*Assumptions!$G$48</f>
        <v>-17211.9424647363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  <c r="ER36" s="185"/>
      <c r="ES36" s="185"/>
      <c r="ET36" s="185"/>
      <c r="EU36" s="185"/>
      <c r="EV36" s="185"/>
      <c r="EW36" s="185"/>
      <c r="EX36" s="185"/>
      <c r="EY36" s="185"/>
      <c r="EZ36" s="185"/>
      <c r="FA36" s="185"/>
      <c r="FB36" s="185"/>
      <c r="FC36" s="185"/>
      <c r="FD36" s="185"/>
      <c r="FE36" s="185"/>
      <c r="FF36" s="185"/>
      <c r="FG36" s="185"/>
      <c r="FH36" s="185"/>
      <c r="FI36" s="185"/>
      <c r="FJ36" s="185"/>
      <c r="FK36" s="185"/>
      <c r="FL36" s="185"/>
      <c r="FM36" s="185"/>
      <c r="FN36" s="185"/>
      <c r="FO36" s="185"/>
      <c r="FP36" s="185"/>
      <c r="FQ36" s="185"/>
      <c r="FR36" s="185"/>
      <c r="FS36" s="185"/>
      <c r="FT36" s="185"/>
      <c r="FU36" s="185"/>
      <c r="FV36" s="185"/>
      <c r="FW36" s="185"/>
      <c r="FX36" s="185"/>
      <c r="FY36" s="185"/>
      <c r="FZ36" s="185"/>
      <c r="GA36" s="185"/>
      <c r="GB36" s="185"/>
      <c r="GC36" s="185"/>
      <c r="GD36" s="185"/>
      <c r="GE36" s="185"/>
      <c r="GF36" s="185"/>
      <c r="GG36" s="185"/>
      <c r="GH36" s="185"/>
      <c r="GI36" s="185"/>
      <c r="GJ36" s="185"/>
      <c r="GK36" s="185"/>
      <c r="GL36" s="185"/>
      <c r="GM36" s="185"/>
      <c r="GN36" s="185"/>
      <c r="GO36" s="185"/>
      <c r="GP36" s="185"/>
      <c r="GQ36" s="185"/>
      <c r="GR36" s="185"/>
      <c r="GS36" s="185"/>
      <c r="GT36" s="185"/>
      <c r="GU36" s="185"/>
      <c r="GV36" s="185"/>
      <c r="GW36" s="185"/>
      <c r="GX36" s="185"/>
      <c r="GY36" s="185"/>
      <c r="GZ36" s="185"/>
      <c r="HA36" s="185"/>
      <c r="HB36" s="185"/>
      <c r="HC36" s="185"/>
      <c r="HD36" s="185"/>
      <c r="HE36" s="185"/>
      <c r="HF36" s="185"/>
      <c r="HG36" s="185"/>
      <c r="HH36" s="185"/>
      <c r="HI36" s="185"/>
      <c r="HJ36" s="185"/>
      <c r="HK36" s="185"/>
      <c r="HL36" s="185"/>
      <c r="HM36" s="185"/>
      <c r="HN36" s="185"/>
      <c r="HO36" s="185"/>
      <c r="HP36" s="185"/>
      <c r="HQ36" s="185"/>
      <c r="HR36" s="185"/>
      <c r="HS36" s="185"/>
      <c r="HT36" s="185"/>
      <c r="HU36" s="185"/>
      <c r="HV36" s="185"/>
      <c r="HW36" s="185"/>
      <c r="HX36" s="185"/>
      <c r="HY36" s="185"/>
      <c r="HZ36" s="185"/>
      <c r="IA36" s="185"/>
      <c r="IB36" s="185"/>
      <c r="IC36" s="185"/>
      <c r="ID36" s="185"/>
      <c r="IE36" s="185"/>
      <c r="IF36" s="185"/>
      <c r="IG36" s="185"/>
      <c r="IH36" s="185"/>
      <c r="II36" s="185"/>
      <c r="IJ36" s="185"/>
      <c r="IK36" s="185"/>
      <c r="IL36" s="185"/>
      <c r="IM36" s="185"/>
      <c r="IN36" s="185"/>
      <c r="IO36" s="185"/>
      <c r="IP36" s="185"/>
      <c r="IQ36" s="185"/>
      <c r="IR36" s="185"/>
      <c r="IS36" s="185"/>
      <c r="IT36" s="185"/>
      <c r="IU36" s="185"/>
      <c r="IV36" s="185"/>
      <c r="IW36" s="185"/>
    </row>
    <row r="37" customFormat="false" ht="12.75" hidden="false" customHeight="false" outlineLevel="0" collapsed="false">
      <c r="A37" s="310" t="s">
        <v>338</v>
      </c>
      <c r="B37" s="318" t="n">
        <f aca="false">B21*Assumptions!$G$48</f>
        <v>0</v>
      </c>
      <c r="C37" s="318" t="n">
        <f aca="false">C21*Assumptions!$G$48</f>
        <v>240.707873119937</v>
      </c>
      <c r="D37" s="318" t="n">
        <f aca="false">D21*Assumptions!$G$48</f>
        <v>231.022325243612</v>
      </c>
      <c r="E37" s="318" t="n">
        <f aca="false">E21*Assumptions!$G$48</f>
        <v>183.799779691916</v>
      </c>
      <c r="F37" s="318" t="n">
        <f aca="false">F21*Assumptions!$G$48</f>
        <v>450.699923234836</v>
      </c>
      <c r="G37" s="318" t="n">
        <f aca="false">G21*Assumptions!$G$48</f>
        <v>450.788859596643</v>
      </c>
      <c r="H37" s="318" t="n">
        <f aca="false">H21*Assumptions!$G$48</f>
        <v>397.657417915877</v>
      </c>
      <c r="I37" s="318" t="n">
        <f aca="false">I21*Assumptions!$G$48</f>
        <v>397.373084336282</v>
      </c>
      <c r="J37" s="318" t="n">
        <f aca="false">J21*Assumptions!$G$48</f>
        <v>395.785285009167</v>
      </c>
      <c r="K37" s="318" t="n">
        <f aca="false">K21*Assumptions!$G$48</f>
        <v>422.663903116277</v>
      </c>
      <c r="L37" s="318" t="n">
        <f aca="false">L21*Assumptions!$G$48</f>
        <v>409.098408566658</v>
      </c>
      <c r="M37" s="318" t="n">
        <f aca="false">M21*Assumptions!$G$48</f>
        <v>435.292839904129</v>
      </c>
      <c r="N37" s="318" t="n">
        <f aca="false">N21*Assumptions!$G$48</f>
        <v>420.477117148919</v>
      </c>
      <c r="O37" s="318" t="n">
        <f aca="false">O21*Assumptions!$G$48</f>
        <v>449.751061895514</v>
      </c>
      <c r="P37" s="318" t="n">
        <f aca="false">P21*Assumptions!$G$48</f>
        <v>433.643755337386</v>
      </c>
      <c r="Q37" s="318" t="n">
        <f aca="false">Q21*Assumptions!$G$48</f>
        <v>430.933347143669</v>
      </c>
      <c r="R37" s="318" t="n">
        <f aca="false">R21*Assumptions!$G$48</f>
        <v>426.664811176194</v>
      </c>
      <c r="S37" s="318" t="n">
        <f aca="false">S21*Assumptions!$G$48</f>
        <v>424.710853255253</v>
      </c>
      <c r="T37" s="318" t="n">
        <f aca="false">T21*Assumptions!$G$48</f>
        <v>419.179196365136</v>
      </c>
      <c r="U37" s="318" t="n">
        <f aca="false">U21*Assumptions!$G$48</f>
        <v>-241.451376025087</v>
      </c>
      <c r="V37" s="318" t="n">
        <f aca="false">V21*Assumptions!$G$48</f>
        <v>-221.749136755076</v>
      </c>
      <c r="W37" s="318" t="n">
        <f aca="false">W21*Assumptions!$G$48</f>
        <v>-720.147361602127</v>
      </c>
      <c r="X37" s="318" t="n">
        <f aca="false">X21*Assumptions!$G$48</f>
        <v>-793.453404229921</v>
      </c>
      <c r="Y37" s="318" t="n">
        <f aca="false">Y21*Assumptions!$G$48</f>
        <v>-553.498431393402</v>
      </c>
      <c r="Z37" s="318" t="n">
        <f aca="false">Z21*Assumptions!$G$48</f>
        <v>-567.389834606149</v>
      </c>
      <c r="AA37" s="318" t="n">
        <f aca="false">AA21*Assumptions!$G$48</f>
        <v>-585.496583333643</v>
      </c>
      <c r="AB37" s="318" t="n">
        <f aca="false">AB21*Assumptions!$G$48</f>
        <v>-600.251441365674</v>
      </c>
      <c r="AC37" s="318" t="n">
        <f aca="false">AC21*Assumptions!$G$48</f>
        <v>-616.719901679874</v>
      </c>
      <c r="AD37" s="318" t="n">
        <f aca="false">AD21*Assumptions!$G$48</f>
        <v>-632.244086571556</v>
      </c>
      <c r="AE37" s="318" t="n">
        <f aca="false">AE21*Assumptions!$G$48</f>
        <v>-652.467468865712</v>
      </c>
      <c r="AF37" s="318" t="n">
        <f aca="false">AF21*Assumptions!$G$48</f>
        <v>-668.958431816525</v>
      </c>
      <c r="AG37" s="318" t="n">
        <f aca="false">AG21*Assumptions!$G$48</f>
        <v>-128.556428878361</v>
      </c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  <c r="ES37" s="185"/>
      <c r="ET37" s="185"/>
      <c r="EU37" s="185"/>
      <c r="EV37" s="185"/>
      <c r="EW37" s="185"/>
      <c r="EX37" s="185"/>
      <c r="EY37" s="185"/>
      <c r="EZ37" s="185"/>
      <c r="FA37" s="185"/>
      <c r="FB37" s="185"/>
      <c r="FC37" s="185"/>
      <c r="FD37" s="185"/>
      <c r="FE37" s="185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85"/>
      <c r="FQ37" s="185"/>
      <c r="FR37" s="185"/>
      <c r="FS37" s="185"/>
      <c r="FT37" s="185"/>
      <c r="FU37" s="185"/>
      <c r="FV37" s="185"/>
      <c r="FW37" s="185"/>
      <c r="FX37" s="185"/>
      <c r="FY37" s="185"/>
      <c r="FZ37" s="185"/>
      <c r="GA37" s="185"/>
      <c r="GB37" s="185"/>
      <c r="GC37" s="185"/>
      <c r="GD37" s="185"/>
      <c r="GE37" s="185"/>
      <c r="GF37" s="185"/>
      <c r="GG37" s="185"/>
      <c r="GH37" s="185"/>
      <c r="GI37" s="185"/>
      <c r="GJ37" s="185"/>
      <c r="GK37" s="185"/>
      <c r="GL37" s="185"/>
      <c r="GM37" s="185"/>
      <c r="GN37" s="185"/>
      <c r="GO37" s="185"/>
      <c r="GP37" s="185"/>
      <c r="GQ37" s="185"/>
      <c r="GR37" s="185"/>
      <c r="GS37" s="185"/>
      <c r="GT37" s="185"/>
      <c r="GU37" s="185"/>
      <c r="GV37" s="185"/>
      <c r="GW37" s="185"/>
      <c r="GX37" s="185"/>
      <c r="GY37" s="185"/>
      <c r="GZ37" s="185"/>
      <c r="HA37" s="185"/>
      <c r="HB37" s="185"/>
      <c r="HC37" s="185"/>
      <c r="HD37" s="185"/>
      <c r="HE37" s="185"/>
      <c r="HF37" s="185"/>
      <c r="HG37" s="185"/>
      <c r="HH37" s="185"/>
      <c r="HI37" s="185"/>
      <c r="HJ37" s="185"/>
      <c r="HK37" s="185"/>
      <c r="HL37" s="185"/>
      <c r="HM37" s="185"/>
      <c r="HN37" s="185"/>
      <c r="HO37" s="185"/>
      <c r="HP37" s="185"/>
      <c r="HQ37" s="185"/>
      <c r="HR37" s="185"/>
      <c r="HS37" s="185"/>
      <c r="HT37" s="185"/>
      <c r="HU37" s="185"/>
      <c r="HV37" s="185"/>
      <c r="HW37" s="185"/>
      <c r="HX37" s="185"/>
      <c r="HY37" s="185"/>
      <c r="HZ37" s="185"/>
      <c r="IA37" s="185"/>
      <c r="IB37" s="185"/>
      <c r="IC37" s="185"/>
      <c r="ID37" s="185"/>
      <c r="IE37" s="185"/>
      <c r="IF37" s="185"/>
      <c r="IG37" s="185"/>
      <c r="IH37" s="185"/>
      <c r="II37" s="185"/>
      <c r="IJ37" s="185"/>
      <c r="IK37" s="185"/>
      <c r="IL37" s="185"/>
      <c r="IM37" s="185"/>
      <c r="IN37" s="185"/>
      <c r="IO37" s="185"/>
      <c r="IP37" s="185"/>
      <c r="IQ37" s="185"/>
      <c r="IR37" s="185"/>
      <c r="IS37" s="185"/>
      <c r="IT37" s="185"/>
      <c r="IU37" s="185"/>
      <c r="IV37" s="185"/>
      <c r="IW37" s="185"/>
    </row>
    <row r="38" customFormat="false" ht="12.75" hidden="false" customHeight="false" outlineLevel="0" collapsed="false">
      <c r="A38" s="310" t="s">
        <v>344</v>
      </c>
      <c r="B38" s="185" t="n">
        <f aca="false">SUM(B36:B37)</f>
        <v>-17211.9424647363</v>
      </c>
      <c r="C38" s="185" t="n">
        <f aca="false">SUM(C36:C37)</f>
        <v>240.707873119937</v>
      </c>
      <c r="D38" s="185" t="n">
        <f aca="false">SUM(D36:D37)</f>
        <v>231.022325243612</v>
      </c>
      <c r="E38" s="185" t="n">
        <f aca="false">SUM(E36:E37)</f>
        <v>183.799779691916</v>
      </c>
      <c r="F38" s="185" t="n">
        <f aca="false">SUM(F36:F37)</f>
        <v>450.699923234836</v>
      </c>
      <c r="G38" s="185" t="n">
        <f aca="false">SUM(G36:G37)</f>
        <v>450.788859596643</v>
      </c>
      <c r="H38" s="185" t="n">
        <f aca="false">SUM(H36:H37)</f>
        <v>397.657417915877</v>
      </c>
      <c r="I38" s="185" t="n">
        <f aca="false">SUM(I36:I37)</f>
        <v>397.373084336282</v>
      </c>
      <c r="J38" s="185" t="n">
        <f aca="false">SUM(J36:J37)</f>
        <v>395.785285009167</v>
      </c>
      <c r="K38" s="185" t="n">
        <f aca="false">SUM(K36:K37)</f>
        <v>422.663903116277</v>
      </c>
      <c r="L38" s="185" t="n">
        <f aca="false">SUM(L36:L37)</f>
        <v>409.098408566658</v>
      </c>
      <c r="M38" s="185" t="n">
        <f aca="false">SUM(M36:M37)</f>
        <v>435.292839904129</v>
      </c>
      <c r="N38" s="185" t="n">
        <f aca="false">SUM(N36:N37)</f>
        <v>420.477117148919</v>
      </c>
      <c r="O38" s="185" t="n">
        <f aca="false">SUM(O36:O37)</f>
        <v>449.751061895514</v>
      </c>
      <c r="P38" s="185" t="n">
        <f aca="false">SUM(P36:P37)</f>
        <v>433.643755337386</v>
      </c>
      <c r="Q38" s="185" t="n">
        <f aca="false">SUM(Q36:Q37)</f>
        <v>430.933347143669</v>
      </c>
      <c r="R38" s="185" t="n">
        <f aca="false">SUM(R36:R37)</f>
        <v>426.664811176194</v>
      </c>
      <c r="S38" s="185" t="n">
        <f aca="false">SUM(S36:S37)</f>
        <v>424.710853255253</v>
      </c>
      <c r="T38" s="185" t="n">
        <f aca="false">SUM(T36:T37)</f>
        <v>419.179196365136</v>
      </c>
      <c r="U38" s="185" t="n">
        <f aca="false">SUM(U36:U37)</f>
        <v>-241.451376025087</v>
      </c>
      <c r="V38" s="185" t="n">
        <f aca="false">SUM(V36:V37)</f>
        <v>-221.749136755076</v>
      </c>
      <c r="W38" s="185" t="n">
        <f aca="false">SUM(W36:W37)</f>
        <v>-720.147361602127</v>
      </c>
      <c r="X38" s="185" t="n">
        <f aca="false">SUM(X36:X37)</f>
        <v>-793.453404229921</v>
      </c>
      <c r="Y38" s="185" t="n">
        <f aca="false">SUM(Y36:Y37)</f>
        <v>-553.498431393402</v>
      </c>
      <c r="Z38" s="185" t="n">
        <f aca="false">SUM(Z36:Z37)</f>
        <v>-567.389834606149</v>
      </c>
      <c r="AA38" s="185" t="n">
        <f aca="false">SUM(AA36:AA37)</f>
        <v>-585.496583333643</v>
      </c>
      <c r="AB38" s="185" t="n">
        <f aca="false">SUM(AB36:AB37)</f>
        <v>-600.251441365674</v>
      </c>
      <c r="AC38" s="185" t="n">
        <f aca="false">SUM(AC36:AC37)</f>
        <v>-616.719901679874</v>
      </c>
      <c r="AD38" s="185" t="n">
        <f aca="false">SUM(AD36:AD37)</f>
        <v>-632.244086571556</v>
      </c>
      <c r="AE38" s="185" t="n">
        <f aca="false">SUM(AE36:AE37)</f>
        <v>-652.467468865712</v>
      </c>
      <c r="AF38" s="185" t="n">
        <f aca="false">SUM(AF36:AF37)</f>
        <v>-668.958431816525</v>
      </c>
      <c r="AG38" s="185" t="n">
        <f aca="false">SUM(AG36:AG37)</f>
        <v>-128.556428878361</v>
      </c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  <c r="GI38" s="185"/>
      <c r="GJ38" s="185"/>
      <c r="GK38" s="185"/>
      <c r="GL38" s="185"/>
      <c r="GM38" s="185"/>
      <c r="GN38" s="185"/>
      <c r="GO38" s="185"/>
      <c r="GP38" s="185"/>
      <c r="GQ38" s="185"/>
      <c r="GR38" s="185"/>
      <c r="GS38" s="185"/>
      <c r="GT38" s="185"/>
      <c r="GU38" s="185"/>
      <c r="GV38" s="185"/>
      <c r="GW38" s="185"/>
      <c r="GX38" s="185"/>
      <c r="GY38" s="185"/>
      <c r="GZ38" s="185"/>
      <c r="HA38" s="185"/>
      <c r="HB38" s="185"/>
      <c r="HC38" s="185"/>
      <c r="HD38" s="185"/>
      <c r="HE38" s="185"/>
      <c r="HF38" s="185"/>
      <c r="HG38" s="185"/>
      <c r="HH38" s="185"/>
      <c r="HI38" s="185"/>
      <c r="HJ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  <c r="HX38" s="185"/>
      <c r="HY38" s="185"/>
      <c r="HZ38" s="185"/>
      <c r="IA38" s="185"/>
      <c r="IB38" s="185"/>
      <c r="IC38" s="185"/>
      <c r="ID38" s="185"/>
      <c r="IE38" s="185"/>
      <c r="IF38" s="185"/>
      <c r="IG38" s="185"/>
      <c r="IH38" s="185"/>
      <c r="II38" s="185"/>
      <c r="IJ38" s="185"/>
      <c r="IK38" s="185"/>
      <c r="IL38" s="185"/>
      <c r="IM38" s="185"/>
      <c r="IN38" s="185"/>
      <c r="IO38" s="185"/>
      <c r="IP38" s="185"/>
      <c r="IQ38" s="185"/>
      <c r="IR38" s="185"/>
      <c r="IS38" s="185"/>
      <c r="IT38" s="185"/>
      <c r="IU38" s="185"/>
      <c r="IV38" s="185"/>
      <c r="IW38" s="185"/>
    </row>
    <row r="39" customFormat="false" ht="12.75" hidden="false" customHeight="false" outlineLevel="0" collapsed="false">
      <c r="B39" s="314" t="s">
        <v>345</v>
      </c>
      <c r="C39" s="319" t="n">
        <f aca="false">XIRR(B38:W38,B8:W8)</f>
        <v>-0.167525739571742</v>
      </c>
    </row>
    <row r="40" customFormat="false" ht="12.75" hidden="false" customHeight="false" outlineLevel="0" collapsed="false">
      <c r="A40" s="310"/>
      <c r="B40" s="320"/>
    </row>
    <row r="41" customFormat="false" ht="12.75" hidden="false" customHeight="false" outlineLevel="0" collapsed="false">
      <c r="A41" s="191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1" t="s">
        <v>343</v>
      </c>
      <c r="B42" s="185" t="n">
        <f aca="false">-Assumptions!C11*Assumptions!$G$48</f>
        <v>-17211.9424647363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</row>
    <row r="43" customFormat="false" ht="12.75" hidden="false" customHeight="false" outlineLevel="0" collapsed="false">
      <c r="A43" s="321" t="s">
        <v>338</v>
      </c>
      <c r="B43" s="322" t="n">
        <f aca="false">B21*Assumptions!$G$48</f>
        <v>0</v>
      </c>
      <c r="C43" s="322" t="n">
        <f aca="false">C21*Assumptions!$G$48</f>
        <v>240.707873119937</v>
      </c>
      <c r="D43" s="322" t="n">
        <f aca="false">D21*Assumptions!$G$48</f>
        <v>231.022325243612</v>
      </c>
      <c r="E43" s="322" t="n">
        <f aca="false">E21*Assumptions!$G$48</f>
        <v>183.799779691916</v>
      </c>
      <c r="F43" s="322" t="n">
        <f aca="false">F21*Assumptions!$G$48</f>
        <v>450.699923234836</v>
      </c>
      <c r="G43" s="322" t="n">
        <f aca="false">G21*Assumptions!$G$48</f>
        <v>450.788859596643</v>
      </c>
      <c r="H43" s="322" t="n">
        <f aca="false">H21*Assumptions!$G$48</f>
        <v>397.657417915877</v>
      </c>
      <c r="I43" s="322" t="n">
        <f aca="false">I21*Assumptions!$G$48</f>
        <v>397.373084336282</v>
      </c>
      <c r="J43" s="322" t="n">
        <f aca="false">J21*Assumptions!$G$48</f>
        <v>395.785285009167</v>
      </c>
      <c r="K43" s="322" t="n">
        <f aca="false">K21*Assumptions!$G$48</f>
        <v>422.663903116277</v>
      </c>
      <c r="L43" s="322" t="n">
        <f aca="false">L21*Assumptions!$G$48</f>
        <v>409.098408566658</v>
      </c>
      <c r="M43" s="322" t="n">
        <f aca="false">M21*Assumptions!$G$48</f>
        <v>435.292839904129</v>
      </c>
      <c r="N43" s="322" t="n">
        <f aca="false">N21*Assumptions!$G$48</f>
        <v>420.477117148919</v>
      </c>
      <c r="O43" s="322" t="n">
        <f aca="false">O21*Assumptions!$G$48</f>
        <v>449.751061895514</v>
      </c>
      <c r="P43" s="322" t="n">
        <f aca="false">P21*Assumptions!$G$48</f>
        <v>433.643755337386</v>
      </c>
      <c r="Q43" s="322" t="n">
        <f aca="false">Q21*Assumptions!$G$48</f>
        <v>430.933347143669</v>
      </c>
      <c r="R43" s="322" t="n">
        <f aca="false">R21*Assumptions!$G$48</f>
        <v>426.664811176194</v>
      </c>
      <c r="S43" s="322" t="n">
        <f aca="false">S21*Assumptions!$G$48</f>
        <v>424.710853255253</v>
      </c>
      <c r="T43" s="322" t="n">
        <f aca="false">T21*Assumptions!$G$48</f>
        <v>419.179196365136</v>
      </c>
      <c r="U43" s="322" t="n">
        <f aca="false">U21*Assumptions!$G$48</f>
        <v>-241.451376025087</v>
      </c>
      <c r="V43" s="322" t="n">
        <f aca="false">V21*Assumptions!$G$48</f>
        <v>-221.749136755076</v>
      </c>
      <c r="W43" s="322" t="n">
        <f aca="false">W21*Assumptions!$G$48</f>
        <v>-720.147361602127</v>
      </c>
      <c r="X43" s="322" t="n">
        <f aca="false">X21*Assumptions!$G$48</f>
        <v>-793.453404229921</v>
      </c>
      <c r="Y43" s="322" t="n">
        <f aca="false">Y21*Assumptions!$G$48</f>
        <v>-553.498431393402</v>
      </c>
      <c r="Z43" s="322" t="n">
        <f aca="false">Z21*Assumptions!$G$48</f>
        <v>-567.389834606149</v>
      </c>
      <c r="AA43" s="322" t="n">
        <f aca="false">AA21*Assumptions!$G$48</f>
        <v>-585.496583333643</v>
      </c>
      <c r="AB43" s="322" t="n">
        <f aca="false">AB21*Assumptions!$G$48</f>
        <v>-600.251441365674</v>
      </c>
      <c r="AC43" s="322" t="n">
        <f aca="false">AC21*Assumptions!$G$48</f>
        <v>-616.719901679874</v>
      </c>
      <c r="AD43" s="322" t="n">
        <f aca="false">AD21*Assumptions!$G$48</f>
        <v>-632.244086571556</v>
      </c>
      <c r="AE43" s="322" t="n">
        <f aca="false">AE21*Assumptions!$G$48</f>
        <v>-652.467468865712</v>
      </c>
      <c r="AF43" s="322" t="n">
        <f aca="false">AF21*Assumptions!$G$48</f>
        <v>-668.958431816525</v>
      </c>
      <c r="AG43" s="322" t="n">
        <f aca="false">AG21*Assumptions!$G$48</f>
        <v>-128.556428878361</v>
      </c>
    </row>
    <row r="44" customFormat="false" ht="12.75" hidden="false" customHeight="false" outlineLevel="0" collapsed="false">
      <c r="A44" s="321" t="s">
        <v>91</v>
      </c>
      <c r="B44" s="302" t="n">
        <v>0</v>
      </c>
      <c r="C44" s="302" t="n">
        <v>0</v>
      </c>
      <c r="D44" s="302" t="n">
        <v>0</v>
      </c>
      <c r="E44" s="302" t="n">
        <v>0</v>
      </c>
      <c r="F44" s="302" t="n">
        <v>0</v>
      </c>
      <c r="G44" s="302" t="n">
        <v>0</v>
      </c>
      <c r="H44" s="302" t="n">
        <v>0</v>
      </c>
      <c r="I44" s="302" t="n">
        <v>0</v>
      </c>
      <c r="J44" s="302" t="n">
        <v>0</v>
      </c>
      <c r="K44" s="302" t="n">
        <v>0</v>
      </c>
      <c r="L44" s="302" t="n">
        <v>0</v>
      </c>
      <c r="M44" s="302" t="n">
        <v>0</v>
      </c>
      <c r="N44" s="302" t="n">
        <v>0</v>
      </c>
      <c r="O44" s="302" t="n">
        <v>0</v>
      </c>
      <c r="P44" s="302" t="n">
        <v>0</v>
      </c>
      <c r="Q44" s="302" t="n">
        <v>0</v>
      </c>
      <c r="R44" s="302" t="n">
        <v>0</v>
      </c>
      <c r="S44" s="302" t="n">
        <v>0</v>
      </c>
      <c r="T44" s="302" t="n">
        <v>0</v>
      </c>
      <c r="U44" s="302" t="n">
        <v>0</v>
      </c>
      <c r="V44" s="302" t="n">
        <v>0</v>
      </c>
      <c r="W44" s="302" t="n">
        <f aca="false">AG44</f>
        <v>-14178.9867975976</v>
      </c>
      <c r="X44" s="302" t="n">
        <v>0</v>
      </c>
      <c r="Y44" s="302" t="n">
        <v>0</v>
      </c>
      <c r="Z44" s="302" t="n">
        <v>0</v>
      </c>
      <c r="AA44" s="302" t="n">
        <v>0</v>
      </c>
      <c r="AB44" s="302" t="n">
        <v>0</v>
      </c>
      <c r="AC44" s="302" t="n">
        <v>0</v>
      </c>
      <c r="AD44" s="302" t="n">
        <v>0</v>
      </c>
      <c r="AE44" s="302" t="n">
        <v>0</v>
      </c>
      <c r="AF44" s="302" t="n">
        <v>0</v>
      </c>
      <c r="AG44" s="302" t="n">
        <f aca="false">Assumptions!H23*IS!AF32*Assumptions!G48</f>
        <v>-14178.9867975976</v>
      </c>
    </row>
    <row r="45" customFormat="false" ht="12.75" hidden="false" customHeight="false" outlineLevel="0" collapsed="false">
      <c r="A45" s="321" t="s">
        <v>344</v>
      </c>
      <c r="B45" s="185" t="n">
        <f aca="false">SUM(B42:B44)</f>
        <v>-17211.9424647363</v>
      </c>
      <c r="C45" s="185" t="n">
        <f aca="false">SUM(C42:C44)</f>
        <v>240.707873119937</v>
      </c>
      <c r="D45" s="185" t="n">
        <f aca="false">SUM(D42:D44)</f>
        <v>231.022325243612</v>
      </c>
      <c r="E45" s="185" t="n">
        <f aca="false">SUM(E42:E44)</f>
        <v>183.799779691916</v>
      </c>
      <c r="F45" s="185" t="n">
        <f aca="false">SUM(F42:F44)</f>
        <v>450.699923234836</v>
      </c>
      <c r="G45" s="185" t="n">
        <f aca="false">SUM(G42:G44)</f>
        <v>450.788859596643</v>
      </c>
      <c r="H45" s="185" t="n">
        <f aca="false">SUM(H42:H44)</f>
        <v>397.657417915877</v>
      </c>
      <c r="I45" s="185" t="n">
        <f aca="false">SUM(I42:I44)</f>
        <v>397.373084336282</v>
      </c>
      <c r="J45" s="185" t="n">
        <f aca="false">SUM(J42:J44)</f>
        <v>395.785285009167</v>
      </c>
      <c r="K45" s="185" t="n">
        <f aca="false">SUM(K42:K44)</f>
        <v>422.663903116277</v>
      </c>
      <c r="L45" s="185" t="n">
        <f aca="false">SUM(L42:L44)</f>
        <v>409.098408566658</v>
      </c>
      <c r="M45" s="185" t="n">
        <f aca="false">SUM(M42:M44)</f>
        <v>435.292839904129</v>
      </c>
      <c r="N45" s="185" t="n">
        <f aca="false">SUM(N42:N44)</f>
        <v>420.477117148919</v>
      </c>
      <c r="O45" s="185" t="n">
        <f aca="false">SUM(O42:O44)</f>
        <v>449.751061895514</v>
      </c>
      <c r="P45" s="185" t="n">
        <f aca="false">SUM(P42:P44)</f>
        <v>433.643755337386</v>
      </c>
      <c r="Q45" s="185" t="n">
        <f aca="false">SUM(Q42:Q44)</f>
        <v>430.933347143669</v>
      </c>
      <c r="R45" s="185" t="n">
        <f aca="false">SUM(R42:R44)</f>
        <v>426.664811176194</v>
      </c>
      <c r="S45" s="185" t="n">
        <f aca="false">SUM(S42:S44)</f>
        <v>424.710853255253</v>
      </c>
      <c r="T45" s="185" t="n">
        <f aca="false">SUM(T42:T44)</f>
        <v>419.179196365136</v>
      </c>
      <c r="U45" s="185" t="n">
        <f aca="false">SUM(U42:U44)</f>
        <v>-241.451376025087</v>
      </c>
      <c r="V45" s="185" t="n">
        <f aca="false">SUM(V42:V44)</f>
        <v>-221.749136755076</v>
      </c>
      <c r="W45" s="185" t="n">
        <f aca="false">SUM(W42:W44)</f>
        <v>-14899.1341591997</v>
      </c>
      <c r="X45" s="185" t="n">
        <f aca="false">SUM(X42:X44)</f>
        <v>-793.453404229921</v>
      </c>
      <c r="Y45" s="185" t="n">
        <f aca="false">SUM(Y42:Y44)</f>
        <v>-553.498431393402</v>
      </c>
      <c r="Z45" s="185" t="n">
        <f aca="false">SUM(Z42:Z44)</f>
        <v>-567.389834606149</v>
      </c>
      <c r="AA45" s="185" t="n">
        <f aca="false">SUM(AA42:AA44)</f>
        <v>-585.496583333643</v>
      </c>
      <c r="AB45" s="185" t="n">
        <f aca="false">SUM(AB42:AB44)</f>
        <v>-600.251441365674</v>
      </c>
      <c r="AC45" s="185" t="n">
        <f aca="false">SUM(AC42:AC44)</f>
        <v>-616.719901679874</v>
      </c>
      <c r="AD45" s="185" t="n">
        <f aca="false">SUM(AD42:AD44)</f>
        <v>-632.244086571556</v>
      </c>
      <c r="AE45" s="185" t="n">
        <f aca="false">SUM(AE42:AE44)</f>
        <v>-652.467468865712</v>
      </c>
      <c r="AF45" s="185" t="n">
        <f aca="false">SUM(AF42:AF44)</f>
        <v>-668.958431816525</v>
      </c>
      <c r="AG45" s="185" t="n">
        <f aca="false">SUM(AG42:AG44)</f>
        <v>-14307.5432264759</v>
      </c>
    </row>
    <row r="46" customFormat="false" ht="12.75" hidden="false" customHeight="false" outlineLevel="0" collapsed="false">
      <c r="A46" s="31"/>
      <c r="B46" s="314" t="s">
        <v>345</v>
      </c>
      <c r="C46" s="319" t="e">
        <f aca="false">XIRR(B45:W45,B8:W8)</f>
        <v>#VALUE!</v>
      </c>
    </row>
    <row r="47" customFormat="false" ht="12.75" hidden="false" customHeight="false" outlineLevel="0" collapsed="false">
      <c r="A47" s="321"/>
      <c r="B47" s="320"/>
    </row>
    <row r="48" customFormat="false" ht="12.75" hidden="false" customHeight="false" outlineLevel="0" collapsed="false">
      <c r="A48" s="191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1" t="s">
        <v>343</v>
      </c>
      <c r="B49" s="185" t="n">
        <f aca="false">-Assumptions!C11*Assumptions!G48</f>
        <v>-17211.9424647363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5"/>
      <c r="EP49" s="185"/>
      <c r="EQ49" s="185"/>
      <c r="ER49" s="185"/>
      <c r="ES49" s="185"/>
      <c r="ET49" s="185"/>
      <c r="EU49" s="185"/>
      <c r="EV49" s="185"/>
      <c r="EW49" s="185"/>
      <c r="EX49" s="185"/>
      <c r="EY49" s="185"/>
      <c r="EZ49" s="185"/>
      <c r="FA49" s="185"/>
      <c r="FB49" s="185"/>
      <c r="FC49" s="185"/>
      <c r="FD49" s="185"/>
      <c r="FE49" s="185"/>
      <c r="FF49" s="185"/>
      <c r="FG49" s="185"/>
      <c r="FH49" s="185"/>
      <c r="FI49" s="185"/>
      <c r="FJ49" s="185"/>
      <c r="FK49" s="185"/>
      <c r="FL49" s="185"/>
      <c r="FM49" s="185"/>
      <c r="FN49" s="185"/>
      <c r="FO49" s="185"/>
      <c r="FP49" s="185"/>
      <c r="FQ49" s="185"/>
      <c r="FR49" s="185"/>
      <c r="FS49" s="185"/>
      <c r="FT49" s="185"/>
      <c r="FU49" s="185"/>
      <c r="FV49" s="185"/>
      <c r="FW49" s="185"/>
      <c r="FX49" s="185"/>
      <c r="FY49" s="185"/>
      <c r="FZ49" s="185"/>
      <c r="GA49" s="185"/>
      <c r="GB49" s="185"/>
      <c r="GC49" s="185"/>
      <c r="GD49" s="185"/>
      <c r="GE49" s="185"/>
      <c r="GF49" s="185"/>
      <c r="GG49" s="185"/>
      <c r="GH49" s="185"/>
      <c r="GI49" s="185"/>
      <c r="GJ49" s="185"/>
      <c r="GK49" s="185"/>
      <c r="GL49" s="185"/>
      <c r="GM49" s="185"/>
      <c r="GN49" s="185"/>
      <c r="GO49" s="185"/>
      <c r="GP49" s="185"/>
      <c r="GQ49" s="185"/>
      <c r="GR49" s="185"/>
      <c r="GS49" s="185"/>
      <c r="GT49" s="185"/>
      <c r="GU49" s="185"/>
      <c r="GV49" s="185"/>
      <c r="GW49" s="185"/>
      <c r="GX49" s="185"/>
      <c r="GY49" s="185"/>
      <c r="GZ49" s="185"/>
      <c r="HA49" s="185"/>
      <c r="HB49" s="185"/>
      <c r="HC49" s="185"/>
      <c r="HD49" s="185"/>
      <c r="HE49" s="185"/>
      <c r="HF49" s="185"/>
      <c r="HG49" s="185"/>
      <c r="HH49" s="185"/>
      <c r="HI49" s="185"/>
      <c r="HJ49" s="185"/>
      <c r="HK49" s="185"/>
      <c r="HL49" s="185"/>
      <c r="HM49" s="185"/>
      <c r="HN49" s="185"/>
      <c r="HO49" s="185"/>
      <c r="HP49" s="185"/>
      <c r="HQ49" s="185"/>
      <c r="HR49" s="185"/>
      <c r="HS49" s="185"/>
      <c r="HT49" s="185"/>
      <c r="HU49" s="185"/>
      <c r="HV49" s="185"/>
      <c r="HW49" s="185"/>
      <c r="HX49" s="185"/>
      <c r="HY49" s="185"/>
      <c r="HZ49" s="185"/>
      <c r="IA49" s="185"/>
      <c r="IB49" s="185"/>
      <c r="IC49" s="185"/>
      <c r="ID49" s="185"/>
      <c r="IE49" s="185"/>
      <c r="IF49" s="185"/>
      <c r="IG49" s="185"/>
      <c r="IH49" s="185"/>
      <c r="II49" s="185"/>
      <c r="IJ49" s="185"/>
      <c r="IK49" s="185"/>
      <c r="IL49" s="185"/>
      <c r="IM49" s="185"/>
      <c r="IN49" s="185"/>
      <c r="IO49" s="185"/>
      <c r="IP49" s="185"/>
      <c r="IQ49" s="185"/>
      <c r="IR49" s="185"/>
      <c r="IS49" s="185"/>
      <c r="IT49" s="185"/>
      <c r="IU49" s="185"/>
      <c r="IV49" s="185"/>
      <c r="IW49" s="185"/>
    </row>
    <row r="50" customFormat="false" ht="12.75" hidden="false" customHeight="false" outlineLevel="0" collapsed="false">
      <c r="A50" s="321" t="s">
        <v>338</v>
      </c>
      <c r="B50" s="185" t="n">
        <f aca="false">+B21*Assumptions!$G$48</f>
        <v>0</v>
      </c>
      <c r="C50" s="185" t="n">
        <f aca="false">+C21*Assumptions!$G$48</f>
        <v>240.707873119937</v>
      </c>
      <c r="D50" s="185" t="n">
        <f aca="false">+D21*Assumptions!$G$48</f>
        <v>231.022325243612</v>
      </c>
      <c r="E50" s="185" t="n">
        <f aca="false">+E21*Assumptions!$G$48</f>
        <v>183.799779691916</v>
      </c>
      <c r="F50" s="185" t="n">
        <f aca="false">+F21*Assumptions!$G$48</f>
        <v>450.699923234836</v>
      </c>
      <c r="G50" s="185" t="n">
        <f aca="false">+G21*Assumptions!$G$48</f>
        <v>450.788859596643</v>
      </c>
      <c r="H50" s="185" t="n">
        <f aca="false">+H21*Assumptions!$G$48</f>
        <v>397.657417915877</v>
      </c>
      <c r="I50" s="185" t="n">
        <f aca="false">+I21*Assumptions!$G$48</f>
        <v>397.373084336282</v>
      </c>
      <c r="J50" s="185" t="n">
        <f aca="false">+J21*Assumptions!$G$48</f>
        <v>395.785285009167</v>
      </c>
      <c r="K50" s="185" t="n">
        <f aca="false">+K21*Assumptions!$G$48</f>
        <v>422.663903116277</v>
      </c>
      <c r="L50" s="185" t="n">
        <f aca="false">+L21*Assumptions!$G$48</f>
        <v>409.098408566658</v>
      </c>
      <c r="M50" s="185" t="n">
        <f aca="false">+M21*Assumptions!$G$48</f>
        <v>435.292839904129</v>
      </c>
      <c r="N50" s="185" t="n">
        <f aca="false">+N21*Assumptions!$G$48</f>
        <v>420.477117148919</v>
      </c>
      <c r="O50" s="185" t="n">
        <f aca="false">+O21*Assumptions!$G$48</f>
        <v>449.751061895514</v>
      </c>
      <c r="P50" s="185" t="n">
        <f aca="false">+P21*Assumptions!$G$48</f>
        <v>433.643755337386</v>
      </c>
      <c r="Q50" s="185" t="n">
        <f aca="false">+Q21*Assumptions!$G$48</f>
        <v>430.933347143669</v>
      </c>
      <c r="R50" s="185" t="n">
        <f aca="false">+R21*Assumptions!$G$48</f>
        <v>426.664811176194</v>
      </c>
      <c r="S50" s="185" t="n">
        <f aca="false">+S21*Assumptions!$G$48</f>
        <v>424.710853255253</v>
      </c>
      <c r="T50" s="185" t="n">
        <f aca="false">+T21*Assumptions!$G$48</f>
        <v>419.179196365136</v>
      </c>
      <c r="U50" s="185" t="n">
        <f aca="false">+U21*Assumptions!$G$48</f>
        <v>-241.451376025087</v>
      </c>
      <c r="V50" s="185" t="n">
        <f aca="false">+V21*Assumptions!$G$48</f>
        <v>-221.749136755076</v>
      </c>
      <c r="W50" s="185" t="n">
        <f aca="false">+W21*Assumptions!$G$48</f>
        <v>-720.147361602127</v>
      </c>
      <c r="X50" s="185" t="n">
        <f aca="false">+X21*Assumptions!$G$48</f>
        <v>-793.453404229921</v>
      </c>
      <c r="Y50" s="185" t="n">
        <f aca="false">+Y21*Assumptions!$G$48</f>
        <v>-553.498431393402</v>
      </c>
      <c r="Z50" s="185" t="n">
        <f aca="false">+Z21*Assumptions!$G$48</f>
        <v>-567.389834606149</v>
      </c>
      <c r="AA50" s="185" t="n">
        <f aca="false">+AA21*Assumptions!$G$48</f>
        <v>-585.496583333643</v>
      </c>
      <c r="AB50" s="185" t="n">
        <f aca="false">+AB21*Assumptions!$G$48</f>
        <v>-600.251441365674</v>
      </c>
      <c r="AC50" s="185" t="n">
        <f aca="false">+AC21*Assumptions!$G$48</f>
        <v>-616.719901679874</v>
      </c>
      <c r="AD50" s="185" t="n">
        <f aca="false">+AD21*Assumptions!$G$48</f>
        <v>-632.244086571556</v>
      </c>
      <c r="AE50" s="185" t="n">
        <f aca="false">+AE21*Assumptions!$G$48</f>
        <v>-652.467468865712</v>
      </c>
      <c r="AF50" s="185" t="n">
        <f aca="false">+AF21*Assumptions!$G$48</f>
        <v>-668.958431816525</v>
      </c>
      <c r="AG50" s="185" t="n">
        <f aca="false">+AG21*Assumptions!$G$48</f>
        <v>-128.556428878361</v>
      </c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85"/>
      <c r="FQ50" s="185"/>
      <c r="FR50" s="185"/>
      <c r="FS50" s="185"/>
      <c r="FT50" s="185"/>
      <c r="FU50" s="185"/>
      <c r="FV50" s="185"/>
      <c r="FW50" s="185"/>
      <c r="FX50" s="185"/>
      <c r="FY50" s="185"/>
      <c r="FZ50" s="185"/>
      <c r="GA50" s="185"/>
      <c r="GB50" s="185"/>
      <c r="GC50" s="185"/>
      <c r="GD50" s="185"/>
      <c r="GE50" s="185"/>
      <c r="GF50" s="185"/>
      <c r="GG50" s="185"/>
      <c r="GH50" s="185"/>
      <c r="GI50" s="185"/>
      <c r="GJ50" s="185"/>
      <c r="GK50" s="185"/>
      <c r="GL50" s="185"/>
      <c r="GM50" s="185"/>
      <c r="GN50" s="185"/>
      <c r="GO50" s="185"/>
      <c r="GP50" s="185"/>
      <c r="GQ50" s="185"/>
      <c r="GR50" s="185"/>
      <c r="GS50" s="185"/>
      <c r="GT50" s="185"/>
      <c r="GU50" s="185"/>
      <c r="GV50" s="185"/>
      <c r="GW50" s="185"/>
      <c r="GX50" s="185"/>
      <c r="GY50" s="185"/>
      <c r="GZ50" s="185"/>
      <c r="HA50" s="185"/>
      <c r="HB50" s="185"/>
      <c r="HC50" s="185"/>
      <c r="HD50" s="185"/>
      <c r="HE50" s="185"/>
      <c r="HF50" s="185"/>
      <c r="HG50" s="185"/>
      <c r="HH50" s="185"/>
      <c r="HI50" s="185"/>
      <c r="HJ50" s="185"/>
      <c r="HK50" s="185"/>
      <c r="HL50" s="185"/>
      <c r="HM50" s="185"/>
      <c r="HN50" s="185"/>
      <c r="HO50" s="185"/>
      <c r="HP50" s="185"/>
      <c r="HQ50" s="185"/>
      <c r="HR50" s="185"/>
      <c r="HS50" s="185"/>
      <c r="HT50" s="185"/>
      <c r="HU50" s="185"/>
      <c r="HV50" s="185"/>
      <c r="HW50" s="185"/>
      <c r="HX50" s="185"/>
      <c r="HY50" s="185"/>
      <c r="HZ50" s="185"/>
      <c r="IA50" s="185"/>
      <c r="IB50" s="185"/>
      <c r="IC50" s="185"/>
      <c r="ID50" s="185"/>
      <c r="IE50" s="185"/>
      <c r="IF50" s="185"/>
      <c r="IG50" s="185"/>
      <c r="IH50" s="185"/>
      <c r="II50" s="185"/>
      <c r="IJ50" s="185"/>
      <c r="IK50" s="185"/>
      <c r="IL50" s="185"/>
      <c r="IM50" s="185"/>
      <c r="IN50" s="185"/>
      <c r="IO50" s="185"/>
      <c r="IP50" s="185"/>
      <c r="IQ50" s="185"/>
      <c r="IR50" s="185"/>
      <c r="IS50" s="185"/>
      <c r="IT50" s="185"/>
      <c r="IU50" s="185"/>
      <c r="IV50" s="185"/>
      <c r="IW50" s="185"/>
    </row>
    <row r="51" customFormat="false" ht="12.75" hidden="false" customHeight="false" outlineLevel="0" collapsed="false">
      <c r="A51" s="321" t="s">
        <v>91</v>
      </c>
      <c r="B51" s="302" t="n">
        <v>0</v>
      </c>
      <c r="C51" s="302" t="n">
        <v>0</v>
      </c>
      <c r="D51" s="302" t="n">
        <v>0</v>
      </c>
      <c r="E51" s="302" t="n">
        <v>0</v>
      </c>
      <c r="F51" s="302" t="n">
        <v>0</v>
      </c>
      <c r="G51" s="302" t="n">
        <v>0</v>
      </c>
      <c r="H51" s="302" t="n">
        <v>0</v>
      </c>
      <c r="I51" s="302" t="n">
        <v>0</v>
      </c>
      <c r="J51" s="302" t="n">
        <v>0</v>
      </c>
      <c r="K51" s="302" t="n">
        <v>0</v>
      </c>
      <c r="L51" s="302" t="n">
        <v>0</v>
      </c>
      <c r="M51" s="302" t="n">
        <v>0</v>
      </c>
      <c r="N51" s="302" t="n">
        <v>0</v>
      </c>
      <c r="O51" s="302" t="n">
        <v>0</v>
      </c>
      <c r="P51" s="302" t="n">
        <v>0</v>
      </c>
      <c r="Q51" s="302" t="n">
        <v>0</v>
      </c>
      <c r="R51" s="302" t="n">
        <v>0</v>
      </c>
      <c r="S51" s="302" t="n">
        <v>0</v>
      </c>
      <c r="T51" s="302" t="n">
        <v>0</v>
      </c>
      <c r="U51" s="302" t="n">
        <v>0</v>
      </c>
      <c r="V51" s="302" t="n">
        <v>0</v>
      </c>
      <c r="W51" s="302" t="n">
        <f aca="false">AG51</f>
        <v>5687.45812734269</v>
      </c>
      <c r="X51" s="302" t="n">
        <v>0</v>
      </c>
      <c r="Y51" s="302" t="n">
        <v>0</v>
      </c>
      <c r="Z51" s="302" t="n">
        <v>0</v>
      </c>
      <c r="AA51" s="302" t="n">
        <v>0</v>
      </c>
      <c r="AB51" s="302" t="n">
        <v>0</v>
      </c>
      <c r="AC51" s="302" t="n">
        <v>0</v>
      </c>
      <c r="AD51" s="302" t="n">
        <v>0</v>
      </c>
      <c r="AE51" s="302" t="n">
        <v>0</v>
      </c>
      <c r="AF51" s="302" t="n">
        <v>0</v>
      </c>
      <c r="AG51" s="302" t="n">
        <f aca="false">Assumptions!H24*Assumptions!C58*Assumptions!G48</f>
        <v>5687.45812734269</v>
      </c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  <c r="GY51" s="185"/>
      <c r="GZ51" s="185"/>
      <c r="HA51" s="185"/>
      <c r="HB51" s="185"/>
      <c r="HC51" s="185"/>
      <c r="HD51" s="185"/>
      <c r="HE51" s="185"/>
      <c r="HF51" s="185"/>
      <c r="HG51" s="185"/>
      <c r="HH51" s="185"/>
      <c r="HI51" s="185"/>
      <c r="HJ51" s="185"/>
      <c r="HK51" s="185"/>
      <c r="HL51" s="185"/>
      <c r="HM51" s="185"/>
      <c r="HN51" s="185"/>
      <c r="HO51" s="185"/>
      <c r="HP51" s="185"/>
      <c r="HQ51" s="185"/>
      <c r="HR51" s="185"/>
      <c r="HS51" s="185"/>
      <c r="HT51" s="185"/>
      <c r="HU51" s="185"/>
      <c r="HV51" s="185"/>
      <c r="HW51" s="185"/>
      <c r="HX51" s="185"/>
      <c r="HY51" s="185"/>
      <c r="HZ51" s="185"/>
      <c r="IA51" s="185"/>
      <c r="IB51" s="185"/>
      <c r="IC51" s="185"/>
      <c r="ID51" s="185"/>
      <c r="IE51" s="185"/>
      <c r="IF51" s="185"/>
      <c r="IG51" s="185"/>
      <c r="IH51" s="185"/>
      <c r="II51" s="185"/>
      <c r="IJ51" s="185"/>
      <c r="IK51" s="185"/>
      <c r="IL51" s="185"/>
      <c r="IM51" s="185"/>
      <c r="IN51" s="185"/>
      <c r="IO51" s="185"/>
      <c r="IP51" s="185"/>
      <c r="IQ51" s="185"/>
      <c r="IR51" s="185"/>
      <c r="IS51" s="185"/>
      <c r="IT51" s="185"/>
      <c r="IU51" s="185"/>
      <c r="IV51" s="185"/>
      <c r="IW51" s="185"/>
    </row>
    <row r="52" customFormat="false" ht="12.75" hidden="false" customHeight="false" outlineLevel="0" collapsed="false">
      <c r="A52" s="321" t="s">
        <v>344</v>
      </c>
      <c r="B52" s="185" t="n">
        <f aca="false">SUM(B49:B51)</f>
        <v>-17211.9424647363</v>
      </c>
      <c r="C52" s="185" t="n">
        <f aca="false">SUM(C49:C51)</f>
        <v>240.707873119937</v>
      </c>
      <c r="D52" s="185" t="n">
        <f aca="false">SUM(D49:D51)</f>
        <v>231.022325243612</v>
      </c>
      <c r="E52" s="185" t="n">
        <f aca="false">SUM(E49:E51)</f>
        <v>183.799779691916</v>
      </c>
      <c r="F52" s="185" t="n">
        <f aca="false">SUM(F49:F51)</f>
        <v>450.699923234836</v>
      </c>
      <c r="G52" s="185" t="n">
        <f aca="false">SUM(G49:G51)</f>
        <v>450.788859596643</v>
      </c>
      <c r="H52" s="185" t="n">
        <f aca="false">SUM(H49:H51)</f>
        <v>397.657417915877</v>
      </c>
      <c r="I52" s="185" t="n">
        <f aca="false">SUM(I49:I51)</f>
        <v>397.373084336282</v>
      </c>
      <c r="J52" s="185" t="n">
        <f aca="false">SUM(J49:J51)</f>
        <v>395.785285009167</v>
      </c>
      <c r="K52" s="185" t="n">
        <f aca="false">SUM(K49:K51)</f>
        <v>422.663903116277</v>
      </c>
      <c r="L52" s="185" t="n">
        <f aca="false">SUM(L49:L51)</f>
        <v>409.098408566658</v>
      </c>
      <c r="M52" s="185" t="n">
        <f aca="false">SUM(M49:M51)</f>
        <v>435.292839904129</v>
      </c>
      <c r="N52" s="185" t="n">
        <f aca="false">SUM(N49:N51)</f>
        <v>420.477117148919</v>
      </c>
      <c r="O52" s="185" t="n">
        <f aca="false">SUM(O49:O51)</f>
        <v>449.751061895514</v>
      </c>
      <c r="P52" s="185" t="n">
        <f aca="false">SUM(P49:P51)</f>
        <v>433.643755337386</v>
      </c>
      <c r="Q52" s="185" t="n">
        <f aca="false">SUM(Q49:Q51)</f>
        <v>430.933347143669</v>
      </c>
      <c r="R52" s="185" t="n">
        <f aca="false">SUM(R49:R51)</f>
        <v>426.664811176194</v>
      </c>
      <c r="S52" s="185" t="n">
        <f aca="false">SUM(S49:S51)</f>
        <v>424.710853255253</v>
      </c>
      <c r="T52" s="185" t="n">
        <f aca="false">SUM(T49:T51)</f>
        <v>419.179196365136</v>
      </c>
      <c r="U52" s="185" t="n">
        <f aca="false">SUM(U49:U51)</f>
        <v>-241.451376025087</v>
      </c>
      <c r="V52" s="185" t="n">
        <f aca="false">SUM(V49:V51)</f>
        <v>-221.749136755076</v>
      </c>
      <c r="W52" s="185" t="n">
        <f aca="false">SUM(W49:W51)</f>
        <v>4967.31076574056</v>
      </c>
      <c r="X52" s="185" t="n">
        <f aca="false">SUM(X49:X51)</f>
        <v>-793.453404229921</v>
      </c>
      <c r="Y52" s="185" t="n">
        <f aca="false">SUM(Y49:Y51)</f>
        <v>-553.498431393402</v>
      </c>
      <c r="Z52" s="185" t="n">
        <f aca="false">SUM(Z49:Z51)</f>
        <v>-567.389834606149</v>
      </c>
      <c r="AA52" s="185" t="n">
        <f aca="false">SUM(AA49:AA51)</f>
        <v>-585.496583333643</v>
      </c>
      <c r="AB52" s="185" t="n">
        <f aca="false">SUM(AB49:AB51)</f>
        <v>-600.251441365674</v>
      </c>
      <c r="AC52" s="185" t="n">
        <f aca="false">SUM(AC49:AC51)</f>
        <v>-616.719901679874</v>
      </c>
      <c r="AD52" s="185" t="n">
        <f aca="false">SUM(AD49:AD51)</f>
        <v>-632.244086571556</v>
      </c>
      <c r="AE52" s="185" t="n">
        <f aca="false">SUM(AE49:AE51)</f>
        <v>-652.467468865712</v>
      </c>
      <c r="AF52" s="185" t="n">
        <f aca="false">SUM(AF49:AF51)</f>
        <v>-668.958431816525</v>
      </c>
      <c r="AG52" s="185" t="n">
        <f aca="false">SUM(AG49:AG51)</f>
        <v>5558.90169846433</v>
      </c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85"/>
      <c r="FQ52" s="185"/>
      <c r="FR52" s="185"/>
      <c r="FS52" s="185"/>
      <c r="FT52" s="185"/>
      <c r="FU52" s="185"/>
      <c r="FV52" s="185"/>
      <c r="FW52" s="185"/>
      <c r="FX52" s="185"/>
      <c r="FY52" s="185"/>
      <c r="FZ52" s="185"/>
      <c r="GA52" s="185"/>
      <c r="GB52" s="185"/>
      <c r="GC52" s="185"/>
      <c r="GD52" s="185"/>
      <c r="GE52" s="185"/>
      <c r="GF52" s="185"/>
      <c r="GG52" s="185"/>
      <c r="GH52" s="185"/>
      <c r="GI52" s="185"/>
      <c r="GJ52" s="185"/>
      <c r="GK52" s="185"/>
      <c r="GL52" s="185"/>
      <c r="GM52" s="185"/>
      <c r="GN52" s="185"/>
      <c r="GO52" s="185"/>
      <c r="GP52" s="185"/>
      <c r="GQ52" s="185"/>
      <c r="GR52" s="185"/>
      <c r="GS52" s="185"/>
      <c r="GT52" s="185"/>
      <c r="GU52" s="185"/>
      <c r="GV52" s="185"/>
      <c r="GW52" s="185"/>
      <c r="GX52" s="185"/>
      <c r="GY52" s="185"/>
      <c r="GZ52" s="185"/>
      <c r="HA52" s="185"/>
      <c r="HB52" s="185"/>
      <c r="HC52" s="185"/>
      <c r="HD52" s="185"/>
      <c r="HE52" s="185"/>
      <c r="HF52" s="185"/>
      <c r="HG52" s="185"/>
      <c r="HH52" s="185"/>
      <c r="HI52" s="185"/>
      <c r="HJ52" s="185"/>
      <c r="HK52" s="185"/>
      <c r="HL52" s="185"/>
      <c r="HM52" s="185"/>
      <c r="HN52" s="185"/>
      <c r="HO52" s="185"/>
      <c r="HP52" s="185"/>
      <c r="HQ52" s="185"/>
      <c r="HR52" s="185"/>
      <c r="HS52" s="185"/>
      <c r="HT52" s="185"/>
      <c r="HU52" s="185"/>
      <c r="HV52" s="185"/>
      <c r="HW52" s="185"/>
      <c r="HX52" s="185"/>
      <c r="HY52" s="185"/>
      <c r="HZ52" s="185"/>
      <c r="IA52" s="185"/>
      <c r="IB52" s="185"/>
      <c r="IC52" s="185"/>
      <c r="ID52" s="185"/>
      <c r="IE52" s="185"/>
      <c r="IF52" s="185"/>
      <c r="IG52" s="185"/>
      <c r="IH52" s="185"/>
      <c r="II52" s="185"/>
      <c r="IJ52" s="185"/>
      <c r="IK52" s="185"/>
      <c r="IL52" s="185"/>
      <c r="IM52" s="185"/>
      <c r="IN52" s="185"/>
      <c r="IO52" s="185"/>
      <c r="IP52" s="185"/>
      <c r="IQ52" s="185"/>
      <c r="IR52" s="185"/>
      <c r="IS52" s="185"/>
      <c r="IT52" s="185"/>
      <c r="IU52" s="185"/>
      <c r="IV52" s="185"/>
      <c r="IW52" s="185"/>
    </row>
    <row r="53" customFormat="false" ht="12.75" hidden="false" customHeight="false" outlineLevel="0" collapsed="false">
      <c r="A53" s="31"/>
      <c r="B53" s="314" t="s">
        <v>345</v>
      </c>
      <c r="C53" s="319" t="n">
        <f aca="false">XIRR(B52:W52,B8:W8)</f>
        <v>-0.025140941398186</v>
      </c>
    </row>
    <row r="54" customFormat="false" ht="12.75" hidden="false" customHeight="false" outlineLevel="0" collapsed="false">
      <c r="A54" s="321"/>
      <c r="B54" s="320"/>
    </row>
    <row r="55" customFormat="false" ht="12.75" hidden="false" customHeight="false" outlineLevel="0" collapsed="false">
      <c r="A55" s="191" t="str">
        <f aca="false">CONCATENATE("With $",Assumptions!H25,"/kW")</f>
        <v>With $200/kW</v>
      </c>
    </row>
    <row r="56" customFormat="false" ht="12.75" hidden="false" customHeight="false" outlineLevel="0" collapsed="false">
      <c r="A56" s="321" t="s">
        <v>343</v>
      </c>
      <c r="B56" s="185" t="n">
        <f aca="false">-Assumptions!C11*Assumptions!G48</f>
        <v>-17211.9424647363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  <c r="BW56" s="185"/>
      <c r="BX56" s="185"/>
      <c r="BY56" s="185"/>
      <c r="BZ56" s="185"/>
      <c r="CA56" s="185"/>
      <c r="CB56" s="185"/>
      <c r="CC56" s="185"/>
      <c r="CD56" s="185"/>
      <c r="CE56" s="185"/>
      <c r="CF56" s="185"/>
      <c r="CG56" s="185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5"/>
      <c r="CV56" s="185"/>
      <c r="CW56" s="185"/>
      <c r="CX56" s="185"/>
      <c r="CY56" s="185"/>
      <c r="CZ56" s="185"/>
      <c r="DA56" s="185"/>
      <c r="DB56" s="185"/>
      <c r="DC56" s="185"/>
      <c r="DD56" s="185"/>
      <c r="DE56" s="185"/>
      <c r="DF56" s="185"/>
      <c r="DG56" s="185"/>
      <c r="DH56" s="185"/>
      <c r="DI56" s="185"/>
      <c r="DJ56" s="185"/>
      <c r="DK56" s="185"/>
      <c r="DL56" s="185"/>
      <c r="DM56" s="185"/>
      <c r="DN56" s="185"/>
      <c r="DO56" s="185"/>
      <c r="DP56" s="185"/>
      <c r="DQ56" s="185"/>
      <c r="DR56" s="185"/>
      <c r="DS56" s="185"/>
      <c r="DT56" s="185"/>
      <c r="DU56" s="185"/>
      <c r="DV56" s="185"/>
      <c r="DW56" s="185"/>
      <c r="DX56" s="185"/>
      <c r="DY56" s="185"/>
      <c r="DZ56" s="185"/>
      <c r="EA56" s="185"/>
      <c r="EB56" s="185"/>
      <c r="EC56" s="185"/>
      <c r="ED56" s="185"/>
      <c r="EE56" s="185"/>
      <c r="EF56" s="185"/>
      <c r="EG56" s="185"/>
      <c r="EH56" s="185"/>
      <c r="EI56" s="185"/>
      <c r="EJ56" s="185"/>
      <c r="EK56" s="185"/>
      <c r="EL56" s="185"/>
      <c r="EM56" s="185"/>
      <c r="EN56" s="185"/>
      <c r="EO56" s="185"/>
      <c r="EP56" s="185"/>
      <c r="EQ56" s="185"/>
      <c r="ER56" s="185"/>
      <c r="ES56" s="185"/>
      <c r="ET56" s="185"/>
      <c r="EU56" s="185"/>
      <c r="EV56" s="185"/>
      <c r="EW56" s="185"/>
      <c r="EX56" s="185"/>
      <c r="EY56" s="185"/>
      <c r="EZ56" s="185"/>
      <c r="FA56" s="185"/>
      <c r="FB56" s="185"/>
      <c r="FC56" s="185"/>
      <c r="FD56" s="185"/>
      <c r="FE56" s="185"/>
      <c r="FF56" s="185"/>
      <c r="FG56" s="185"/>
      <c r="FH56" s="185"/>
      <c r="FI56" s="185"/>
      <c r="FJ56" s="185"/>
      <c r="FK56" s="185"/>
      <c r="FL56" s="185"/>
      <c r="FM56" s="185"/>
      <c r="FN56" s="185"/>
      <c r="FO56" s="185"/>
      <c r="FP56" s="185"/>
      <c r="FQ56" s="185"/>
      <c r="FR56" s="185"/>
      <c r="FS56" s="185"/>
      <c r="FT56" s="185"/>
      <c r="FU56" s="185"/>
      <c r="FV56" s="185"/>
      <c r="FW56" s="185"/>
      <c r="FX56" s="185"/>
      <c r="FY56" s="185"/>
      <c r="FZ56" s="185"/>
      <c r="GA56" s="185"/>
      <c r="GB56" s="185"/>
      <c r="GC56" s="185"/>
      <c r="GD56" s="185"/>
      <c r="GE56" s="185"/>
      <c r="GF56" s="185"/>
      <c r="GG56" s="185"/>
      <c r="GH56" s="185"/>
      <c r="GI56" s="185"/>
      <c r="GJ56" s="185"/>
      <c r="GK56" s="185"/>
      <c r="GL56" s="185"/>
      <c r="GM56" s="185"/>
      <c r="GN56" s="185"/>
      <c r="GO56" s="185"/>
      <c r="GP56" s="185"/>
      <c r="GQ56" s="185"/>
      <c r="GR56" s="185"/>
      <c r="GS56" s="185"/>
      <c r="GT56" s="185"/>
      <c r="GU56" s="185"/>
      <c r="GV56" s="185"/>
      <c r="GW56" s="185"/>
      <c r="GX56" s="185"/>
      <c r="GY56" s="185"/>
      <c r="GZ56" s="185"/>
      <c r="HA56" s="185"/>
      <c r="HB56" s="185"/>
      <c r="HC56" s="185"/>
      <c r="HD56" s="185"/>
      <c r="HE56" s="185"/>
      <c r="HF56" s="185"/>
      <c r="HG56" s="185"/>
      <c r="HH56" s="185"/>
      <c r="HI56" s="185"/>
      <c r="HJ56" s="185"/>
      <c r="HK56" s="185"/>
      <c r="HL56" s="185"/>
      <c r="HM56" s="185"/>
      <c r="HN56" s="185"/>
      <c r="HO56" s="185"/>
      <c r="HP56" s="185"/>
      <c r="HQ56" s="185"/>
      <c r="HR56" s="185"/>
      <c r="HS56" s="185"/>
      <c r="HT56" s="185"/>
      <c r="HU56" s="185"/>
      <c r="HV56" s="185"/>
      <c r="HW56" s="185"/>
      <c r="HX56" s="185"/>
      <c r="HY56" s="185"/>
      <c r="HZ56" s="185"/>
      <c r="IA56" s="185"/>
      <c r="IB56" s="185"/>
      <c r="IC56" s="185"/>
      <c r="ID56" s="185"/>
      <c r="IE56" s="185"/>
      <c r="IF56" s="185"/>
      <c r="IG56" s="185"/>
      <c r="IH56" s="185"/>
      <c r="II56" s="185"/>
      <c r="IJ56" s="185"/>
      <c r="IK56" s="185"/>
      <c r="IL56" s="185"/>
      <c r="IM56" s="185"/>
      <c r="IN56" s="185"/>
      <c r="IO56" s="185"/>
      <c r="IP56" s="185"/>
      <c r="IQ56" s="185"/>
      <c r="IR56" s="185"/>
      <c r="IS56" s="185"/>
      <c r="IT56" s="185"/>
      <c r="IU56" s="185"/>
      <c r="IV56" s="185"/>
      <c r="IW56" s="185"/>
    </row>
    <row r="57" customFormat="false" ht="12.75" hidden="false" customHeight="false" outlineLevel="0" collapsed="false">
      <c r="A57" s="321" t="s">
        <v>338</v>
      </c>
      <c r="B57" s="322" t="n">
        <f aca="false">B21*Assumptions!$G$48</f>
        <v>0</v>
      </c>
      <c r="C57" s="322" t="n">
        <f aca="false">C21*Assumptions!$G$48</f>
        <v>240.707873119937</v>
      </c>
      <c r="D57" s="322" t="n">
        <f aca="false">D21*Assumptions!$G$48</f>
        <v>231.022325243612</v>
      </c>
      <c r="E57" s="322" t="n">
        <f aca="false">E21*Assumptions!$G$48</f>
        <v>183.799779691916</v>
      </c>
      <c r="F57" s="322" t="n">
        <f aca="false">F21*Assumptions!$G$48</f>
        <v>450.699923234836</v>
      </c>
      <c r="G57" s="322" t="n">
        <f aca="false">G21*Assumptions!$G$48</f>
        <v>450.788859596643</v>
      </c>
      <c r="H57" s="322" t="n">
        <f aca="false">H21*Assumptions!$G$48</f>
        <v>397.657417915877</v>
      </c>
      <c r="I57" s="322" t="n">
        <f aca="false">I21*Assumptions!$G$48</f>
        <v>397.373084336282</v>
      </c>
      <c r="J57" s="322" t="n">
        <f aca="false">J21*Assumptions!$G$48</f>
        <v>395.785285009167</v>
      </c>
      <c r="K57" s="322" t="n">
        <f aca="false">K21*Assumptions!$G$48</f>
        <v>422.663903116277</v>
      </c>
      <c r="L57" s="322" t="n">
        <f aca="false">L21*Assumptions!$G$48</f>
        <v>409.098408566658</v>
      </c>
      <c r="M57" s="322" t="n">
        <f aca="false">M21*Assumptions!$G$48</f>
        <v>435.292839904129</v>
      </c>
      <c r="N57" s="322" t="n">
        <f aca="false">N21*Assumptions!$G$48</f>
        <v>420.477117148919</v>
      </c>
      <c r="O57" s="322" t="n">
        <f aca="false">O21*Assumptions!$G$48</f>
        <v>449.751061895514</v>
      </c>
      <c r="P57" s="322" t="n">
        <f aca="false">P21*Assumptions!$G$48</f>
        <v>433.643755337386</v>
      </c>
      <c r="Q57" s="322" t="n">
        <f aca="false">Q21*Assumptions!$G$48</f>
        <v>430.933347143669</v>
      </c>
      <c r="R57" s="322" t="n">
        <f aca="false">R21*Assumptions!$G$48</f>
        <v>426.664811176194</v>
      </c>
      <c r="S57" s="322" t="n">
        <f aca="false">S21*Assumptions!$G$48</f>
        <v>424.710853255253</v>
      </c>
      <c r="T57" s="322" t="n">
        <f aca="false">T21*Assumptions!$G$48</f>
        <v>419.179196365136</v>
      </c>
      <c r="U57" s="322" t="n">
        <f aca="false">U21*Assumptions!$G$48</f>
        <v>-241.451376025087</v>
      </c>
      <c r="V57" s="322" t="n">
        <f aca="false">V21*Assumptions!$G$48</f>
        <v>-221.749136755076</v>
      </c>
      <c r="W57" s="322" t="n">
        <f aca="false">W21*Assumptions!$G$48</f>
        <v>-720.147361602127</v>
      </c>
      <c r="X57" s="322" t="n">
        <f aca="false">X21*Assumptions!$G$48</f>
        <v>-793.453404229921</v>
      </c>
      <c r="Y57" s="322" t="n">
        <f aca="false">Y21*Assumptions!$G$48</f>
        <v>-553.498431393402</v>
      </c>
      <c r="Z57" s="322" t="n">
        <f aca="false">Z21*Assumptions!$G$48</f>
        <v>-567.389834606149</v>
      </c>
      <c r="AA57" s="322" t="n">
        <f aca="false">AA21*Assumptions!$G$48</f>
        <v>-585.496583333643</v>
      </c>
      <c r="AB57" s="322" t="n">
        <f aca="false">AB21*Assumptions!$G$48</f>
        <v>-600.251441365674</v>
      </c>
      <c r="AC57" s="322" t="n">
        <f aca="false">AC21*Assumptions!$G$48</f>
        <v>-616.719901679874</v>
      </c>
      <c r="AD57" s="322" t="n">
        <f aca="false">AD21*Assumptions!$G$48</f>
        <v>-632.244086571556</v>
      </c>
      <c r="AE57" s="322" t="n">
        <f aca="false">AE21*Assumptions!$G$48</f>
        <v>-652.467468865712</v>
      </c>
      <c r="AF57" s="322" t="n">
        <f aca="false">AF21*Assumptions!$G$48</f>
        <v>-668.958431816525</v>
      </c>
      <c r="AG57" s="322" t="n">
        <f aca="false">AG21*Assumptions!$G$48</f>
        <v>-128.556428878361</v>
      </c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5"/>
      <c r="BR57" s="185"/>
      <c r="BS57" s="185"/>
      <c r="BT57" s="185"/>
      <c r="BU57" s="185"/>
      <c r="BV57" s="185"/>
      <c r="BW57" s="185"/>
      <c r="BX57" s="185"/>
      <c r="BY57" s="185"/>
      <c r="BZ57" s="185"/>
      <c r="CA57" s="185"/>
      <c r="CB57" s="185"/>
      <c r="CC57" s="185"/>
      <c r="CD57" s="185"/>
      <c r="CE57" s="185"/>
      <c r="CF57" s="185"/>
      <c r="CG57" s="185"/>
      <c r="CH57" s="185"/>
      <c r="CI57" s="185"/>
      <c r="CJ57" s="185"/>
      <c r="CK57" s="185"/>
      <c r="CL57" s="185"/>
      <c r="CM57" s="185"/>
      <c r="CN57" s="185"/>
      <c r="CO57" s="185"/>
      <c r="CP57" s="185"/>
      <c r="CQ57" s="185"/>
      <c r="CR57" s="185"/>
      <c r="CS57" s="185"/>
      <c r="CT57" s="185"/>
      <c r="CU57" s="185"/>
      <c r="CV57" s="185"/>
      <c r="CW57" s="185"/>
      <c r="CX57" s="185"/>
      <c r="CY57" s="185"/>
      <c r="CZ57" s="185"/>
      <c r="DA57" s="185"/>
      <c r="DB57" s="185"/>
      <c r="DC57" s="185"/>
      <c r="DD57" s="185"/>
      <c r="DE57" s="185"/>
      <c r="DF57" s="185"/>
      <c r="DG57" s="185"/>
      <c r="DH57" s="185"/>
      <c r="DI57" s="185"/>
      <c r="DJ57" s="185"/>
      <c r="DK57" s="185"/>
      <c r="DL57" s="185"/>
      <c r="DM57" s="185"/>
      <c r="DN57" s="185"/>
      <c r="DO57" s="185"/>
      <c r="DP57" s="185"/>
      <c r="DQ57" s="185"/>
      <c r="DR57" s="185"/>
      <c r="DS57" s="185"/>
      <c r="DT57" s="185"/>
      <c r="DU57" s="185"/>
      <c r="DV57" s="185"/>
      <c r="DW57" s="185"/>
      <c r="DX57" s="185"/>
      <c r="DY57" s="185"/>
      <c r="DZ57" s="185"/>
      <c r="EA57" s="185"/>
      <c r="EB57" s="185"/>
      <c r="EC57" s="185"/>
      <c r="ED57" s="185"/>
      <c r="EE57" s="185"/>
      <c r="EF57" s="185"/>
      <c r="EG57" s="185"/>
      <c r="EH57" s="185"/>
      <c r="EI57" s="185"/>
      <c r="EJ57" s="185"/>
      <c r="EK57" s="185"/>
      <c r="EL57" s="185"/>
      <c r="EM57" s="185"/>
      <c r="EN57" s="185"/>
      <c r="EO57" s="185"/>
      <c r="EP57" s="185"/>
      <c r="EQ57" s="185"/>
      <c r="ER57" s="185"/>
      <c r="ES57" s="185"/>
      <c r="ET57" s="185"/>
      <c r="EU57" s="185"/>
      <c r="EV57" s="185"/>
      <c r="EW57" s="185"/>
      <c r="EX57" s="185"/>
      <c r="EY57" s="185"/>
      <c r="EZ57" s="185"/>
      <c r="FA57" s="185"/>
      <c r="FB57" s="185"/>
      <c r="FC57" s="185"/>
      <c r="FD57" s="185"/>
      <c r="FE57" s="185"/>
      <c r="FF57" s="185"/>
      <c r="FG57" s="185"/>
      <c r="FH57" s="185"/>
      <c r="FI57" s="185"/>
      <c r="FJ57" s="185"/>
      <c r="FK57" s="185"/>
      <c r="FL57" s="185"/>
      <c r="FM57" s="185"/>
      <c r="FN57" s="185"/>
      <c r="FO57" s="185"/>
      <c r="FP57" s="185"/>
      <c r="FQ57" s="185"/>
      <c r="FR57" s="185"/>
      <c r="FS57" s="185"/>
      <c r="FT57" s="185"/>
      <c r="FU57" s="185"/>
      <c r="FV57" s="185"/>
      <c r="FW57" s="185"/>
      <c r="FX57" s="185"/>
      <c r="FY57" s="185"/>
      <c r="FZ57" s="185"/>
      <c r="GA57" s="185"/>
      <c r="GB57" s="185"/>
      <c r="GC57" s="185"/>
      <c r="GD57" s="185"/>
      <c r="GE57" s="185"/>
      <c r="GF57" s="185"/>
      <c r="GG57" s="185"/>
      <c r="GH57" s="185"/>
      <c r="GI57" s="185"/>
      <c r="GJ57" s="185"/>
      <c r="GK57" s="185"/>
      <c r="GL57" s="185"/>
      <c r="GM57" s="185"/>
      <c r="GN57" s="185"/>
      <c r="GO57" s="185"/>
      <c r="GP57" s="185"/>
      <c r="GQ57" s="185"/>
      <c r="GR57" s="185"/>
      <c r="GS57" s="185"/>
      <c r="GT57" s="185"/>
      <c r="GU57" s="185"/>
      <c r="GV57" s="185"/>
      <c r="GW57" s="185"/>
      <c r="GX57" s="185"/>
      <c r="GY57" s="185"/>
      <c r="GZ57" s="185"/>
      <c r="HA57" s="185"/>
      <c r="HB57" s="185"/>
      <c r="HC57" s="185"/>
      <c r="HD57" s="185"/>
      <c r="HE57" s="185"/>
      <c r="HF57" s="185"/>
      <c r="HG57" s="185"/>
      <c r="HH57" s="185"/>
      <c r="HI57" s="185"/>
      <c r="HJ57" s="185"/>
      <c r="HK57" s="185"/>
      <c r="HL57" s="185"/>
      <c r="HM57" s="185"/>
      <c r="HN57" s="185"/>
      <c r="HO57" s="185"/>
      <c r="HP57" s="185"/>
      <c r="HQ57" s="185"/>
      <c r="HR57" s="185"/>
      <c r="HS57" s="185"/>
      <c r="HT57" s="185"/>
      <c r="HU57" s="185"/>
      <c r="HV57" s="185"/>
      <c r="HW57" s="185"/>
      <c r="HX57" s="185"/>
      <c r="HY57" s="185"/>
      <c r="HZ57" s="185"/>
      <c r="IA57" s="185"/>
      <c r="IB57" s="185"/>
      <c r="IC57" s="185"/>
      <c r="ID57" s="185"/>
      <c r="IE57" s="185"/>
      <c r="IF57" s="185"/>
      <c r="IG57" s="185"/>
      <c r="IH57" s="185"/>
      <c r="II57" s="185"/>
      <c r="IJ57" s="185"/>
      <c r="IK57" s="185"/>
      <c r="IL57" s="185"/>
      <c r="IM57" s="185"/>
      <c r="IN57" s="185"/>
      <c r="IO57" s="185"/>
      <c r="IP57" s="185"/>
      <c r="IQ57" s="185"/>
      <c r="IR57" s="185"/>
      <c r="IS57" s="185"/>
      <c r="IT57" s="185"/>
      <c r="IU57" s="185"/>
      <c r="IV57" s="185"/>
      <c r="IW57" s="185"/>
    </row>
    <row r="58" customFormat="false" ht="12.75" hidden="false" customHeight="false" outlineLevel="0" collapsed="false">
      <c r="A58" s="321" t="s">
        <v>91</v>
      </c>
      <c r="B58" s="302" t="n">
        <v>0</v>
      </c>
      <c r="C58" s="302" t="n">
        <v>0</v>
      </c>
      <c r="D58" s="302" t="n">
        <v>0</v>
      </c>
      <c r="E58" s="302" t="n">
        <v>0</v>
      </c>
      <c r="F58" s="302" t="n">
        <v>0</v>
      </c>
      <c r="G58" s="302" t="n">
        <v>0</v>
      </c>
      <c r="H58" s="302" t="n">
        <v>0</v>
      </c>
      <c r="I58" s="302" t="n">
        <v>0</v>
      </c>
      <c r="J58" s="302" t="n">
        <v>0</v>
      </c>
      <c r="K58" s="302" t="n">
        <v>0</v>
      </c>
      <c r="L58" s="302" t="n">
        <v>0</v>
      </c>
      <c r="M58" s="302" t="n">
        <v>0</v>
      </c>
      <c r="N58" s="302" t="n">
        <v>0</v>
      </c>
      <c r="O58" s="302" t="n">
        <v>0</v>
      </c>
      <c r="P58" s="302" t="n">
        <v>0</v>
      </c>
      <c r="Q58" s="302" t="n">
        <v>0</v>
      </c>
      <c r="R58" s="302" t="n">
        <v>0</v>
      </c>
      <c r="S58" s="302" t="n">
        <v>0</v>
      </c>
      <c r="T58" s="302" t="n">
        <v>0</v>
      </c>
      <c r="U58" s="302" t="n">
        <v>0</v>
      </c>
      <c r="V58" s="302" t="n">
        <v>0</v>
      </c>
      <c r="W58" s="302" t="n">
        <f aca="false">AG58</f>
        <v>9500</v>
      </c>
      <c r="X58" s="302" t="n">
        <v>0</v>
      </c>
      <c r="Y58" s="302" t="n">
        <v>0</v>
      </c>
      <c r="Z58" s="302" t="n">
        <v>0</v>
      </c>
      <c r="AA58" s="302" t="n">
        <v>0</v>
      </c>
      <c r="AB58" s="302" t="n">
        <v>0</v>
      </c>
      <c r="AC58" s="302" t="n">
        <v>0</v>
      </c>
      <c r="AD58" s="302" t="n">
        <v>0</v>
      </c>
      <c r="AE58" s="302" t="n">
        <v>0</v>
      </c>
      <c r="AF58" s="302" t="n">
        <v>0</v>
      </c>
      <c r="AG58" s="302" t="n">
        <f aca="false">Assumptions!H25*Assumptions!H68*Assumptions!G48</f>
        <v>9500</v>
      </c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5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185"/>
      <c r="FM58" s="185"/>
      <c r="FN58" s="185"/>
      <c r="FO58" s="185"/>
      <c r="FP58" s="185"/>
      <c r="FQ58" s="185"/>
      <c r="FR58" s="185"/>
      <c r="FS58" s="185"/>
      <c r="FT58" s="185"/>
      <c r="FU58" s="185"/>
      <c r="FV58" s="185"/>
      <c r="FW58" s="185"/>
      <c r="FX58" s="185"/>
      <c r="FY58" s="185"/>
      <c r="FZ58" s="185"/>
      <c r="GA58" s="185"/>
      <c r="GB58" s="185"/>
      <c r="GC58" s="185"/>
      <c r="GD58" s="185"/>
      <c r="GE58" s="185"/>
      <c r="GF58" s="185"/>
      <c r="GG58" s="185"/>
      <c r="GH58" s="185"/>
      <c r="GI58" s="185"/>
      <c r="GJ58" s="185"/>
      <c r="GK58" s="185"/>
      <c r="GL58" s="185"/>
      <c r="GM58" s="185"/>
      <c r="GN58" s="185"/>
      <c r="GO58" s="185"/>
      <c r="GP58" s="185"/>
      <c r="GQ58" s="185"/>
      <c r="GR58" s="185"/>
      <c r="GS58" s="185"/>
      <c r="GT58" s="185"/>
      <c r="GU58" s="185"/>
      <c r="GV58" s="185"/>
      <c r="GW58" s="185"/>
      <c r="GX58" s="185"/>
      <c r="GY58" s="185"/>
      <c r="GZ58" s="185"/>
      <c r="HA58" s="185"/>
      <c r="HB58" s="185"/>
      <c r="HC58" s="185"/>
      <c r="HD58" s="185"/>
      <c r="HE58" s="185"/>
      <c r="HF58" s="185"/>
      <c r="HG58" s="185"/>
      <c r="HH58" s="185"/>
      <c r="HI58" s="185"/>
      <c r="HJ58" s="185"/>
      <c r="HK58" s="185"/>
      <c r="HL58" s="185"/>
      <c r="HM58" s="185"/>
      <c r="HN58" s="185"/>
      <c r="HO58" s="185"/>
      <c r="HP58" s="185"/>
      <c r="HQ58" s="185"/>
      <c r="HR58" s="185"/>
      <c r="HS58" s="185"/>
      <c r="HT58" s="185"/>
      <c r="HU58" s="185"/>
      <c r="HV58" s="185"/>
      <c r="HW58" s="185"/>
      <c r="HX58" s="185"/>
      <c r="HY58" s="185"/>
      <c r="HZ58" s="185"/>
      <c r="IA58" s="185"/>
      <c r="IB58" s="185"/>
      <c r="IC58" s="185"/>
      <c r="ID58" s="185"/>
      <c r="IE58" s="185"/>
      <c r="IF58" s="185"/>
      <c r="IG58" s="185"/>
      <c r="IH58" s="185"/>
      <c r="II58" s="185"/>
      <c r="IJ58" s="185"/>
      <c r="IK58" s="185"/>
      <c r="IL58" s="185"/>
      <c r="IM58" s="185"/>
      <c r="IN58" s="185"/>
      <c r="IO58" s="185"/>
      <c r="IP58" s="185"/>
      <c r="IQ58" s="185"/>
      <c r="IR58" s="185"/>
      <c r="IS58" s="185"/>
      <c r="IT58" s="185"/>
      <c r="IU58" s="185"/>
      <c r="IV58" s="185"/>
      <c r="IW58" s="185"/>
    </row>
    <row r="59" customFormat="false" ht="12" hidden="false" customHeight="true" outlineLevel="0" collapsed="false">
      <c r="A59" s="321" t="s">
        <v>344</v>
      </c>
      <c r="B59" s="185" t="n">
        <f aca="false">SUM(B56:B58)</f>
        <v>-17211.9424647363</v>
      </c>
      <c r="C59" s="185" t="n">
        <f aca="false">SUM(C56:C58)</f>
        <v>240.707873119937</v>
      </c>
      <c r="D59" s="185" t="n">
        <f aca="false">SUM(D56:D58)</f>
        <v>231.022325243612</v>
      </c>
      <c r="E59" s="185" t="n">
        <f aca="false">SUM(E56:E58)</f>
        <v>183.799779691916</v>
      </c>
      <c r="F59" s="185" t="n">
        <f aca="false">SUM(F56:F58)</f>
        <v>450.699923234836</v>
      </c>
      <c r="G59" s="185" t="n">
        <f aca="false">SUM(G56:G58)</f>
        <v>450.788859596643</v>
      </c>
      <c r="H59" s="185" t="n">
        <f aca="false">SUM(H56:H58)</f>
        <v>397.657417915877</v>
      </c>
      <c r="I59" s="185" t="n">
        <f aca="false">SUM(I56:I58)</f>
        <v>397.373084336282</v>
      </c>
      <c r="J59" s="185" t="n">
        <f aca="false">SUM(J56:J58)</f>
        <v>395.785285009167</v>
      </c>
      <c r="K59" s="185" t="n">
        <f aca="false">SUM(K56:K58)</f>
        <v>422.663903116277</v>
      </c>
      <c r="L59" s="185" t="n">
        <f aca="false">SUM(L56:L58)</f>
        <v>409.098408566658</v>
      </c>
      <c r="M59" s="185" t="n">
        <f aca="false">SUM(M56:M58)</f>
        <v>435.292839904129</v>
      </c>
      <c r="N59" s="185" t="n">
        <f aca="false">SUM(N56:N58)</f>
        <v>420.477117148919</v>
      </c>
      <c r="O59" s="185" t="n">
        <f aca="false">SUM(O56:O58)</f>
        <v>449.751061895514</v>
      </c>
      <c r="P59" s="185" t="n">
        <f aca="false">SUM(P56:P58)</f>
        <v>433.643755337386</v>
      </c>
      <c r="Q59" s="185" t="n">
        <f aca="false">SUM(Q56:Q58)</f>
        <v>430.933347143669</v>
      </c>
      <c r="R59" s="185" t="n">
        <f aca="false">SUM(R56:R58)</f>
        <v>426.664811176194</v>
      </c>
      <c r="S59" s="185" t="n">
        <f aca="false">SUM(S56:S58)</f>
        <v>424.710853255253</v>
      </c>
      <c r="T59" s="185" t="n">
        <f aca="false">SUM(T56:T58)</f>
        <v>419.179196365136</v>
      </c>
      <c r="U59" s="185" t="n">
        <f aca="false">SUM(U56:U58)</f>
        <v>-241.451376025087</v>
      </c>
      <c r="V59" s="185" t="n">
        <f aca="false">SUM(V56:V58)</f>
        <v>-221.749136755076</v>
      </c>
      <c r="W59" s="185" t="n">
        <f aca="false">SUM(W56:W58)</f>
        <v>8779.85263839787</v>
      </c>
      <c r="X59" s="185" t="n">
        <f aca="false">SUM(X56:X58)</f>
        <v>-793.453404229921</v>
      </c>
      <c r="Y59" s="185" t="n">
        <f aca="false">SUM(Y56:Y58)</f>
        <v>-553.498431393402</v>
      </c>
      <c r="Z59" s="185" t="n">
        <f aca="false">SUM(Z56:Z58)</f>
        <v>-567.389834606149</v>
      </c>
      <c r="AA59" s="185" t="n">
        <f aca="false">SUM(AA56:AA58)</f>
        <v>-585.496583333643</v>
      </c>
      <c r="AB59" s="185" t="n">
        <f aca="false">SUM(AB56:AB58)</f>
        <v>-600.251441365674</v>
      </c>
      <c r="AC59" s="185" t="n">
        <f aca="false">SUM(AC56:AC58)</f>
        <v>-616.719901679874</v>
      </c>
      <c r="AD59" s="185" t="n">
        <f aca="false">SUM(AD56:AD58)</f>
        <v>-632.244086571556</v>
      </c>
      <c r="AE59" s="185" t="n">
        <f aca="false">SUM(AE56:AE58)</f>
        <v>-652.467468865712</v>
      </c>
      <c r="AF59" s="185" t="n">
        <f aca="false">SUM(AF56:AF58)</f>
        <v>-668.958431816525</v>
      </c>
      <c r="AG59" s="185" t="n">
        <f aca="false">SUM(AG56:AG58)</f>
        <v>9371.44357112164</v>
      </c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5"/>
      <c r="CV59" s="185"/>
      <c r="CW59" s="185"/>
      <c r="CX59" s="185"/>
      <c r="CY59" s="185"/>
      <c r="CZ59" s="185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  <c r="DY59" s="185"/>
      <c r="DZ59" s="185"/>
      <c r="EA59" s="185"/>
      <c r="EB59" s="185"/>
      <c r="EC59" s="185"/>
      <c r="ED59" s="185"/>
      <c r="EE59" s="185"/>
      <c r="EF59" s="185"/>
      <c r="EG59" s="185"/>
      <c r="EH59" s="185"/>
      <c r="EI59" s="185"/>
      <c r="EJ59" s="185"/>
      <c r="EK59" s="185"/>
      <c r="EL59" s="185"/>
      <c r="EM59" s="185"/>
      <c r="EN59" s="185"/>
      <c r="EO59" s="185"/>
      <c r="EP59" s="185"/>
      <c r="EQ59" s="185"/>
      <c r="ER59" s="185"/>
      <c r="ES59" s="185"/>
      <c r="ET59" s="185"/>
      <c r="EU59" s="185"/>
      <c r="EV59" s="185"/>
      <c r="EW59" s="185"/>
      <c r="EX59" s="185"/>
      <c r="EY59" s="185"/>
      <c r="EZ59" s="185"/>
      <c r="FA59" s="185"/>
      <c r="FB59" s="185"/>
      <c r="FC59" s="185"/>
      <c r="FD59" s="185"/>
      <c r="FE59" s="185"/>
      <c r="FF59" s="185"/>
      <c r="FG59" s="185"/>
      <c r="FH59" s="185"/>
      <c r="FI59" s="185"/>
      <c r="FJ59" s="185"/>
      <c r="FK59" s="185"/>
      <c r="FL59" s="185"/>
      <c r="FM59" s="185"/>
      <c r="FN59" s="185"/>
      <c r="FO59" s="185"/>
      <c r="FP59" s="185"/>
      <c r="FQ59" s="185"/>
      <c r="FR59" s="185"/>
      <c r="FS59" s="185"/>
      <c r="FT59" s="185"/>
      <c r="FU59" s="185"/>
      <c r="FV59" s="185"/>
      <c r="FW59" s="185"/>
      <c r="FX59" s="185"/>
      <c r="FY59" s="185"/>
      <c r="FZ59" s="185"/>
      <c r="GA59" s="185"/>
      <c r="GB59" s="185"/>
      <c r="GC59" s="185"/>
      <c r="GD59" s="185"/>
      <c r="GE59" s="185"/>
      <c r="GF59" s="185"/>
      <c r="GG59" s="185"/>
      <c r="GH59" s="185"/>
      <c r="GI59" s="185"/>
      <c r="GJ59" s="185"/>
      <c r="GK59" s="185"/>
      <c r="GL59" s="185"/>
      <c r="GM59" s="185"/>
      <c r="GN59" s="185"/>
      <c r="GO59" s="185"/>
      <c r="GP59" s="185"/>
      <c r="GQ59" s="185"/>
      <c r="GR59" s="185"/>
      <c r="GS59" s="185"/>
      <c r="GT59" s="185"/>
      <c r="GU59" s="185"/>
      <c r="GV59" s="185"/>
      <c r="GW59" s="185"/>
      <c r="GX59" s="185"/>
      <c r="GY59" s="185"/>
      <c r="GZ59" s="185"/>
      <c r="HA59" s="185"/>
      <c r="HB59" s="185"/>
      <c r="HC59" s="185"/>
      <c r="HD59" s="185"/>
      <c r="HE59" s="185"/>
      <c r="HF59" s="185"/>
      <c r="HG59" s="185"/>
      <c r="HH59" s="185"/>
      <c r="HI59" s="185"/>
      <c r="HJ59" s="185"/>
      <c r="HK59" s="185"/>
      <c r="HL59" s="185"/>
      <c r="HM59" s="185"/>
      <c r="HN59" s="185"/>
      <c r="HO59" s="185"/>
      <c r="HP59" s="185"/>
      <c r="HQ59" s="185"/>
      <c r="HR59" s="185"/>
      <c r="HS59" s="185"/>
      <c r="HT59" s="185"/>
      <c r="HU59" s="185"/>
      <c r="HV59" s="185"/>
      <c r="HW59" s="185"/>
      <c r="HX59" s="185"/>
      <c r="HY59" s="185"/>
      <c r="HZ59" s="185"/>
      <c r="IA59" s="185"/>
      <c r="IB59" s="185"/>
      <c r="IC59" s="185"/>
      <c r="ID59" s="185"/>
      <c r="IE59" s="185"/>
      <c r="IF59" s="185"/>
      <c r="IG59" s="185"/>
      <c r="IH59" s="185"/>
      <c r="II59" s="185"/>
      <c r="IJ59" s="185"/>
      <c r="IK59" s="185"/>
      <c r="IL59" s="185"/>
      <c r="IM59" s="185"/>
      <c r="IN59" s="185"/>
      <c r="IO59" s="185"/>
      <c r="IP59" s="185"/>
      <c r="IQ59" s="185"/>
      <c r="IR59" s="185"/>
      <c r="IS59" s="185"/>
      <c r="IT59" s="185"/>
      <c r="IU59" s="185"/>
      <c r="IV59" s="185"/>
      <c r="IW59" s="185"/>
    </row>
    <row r="60" customFormat="false" ht="12.75" hidden="false" customHeight="false" outlineLevel="0" collapsed="false">
      <c r="A60" s="31"/>
      <c r="B60" s="314" t="s">
        <v>345</v>
      </c>
      <c r="C60" s="319" t="n">
        <f aca="false">XIRR(B59:W59,B8:W8)</f>
        <v>-0.0067697514478064</v>
      </c>
    </row>
    <row r="61" customFormat="false" ht="12.75" hidden="false" customHeight="false" outlineLevel="0" collapsed="false">
      <c r="A61" s="321"/>
      <c r="B61" s="320"/>
    </row>
    <row r="62" customFormat="false" ht="12.75" hidden="false" customHeight="false" outlineLevel="0" collapsed="false">
      <c r="A62" s="3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3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3" t="str">
        <f aca="false">Assumptions!A3</f>
        <v>PROJECT NAME: Rochester</v>
      </c>
      <c r="C2" s="324"/>
      <c r="D2" s="321"/>
      <c r="E2" s="321"/>
      <c r="F2" s="325"/>
      <c r="G2" s="3"/>
      <c r="H2" s="3"/>
      <c r="I2" s="271"/>
      <c r="J2" s="271"/>
      <c r="K2" s="271"/>
      <c r="L2" s="325"/>
      <c r="M2" s="3"/>
      <c r="N2" s="3"/>
      <c r="O2" s="271"/>
      <c r="P2" s="271"/>
      <c r="Q2" s="271"/>
      <c r="R2" s="325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0"/>
      <c r="C3" s="324"/>
      <c r="D3" s="321"/>
      <c r="E3" s="321"/>
      <c r="F3" s="325"/>
      <c r="G3" s="3"/>
      <c r="H3" s="3"/>
      <c r="I3" s="271"/>
      <c r="J3" s="271"/>
      <c r="K3" s="271"/>
      <c r="L3" s="325"/>
      <c r="M3" s="3"/>
      <c r="N3" s="3"/>
      <c r="O3" s="271"/>
      <c r="P3" s="271"/>
      <c r="Q3" s="271"/>
      <c r="R3" s="325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8" t="s">
        <v>346</v>
      </c>
      <c r="B4" s="326" t="s">
        <v>347</v>
      </c>
      <c r="C4" s="324"/>
      <c r="D4" s="321"/>
      <c r="E4" s="321"/>
      <c r="F4" s="325"/>
      <c r="I4" s="324"/>
      <c r="J4" s="324"/>
      <c r="K4" s="324"/>
      <c r="L4" s="325"/>
      <c r="O4" s="324"/>
      <c r="P4" s="324"/>
      <c r="Q4" s="324"/>
      <c r="R4" s="325"/>
      <c r="AG4" s="0"/>
      <c r="AN4" s="185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28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0"/>
      <c r="HJ6" s="330"/>
      <c r="HK6" s="330"/>
      <c r="HL6" s="330"/>
      <c r="HM6" s="330"/>
      <c r="HN6" s="330"/>
      <c r="HO6" s="330"/>
      <c r="HP6" s="330"/>
      <c r="HQ6" s="330"/>
      <c r="HR6" s="330"/>
      <c r="HS6" s="330"/>
      <c r="HT6" s="330"/>
      <c r="HU6" s="330"/>
      <c r="HV6" s="330"/>
      <c r="HW6" s="330"/>
      <c r="HX6" s="330"/>
      <c r="HY6" s="330"/>
      <c r="HZ6" s="330"/>
      <c r="IA6" s="330"/>
      <c r="IB6" s="330"/>
      <c r="IC6" s="330"/>
      <c r="ID6" s="330"/>
      <c r="IE6" s="330"/>
      <c r="IF6" s="330"/>
      <c r="IG6" s="330"/>
      <c r="IH6" s="330"/>
      <c r="II6" s="330"/>
      <c r="IJ6" s="330"/>
      <c r="IK6" s="330"/>
      <c r="IL6" s="330"/>
      <c r="IM6" s="330"/>
      <c r="IN6" s="330"/>
      <c r="IO6" s="330"/>
      <c r="IP6" s="330"/>
      <c r="IQ6" s="330"/>
      <c r="IR6" s="330"/>
      <c r="IS6" s="330"/>
      <c r="IT6" s="330"/>
      <c r="IU6" s="330"/>
      <c r="IV6" s="330"/>
      <c r="IW6" s="330"/>
    </row>
    <row r="7" customFormat="false" ht="13.5" hidden="false" customHeight="false" outlineLevel="0" collapsed="false">
      <c r="A7" s="269" t="s">
        <v>278</v>
      </c>
      <c r="B7" s="331" t="n">
        <f aca="false">IS!C7</f>
        <v>2001</v>
      </c>
      <c r="C7" s="331" t="n">
        <f aca="false">B7+1</f>
        <v>2002</v>
      </c>
      <c r="D7" s="331" t="n">
        <f aca="false">C7+1</f>
        <v>2003</v>
      </c>
      <c r="E7" s="331" t="n">
        <f aca="false">D7+1</f>
        <v>2004</v>
      </c>
      <c r="F7" s="331" t="n">
        <f aca="false">E7+1</f>
        <v>2005</v>
      </c>
      <c r="G7" s="331" t="n">
        <f aca="false">F7+1</f>
        <v>2006</v>
      </c>
      <c r="H7" s="331" t="n">
        <f aca="false">G7+1</f>
        <v>2007</v>
      </c>
      <c r="I7" s="331" t="n">
        <f aca="false">H7+1</f>
        <v>2008</v>
      </c>
      <c r="J7" s="331" t="n">
        <f aca="false">I7+1</f>
        <v>2009</v>
      </c>
      <c r="K7" s="331" t="n">
        <f aca="false">J7+1</f>
        <v>2010</v>
      </c>
      <c r="L7" s="331" t="n">
        <f aca="false">K7+1</f>
        <v>2011</v>
      </c>
      <c r="M7" s="331" t="n">
        <f aca="false">L7+1</f>
        <v>2012</v>
      </c>
      <c r="N7" s="331" t="n">
        <f aca="false">M7+1</f>
        <v>2013</v>
      </c>
      <c r="O7" s="331" t="n">
        <f aca="false">N7+1</f>
        <v>2014</v>
      </c>
      <c r="P7" s="331" t="n">
        <f aca="false">O7+1</f>
        <v>2015</v>
      </c>
      <c r="Q7" s="331" t="n">
        <f aca="false">P7+1</f>
        <v>2016</v>
      </c>
      <c r="R7" s="331" t="n">
        <f aca="false">Q7+1</f>
        <v>2017</v>
      </c>
      <c r="S7" s="331" t="n">
        <f aca="false">R7+1</f>
        <v>2018</v>
      </c>
      <c r="T7" s="331" t="n">
        <f aca="false">S7+1</f>
        <v>2019</v>
      </c>
      <c r="U7" s="331" t="n">
        <f aca="false">T7+1</f>
        <v>2020</v>
      </c>
      <c r="V7" s="331" t="n">
        <f aca="false">U7+1</f>
        <v>2021</v>
      </c>
      <c r="W7" s="331" t="n">
        <f aca="false">V7+1</f>
        <v>2022</v>
      </c>
      <c r="X7" s="331" t="n">
        <f aca="false">W7+1</f>
        <v>2023</v>
      </c>
      <c r="Y7" s="331" t="n">
        <f aca="false">X7+1</f>
        <v>2024</v>
      </c>
      <c r="Z7" s="331" t="n">
        <f aca="false">Y7+1</f>
        <v>2025</v>
      </c>
      <c r="AA7" s="331" t="n">
        <f aca="false">Z7+1</f>
        <v>2026</v>
      </c>
      <c r="AB7" s="331" t="n">
        <f aca="false">AA7+1</f>
        <v>2027</v>
      </c>
      <c r="AC7" s="331" t="n">
        <f aca="false">AB7+1</f>
        <v>2028</v>
      </c>
      <c r="AD7" s="331" t="n">
        <f aca="false">AC7+1</f>
        <v>2029</v>
      </c>
      <c r="AE7" s="331" t="n">
        <f aca="false">AD7+1</f>
        <v>2030</v>
      </c>
      <c r="AF7" s="331" t="n">
        <f aca="false">AE7+1</f>
        <v>2031</v>
      </c>
      <c r="AG7" s="0"/>
      <c r="AH7" s="252"/>
    </row>
    <row r="8" customFormat="false" ht="12.75" hidden="false" customHeight="false" outlineLevel="0" collapsed="false">
      <c r="A8" s="332"/>
      <c r="B8" s="333" t="n">
        <f aca="false">IS!C8</f>
        <v>37256</v>
      </c>
      <c r="C8" s="333" t="n">
        <f aca="false">IS!D8</f>
        <v>37621</v>
      </c>
      <c r="D8" s="333" t="n">
        <f aca="false">IS!E8</f>
        <v>37986</v>
      </c>
      <c r="E8" s="333" t="n">
        <f aca="false">IS!F8</f>
        <v>38352</v>
      </c>
      <c r="F8" s="333" t="n">
        <f aca="false">IS!G8</f>
        <v>38717</v>
      </c>
      <c r="G8" s="333" t="n">
        <f aca="false">IS!H8</f>
        <v>39082</v>
      </c>
      <c r="H8" s="333" t="n">
        <f aca="false">IS!I8</f>
        <v>39447</v>
      </c>
      <c r="I8" s="333" t="n">
        <f aca="false">IS!J8</f>
        <v>39813</v>
      </c>
      <c r="J8" s="333" t="n">
        <f aca="false">IS!K8</f>
        <v>40178</v>
      </c>
      <c r="K8" s="333" t="n">
        <f aca="false">IS!L8</f>
        <v>40543</v>
      </c>
      <c r="L8" s="333" t="n">
        <f aca="false">IS!M8</f>
        <v>40908</v>
      </c>
      <c r="M8" s="333" t="n">
        <f aca="false">IS!N8</f>
        <v>41274</v>
      </c>
      <c r="N8" s="333" t="n">
        <f aca="false">IS!O8</f>
        <v>41639</v>
      </c>
      <c r="O8" s="333" t="n">
        <f aca="false">IS!P8</f>
        <v>42004</v>
      </c>
      <c r="P8" s="333" t="n">
        <f aca="false">IS!Q8</f>
        <v>42369</v>
      </c>
      <c r="Q8" s="333" t="n">
        <f aca="false">IS!R8</f>
        <v>42735</v>
      </c>
      <c r="R8" s="333" t="n">
        <f aca="false">IS!S8</f>
        <v>43100</v>
      </c>
      <c r="S8" s="333" t="n">
        <f aca="false">IS!T8</f>
        <v>43465</v>
      </c>
      <c r="T8" s="333" t="n">
        <f aca="false">IS!U8</f>
        <v>43830</v>
      </c>
      <c r="U8" s="333" t="n">
        <f aca="false">IS!V8</f>
        <v>44196</v>
      </c>
      <c r="V8" s="333" t="n">
        <f aca="false">IS!W8</f>
        <v>44561</v>
      </c>
      <c r="W8" s="333" t="n">
        <f aca="false">IS!X8</f>
        <v>44926</v>
      </c>
      <c r="X8" s="333" t="n">
        <f aca="false">IS!Y8</f>
        <v>45291</v>
      </c>
      <c r="Y8" s="333" t="n">
        <f aca="false">IS!Z8</f>
        <v>45657</v>
      </c>
      <c r="Z8" s="333" t="n">
        <f aca="false">IS!AA8</f>
        <v>46022</v>
      </c>
      <c r="AA8" s="333" t="n">
        <f aca="false">IS!AB8</f>
        <v>46387</v>
      </c>
      <c r="AB8" s="333" t="n">
        <f aca="false">IS!AC8</f>
        <v>46752</v>
      </c>
      <c r="AC8" s="333" t="n">
        <f aca="false">IS!AD8</f>
        <v>47118</v>
      </c>
      <c r="AD8" s="333" t="n">
        <f aca="false">IS!AE8</f>
        <v>47483</v>
      </c>
      <c r="AE8" s="333" t="n">
        <f aca="false">IS!AF8</f>
        <v>47848</v>
      </c>
      <c r="AF8" s="333" t="n">
        <f aca="false">IS!AG8</f>
        <v>48213</v>
      </c>
      <c r="AG8" s="0"/>
      <c r="AH8" s="252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  <c r="IC8" s="334"/>
      <c r="ID8" s="334"/>
      <c r="IE8" s="334"/>
      <c r="IF8" s="334"/>
      <c r="IG8" s="334"/>
      <c r="IH8" s="334"/>
      <c r="II8" s="334"/>
      <c r="IJ8" s="334"/>
      <c r="IK8" s="334"/>
      <c r="IL8" s="334"/>
      <c r="IM8" s="334"/>
      <c r="IN8" s="334"/>
      <c r="IO8" s="334"/>
      <c r="IP8" s="334"/>
      <c r="IQ8" s="334"/>
      <c r="IR8" s="334"/>
      <c r="IS8" s="334"/>
      <c r="IT8" s="334"/>
      <c r="IU8" s="334"/>
      <c r="IV8" s="334"/>
      <c r="IW8" s="334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35" t="s">
        <v>348</v>
      </c>
      <c r="B11" s="336" t="n">
        <f aca="false">B29+B38</f>
        <v>291.576102092298</v>
      </c>
      <c r="C11" s="336" t="n">
        <f aca="false">C29+C38</f>
        <v>820.840173905625</v>
      </c>
      <c r="D11" s="336" t="n">
        <f aca="false">D29+D38</f>
        <v>835.390914852828</v>
      </c>
      <c r="E11" s="336" t="n">
        <f aca="false">E29+E38</f>
        <v>1290.6232896406</v>
      </c>
      <c r="F11" s="336" t="n">
        <f aca="false">F29+F38</f>
        <v>1650.21916377441</v>
      </c>
      <c r="G11" s="336" t="n">
        <f aca="false">G29+G38</f>
        <v>1721.41565214658</v>
      </c>
      <c r="H11" s="336" t="n">
        <f aca="false">H29+H38</f>
        <v>1721.87525947816</v>
      </c>
      <c r="I11" s="336" t="n">
        <f aca="false">I29+I38</f>
        <v>1721.86855455968</v>
      </c>
      <c r="J11" s="336" t="n">
        <f aca="false">J29+J38</f>
        <v>1763.13355507269</v>
      </c>
      <c r="K11" s="336" t="n">
        <f aca="false">K29+K38</f>
        <v>1776.39474504595</v>
      </c>
      <c r="L11" s="336" t="n">
        <f aca="false">L29+L38</f>
        <v>1820.94550177789</v>
      </c>
      <c r="M11" s="336" t="n">
        <f aca="false">M29+M38</f>
        <v>1833.25111921881</v>
      </c>
      <c r="N11" s="336" t="n">
        <f aca="false">N29+N38</f>
        <v>1876.19903442559</v>
      </c>
      <c r="O11" s="336" t="n">
        <f aca="false">O29+O38</f>
        <v>1887.2995930481</v>
      </c>
      <c r="P11" s="337" t="n">
        <f aca="false">P29+P38</f>
        <v>1878.01884028112</v>
      </c>
      <c r="Q11" s="336" t="n">
        <f aca="false">Q29+Q38</f>
        <v>1867.62792556779</v>
      </c>
      <c r="R11" s="336" t="n">
        <f aca="false">R29+R38</f>
        <v>1850.91436616275</v>
      </c>
      <c r="S11" s="336" t="n">
        <f aca="false">S29+S38</f>
        <v>1835.35227434498</v>
      </c>
      <c r="T11" s="336" t="n">
        <f aca="false">T29+T38</f>
        <v>1815.71691718575</v>
      </c>
      <c r="U11" s="336" t="n">
        <f aca="false">U29+U38</f>
        <v>1794.3408612182</v>
      </c>
      <c r="V11" s="336" t="n">
        <f aca="false">V29+V38</f>
        <v>-227.711255867204</v>
      </c>
      <c r="W11" s="336" t="n">
        <f aca="false">W29+W38</f>
        <v>-1937.8716196915</v>
      </c>
      <c r="X11" s="336" t="n">
        <f aca="false">X29+X38</f>
        <v>-2331.01245074641</v>
      </c>
      <c r="Y11" s="336" t="n">
        <f aca="false">Y29+Y38</f>
        <v>-2396.43134462854</v>
      </c>
      <c r="Z11" s="336" t="n">
        <f aca="false">Z29+Z38</f>
        <v>-2458.7138389975</v>
      </c>
      <c r="AA11" s="336" t="n">
        <f aca="false">AA29+AA38</f>
        <v>-2527.76443177853</v>
      </c>
      <c r="AB11" s="336" t="n">
        <f aca="false">AB29+AB38</f>
        <v>-2597.06702136547</v>
      </c>
      <c r="AC11" s="336" t="n">
        <f aca="false">AC29+AC38</f>
        <v>-2670.14789361812</v>
      </c>
      <c r="AD11" s="336" t="n">
        <f aca="false">AD29+AD38</f>
        <v>-2739.74364314201</v>
      </c>
      <c r="AE11" s="336" t="n">
        <f aca="false">AE29+AE38</f>
        <v>-2816.89060601388</v>
      </c>
      <c r="AF11" s="337" t="n">
        <f aca="false">AF29+AF38</f>
        <v>-3620.77491446521</v>
      </c>
      <c r="AG11" s="0"/>
      <c r="AN11" s="338" t="n">
        <f aca="false">IF(MONTH(C23)=MONTH(Assumptions!G34),1,2)</f>
        <v>1</v>
      </c>
    </row>
    <row r="12" customFormat="false" ht="12.75" hidden="false" customHeight="false" outlineLevel="0" collapsed="false">
      <c r="A12" s="339" t="s">
        <v>62</v>
      </c>
      <c r="B12" s="340" t="n">
        <v>1.3</v>
      </c>
      <c r="C12" s="340" t="n">
        <v>1.3</v>
      </c>
      <c r="D12" s="340" t="n">
        <v>1.3</v>
      </c>
      <c r="E12" s="340" t="n">
        <v>1.3</v>
      </c>
      <c r="F12" s="340" t="n">
        <v>1.3</v>
      </c>
      <c r="G12" s="340" t="n">
        <v>1.3</v>
      </c>
      <c r="H12" s="340" t="n">
        <v>1.3</v>
      </c>
      <c r="I12" s="340" t="n">
        <v>1.3</v>
      </c>
      <c r="J12" s="340" t="n">
        <v>1.3</v>
      </c>
      <c r="K12" s="340" t="n">
        <v>1.3</v>
      </c>
      <c r="L12" s="340" t="n">
        <v>1.3</v>
      </c>
      <c r="M12" s="340" t="n">
        <v>1.3</v>
      </c>
      <c r="N12" s="340" t="n">
        <v>1.3</v>
      </c>
      <c r="O12" s="340" t="n">
        <v>1.3</v>
      </c>
      <c r="P12" s="341" t="n">
        <v>1.3</v>
      </c>
      <c r="Q12" s="340" t="n">
        <v>1.3</v>
      </c>
      <c r="R12" s="340" t="n">
        <v>1.3</v>
      </c>
      <c r="S12" s="340" t="n">
        <v>1.3</v>
      </c>
      <c r="T12" s="340" t="n">
        <v>1.3</v>
      </c>
      <c r="U12" s="340" t="n">
        <v>1.3</v>
      </c>
      <c r="V12" s="340" t="n">
        <v>1.3</v>
      </c>
      <c r="W12" s="340" t="n">
        <v>1.3</v>
      </c>
      <c r="X12" s="340" t="n">
        <v>1.3</v>
      </c>
      <c r="Y12" s="340" t="n">
        <v>1.3</v>
      </c>
      <c r="Z12" s="340" t="n">
        <v>1.3</v>
      </c>
      <c r="AA12" s="340" t="n">
        <v>1.3</v>
      </c>
      <c r="AB12" s="340" t="n">
        <v>1.3</v>
      </c>
      <c r="AC12" s="340" t="n">
        <v>1.3</v>
      </c>
      <c r="AD12" s="340" t="n">
        <v>1.3</v>
      </c>
      <c r="AE12" s="340" t="n">
        <v>1.3</v>
      </c>
      <c r="AF12" s="341" t="n">
        <v>1.3</v>
      </c>
      <c r="AG12" s="0"/>
      <c r="AN12" s="338" t="n">
        <f aca="false">IF(AN11=1,6,15)</f>
        <v>6</v>
      </c>
    </row>
    <row r="13" customFormat="false" ht="12.75" hidden="false" customHeight="false" outlineLevel="0" collapsed="false">
      <c r="A13" s="342" t="s">
        <v>349</v>
      </c>
      <c r="B13" s="299" t="n">
        <f aca="false">B11/B12</f>
        <v>224.289309301767</v>
      </c>
      <c r="C13" s="299" t="n">
        <f aca="false">C11/C12</f>
        <v>631.415518388942</v>
      </c>
      <c r="D13" s="299" t="n">
        <f aca="false">D11/D12</f>
        <v>642.608396040637</v>
      </c>
      <c r="E13" s="299" t="n">
        <f aca="false">E11/E12</f>
        <v>992.787145877384</v>
      </c>
      <c r="F13" s="299" t="n">
        <f aca="false">F11/F12</f>
        <v>1269.39935674955</v>
      </c>
      <c r="G13" s="299" t="n">
        <f aca="false">G11/G12</f>
        <v>1324.1658862666</v>
      </c>
      <c r="H13" s="299" t="n">
        <f aca="false">H11/H12</f>
        <v>1324.51943036781</v>
      </c>
      <c r="I13" s="299" t="n">
        <f aca="false">I11/I12</f>
        <v>1324.51427273822</v>
      </c>
      <c r="J13" s="299" t="n">
        <f aca="false">J11/J12</f>
        <v>1356.25658082515</v>
      </c>
      <c r="K13" s="299" t="n">
        <f aca="false">K11/K12</f>
        <v>1366.4574961892</v>
      </c>
      <c r="L13" s="299" t="n">
        <f aca="false">L11/L12</f>
        <v>1400.72730905992</v>
      </c>
      <c r="M13" s="299" t="n">
        <f aca="false">M11/M12</f>
        <v>1410.19316862985</v>
      </c>
      <c r="N13" s="299" t="n">
        <f aca="false">N11/N12</f>
        <v>1443.23002648122</v>
      </c>
      <c r="O13" s="299" t="n">
        <f aca="false">O11/O12</f>
        <v>1451.76891772931</v>
      </c>
      <c r="P13" s="343" t="n">
        <f aca="false">P11/P12</f>
        <v>1444.62987713933</v>
      </c>
      <c r="Q13" s="299" t="n">
        <f aca="false">Q11/Q12</f>
        <v>1436.63686582137</v>
      </c>
      <c r="R13" s="299" t="n">
        <f aca="false">R11/R12</f>
        <v>1423.78028166366</v>
      </c>
      <c r="S13" s="299" t="n">
        <f aca="false">S11/S12</f>
        <v>1411.80944180383</v>
      </c>
      <c r="T13" s="299" t="n">
        <f aca="false">T11/T12</f>
        <v>1396.70532091211</v>
      </c>
      <c r="U13" s="299" t="n">
        <f aca="false">U11/U12</f>
        <v>1380.26220093708</v>
      </c>
      <c r="V13" s="299" t="n">
        <f aca="false">V11/V12</f>
        <v>-175.162504513234</v>
      </c>
      <c r="W13" s="299" t="n">
        <f aca="false">W11/W12</f>
        <v>-1490.67047668577</v>
      </c>
      <c r="X13" s="299" t="n">
        <f aca="false">X11/X12</f>
        <v>-1793.08650057416</v>
      </c>
      <c r="Y13" s="299" t="n">
        <f aca="false">Y11/Y12</f>
        <v>-1843.40872663734</v>
      </c>
      <c r="Z13" s="299" t="n">
        <f aca="false">Z11/Z12</f>
        <v>-1891.31833769039</v>
      </c>
      <c r="AA13" s="299" t="n">
        <f aca="false">AA11/AA12</f>
        <v>-1944.43417829118</v>
      </c>
      <c r="AB13" s="299" t="n">
        <f aca="false">AB11/AB12</f>
        <v>-1997.74386258882</v>
      </c>
      <c r="AC13" s="299" t="n">
        <f aca="false">AC11/AC12</f>
        <v>-2053.95991816778</v>
      </c>
      <c r="AD13" s="299" t="n">
        <f aca="false">AD11/AD12</f>
        <v>-2107.49511010924</v>
      </c>
      <c r="AE13" s="299" t="n">
        <f aca="false">AE11/AE12</f>
        <v>-2166.83892770299</v>
      </c>
      <c r="AF13" s="343" t="n">
        <f aca="false">AF11/AF12</f>
        <v>-2785.21147266554</v>
      </c>
      <c r="AG13" s="0"/>
    </row>
    <row r="14" customFormat="false" ht="12.75" hidden="false" customHeight="false" outlineLevel="0" collapsed="false">
      <c r="A14" s="191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0"/>
    </row>
    <row r="15" customFormat="false" ht="12.75" hidden="false" customHeight="false" outlineLevel="0" collapsed="false">
      <c r="A15" s="191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0"/>
    </row>
    <row r="16" customFormat="false" ht="12.75" hidden="false" customHeight="false" outlineLevel="0" collapsed="false">
      <c r="A16" s="7"/>
      <c r="B16" s="179"/>
      <c r="C16" s="263"/>
      <c r="AG16" s="0"/>
    </row>
    <row r="17" customFormat="false" ht="12.75" hidden="false" customHeight="false" outlineLevel="0" collapsed="false">
      <c r="A17" s="7"/>
      <c r="B17" s="179"/>
      <c r="C17" s="344"/>
      <c r="AG17" s="0"/>
    </row>
    <row r="18" customFormat="false" ht="12.75" hidden="false" customHeight="false" outlineLevel="0" collapsed="false">
      <c r="A18" s="7"/>
      <c r="B18" s="179"/>
      <c r="AG18" s="0"/>
    </row>
    <row r="19" customFormat="false" ht="12.75" hidden="false" customHeight="false" outlineLevel="0" collapsed="false">
      <c r="A19" s="252" t="s">
        <v>350</v>
      </c>
      <c r="B19" s="345" t="n">
        <v>11225.3481719772</v>
      </c>
      <c r="S19" s="185"/>
      <c r="AF19" s="263"/>
      <c r="AG19" s="0"/>
    </row>
    <row r="20" customFormat="false" ht="12.75" hidden="false" customHeight="false" outlineLevel="0" collapsed="false">
      <c r="A20" s="252" t="s">
        <v>351</v>
      </c>
      <c r="B20" s="346" t="n">
        <f aca="false">HLOOKUP(Assumptions!G34,B23:AF39,AN12)</f>
        <v>87.581252256617</v>
      </c>
      <c r="AF20" s="344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2"/>
      <c r="B22" s="0"/>
      <c r="C22" s="7"/>
      <c r="AG22" s="0"/>
    </row>
    <row r="23" customFormat="false" ht="12.75" hidden="false" customHeight="false" outlineLevel="0" collapsed="false">
      <c r="A23" s="0"/>
      <c r="B23" s="347" t="n">
        <v>36982</v>
      </c>
      <c r="C23" s="347" t="n">
        <v>37347</v>
      </c>
      <c r="D23" s="347" t="n">
        <v>37712</v>
      </c>
      <c r="E23" s="347" t="n">
        <v>38078</v>
      </c>
      <c r="F23" s="347" t="n">
        <v>38443</v>
      </c>
      <c r="G23" s="347" t="n">
        <v>38808</v>
      </c>
      <c r="H23" s="347" t="n">
        <v>39173</v>
      </c>
      <c r="I23" s="347" t="n">
        <v>39539</v>
      </c>
      <c r="J23" s="347" t="n">
        <v>39904</v>
      </c>
      <c r="K23" s="347" t="n">
        <v>40269</v>
      </c>
      <c r="L23" s="347" t="n">
        <v>40634</v>
      </c>
      <c r="M23" s="347" t="n">
        <v>41000</v>
      </c>
      <c r="N23" s="347" t="n">
        <v>41365</v>
      </c>
      <c r="O23" s="347" t="n">
        <v>41730</v>
      </c>
      <c r="P23" s="347" t="n">
        <v>42095</v>
      </c>
      <c r="Q23" s="347" t="n">
        <v>42461</v>
      </c>
      <c r="R23" s="347" t="n">
        <v>42826</v>
      </c>
      <c r="S23" s="347" t="n">
        <v>43191</v>
      </c>
      <c r="T23" s="347" t="n">
        <v>43556</v>
      </c>
      <c r="U23" s="347" t="n">
        <v>43922</v>
      </c>
      <c r="V23" s="347" t="n">
        <v>44287</v>
      </c>
      <c r="W23" s="347" t="n">
        <v>44652</v>
      </c>
      <c r="X23" s="347" t="n">
        <v>45017</v>
      </c>
      <c r="Y23" s="347" t="n">
        <v>45383</v>
      </c>
      <c r="Z23" s="347" t="n">
        <v>45748</v>
      </c>
      <c r="AA23" s="347" t="n">
        <v>46113</v>
      </c>
      <c r="AB23" s="347" t="n">
        <v>46478</v>
      </c>
      <c r="AC23" s="347" t="n">
        <v>46844</v>
      </c>
      <c r="AD23" s="347" t="n">
        <v>47209</v>
      </c>
      <c r="AE23" s="347" t="n">
        <v>47574</v>
      </c>
      <c r="AF23" s="347" t="n">
        <v>47939</v>
      </c>
      <c r="AG23" s="348" t="n">
        <v>47969</v>
      </c>
    </row>
    <row r="24" customFormat="false" ht="12.75" hidden="false" customHeight="false" outlineLevel="0" collapsed="false">
      <c r="A24" s="349" t="s">
        <v>336</v>
      </c>
      <c r="B24" s="0"/>
      <c r="C24" s="349" t="n">
        <f aca="false">B45</f>
        <v>11388.9902995017</v>
      </c>
      <c r="D24" s="349" t="n">
        <f aca="false">C45</f>
        <v>11703.3198193429</v>
      </c>
      <c r="E24" s="349" t="n">
        <f aca="false">D45</f>
        <v>12032.8589791081</v>
      </c>
      <c r="F24" s="349" t="n">
        <f aca="false">E45</f>
        <v>12033.4852433825</v>
      </c>
      <c r="G24" s="349" t="n">
        <f aca="false">F45</f>
        <v>11750.3666705369</v>
      </c>
      <c r="H24" s="349" t="n">
        <f aca="false">G45</f>
        <v>11388.2141219542</v>
      </c>
      <c r="I24" s="349" t="n">
        <f aca="false">H45</f>
        <v>10995.2069116169</v>
      </c>
      <c r="J24" s="349" t="n">
        <f aca="false">I45</f>
        <v>10569.8315321285</v>
      </c>
      <c r="K24" s="349" t="n">
        <f aca="false">J45</f>
        <v>10074.9031429864</v>
      </c>
      <c r="L24" s="349" t="n">
        <f aca="false">K45</f>
        <v>9528.50770472841</v>
      </c>
      <c r="M24" s="349" t="n">
        <f aca="false">L45</f>
        <v>8901.12635956455</v>
      </c>
      <c r="N24" s="349" t="n">
        <f aca="false">M45</f>
        <v>8211.85756475487</v>
      </c>
      <c r="O24" s="349" t="n">
        <f aca="false">N45</f>
        <v>7429.74992051794</v>
      </c>
      <c r="P24" s="349" t="n">
        <f aca="false">O45</f>
        <v>6573.55269137137</v>
      </c>
      <c r="Q24" s="349" t="n">
        <f aca="false">P45</f>
        <v>5652.54901536476</v>
      </c>
      <c r="R24" s="349" t="n">
        <f aca="false">Q45</f>
        <v>4662.56573929681</v>
      </c>
      <c r="S24" s="349" t="n">
        <f aca="false">R45</f>
        <v>3601.66193151897</v>
      </c>
      <c r="T24" s="349" t="n">
        <f aca="false">S45</f>
        <v>2463.91965930444</v>
      </c>
      <c r="U24" s="349" t="n">
        <f aca="false">T45</f>
        <v>1245.79422144989</v>
      </c>
      <c r="V24" s="349" t="n">
        <f aca="false">U45</f>
        <v>0</v>
      </c>
      <c r="W24" s="349" t="n">
        <f aca="false">V45</f>
        <v>178.785129050068</v>
      </c>
      <c r="X24" s="349" t="n">
        <f aca="false">W45</f>
        <v>1715.3389023438</v>
      </c>
      <c r="Y24" s="349" t="n">
        <f aca="false">X45</f>
        <v>3689.94332754691</v>
      </c>
      <c r="Z24" s="349" t="n">
        <f aca="false">Y45</f>
        <v>5882.28727449289</v>
      </c>
      <c r="AA24" s="349" t="n">
        <f aca="false">Z45</f>
        <v>8307.67438310786</v>
      </c>
      <c r="AB24" s="349" t="n">
        <f aca="false">AA45</f>
        <v>10991.8414478679</v>
      </c>
      <c r="AC24" s="349" t="n">
        <f aca="false">AB45</f>
        <v>13956.4317481079</v>
      </c>
      <c r="AD24" s="349" t="n">
        <f aca="false">AC45</f>
        <v>17228.7246275997</v>
      </c>
      <c r="AE24" s="349" t="n">
        <f aca="false">AD45</f>
        <v>20829.4829561516</v>
      </c>
      <c r="AF24" s="349" t="n">
        <f aca="false">AE45</f>
        <v>24795.0101229182</v>
      </c>
      <c r="AG24" s="0"/>
    </row>
    <row r="25" customFormat="false" ht="12.75" hidden="false" customHeight="false" outlineLevel="0" collapsed="false">
      <c r="A25" s="349" t="s">
        <v>352</v>
      </c>
      <c r="B25" s="0"/>
      <c r="C25" s="350" t="n">
        <v>0</v>
      </c>
      <c r="D25" s="350" t="n">
        <v>0</v>
      </c>
      <c r="E25" s="350" t="n">
        <v>0</v>
      </c>
      <c r="F25" s="350" t="n">
        <v>0</v>
      </c>
      <c r="G25" s="350" t="n">
        <v>0</v>
      </c>
      <c r="H25" s="350" t="n">
        <v>0</v>
      </c>
      <c r="I25" s="350" t="n">
        <v>0</v>
      </c>
      <c r="J25" s="350" t="n">
        <v>0</v>
      </c>
      <c r="K25" s="350" t="n">
        <v>0</v>
      </c>
      <c r="L25" s="350" t="n">
        <v>0</v>
      </c>
      <c r="M25" s="350" t="n">
        <v>0</v>
      </c>
      <c r="N25" s="350" t="n">
        <v>0</v>
      </c>
      <c r="O25" s="350" t="n">
        <v>0</v>
      </c>
      <c r="P25" s="350" t="n">
        <v>0</v>
      </c>
      <c r="Q25" s="350" t="n">
        <v>0</v>
      </c>
      <c r="R25" s="350" t="n">
        <v>0</v>
      </c>
      <c r="S25" s="350" t="n">
        <v>0</v>
      </c>
      <c r="T25" s="350" t="n">
        <v>0</v>
      </c>
      <c r="U25" s="350" t="n">
        <v>0</v>
      </c>
      <c r="V25" s="350" t="n">
        <v>0</v>
      </c>
      <c r="W25" s="350" t="n">
        <v>0</v>
      </c>
      <c r="X25" s="350" t="n">
        <v>0</v>
      </c>
      <c r="Y25" s="350" t="n">
        <v>0</v>
      </c>
      <c r="Z25" s="350" t="n">
        <v>0</v>
      </c>
      <c r="AA25" s="350" t="n">
        <v>0</v>
      </c>
      <c r="AB25" s="350" t="n">
        <v>0</v>
      </c>
      <c r="AC25" s="350" t="n">
        <v>0</v>
      </c>
      <c r="AD25" s="350" t="n">
        <v>0</v>
      </c>
      <c r="AE25" s="350" t="n">
        <v>0</v>
      </c>
      <c r="AF25" s="350" t="n">
        <v>0</v>
      </c>
      <c r="AG25" s="0"/>
    </row>
    <row r="26" customFormat="false" ht="12.75" hidden="false" customHeight="false" outlineLevel="0" collapsed="false">
      <c r="A26" s="349" t="s">
        <v>353</v>
      </c>
      <c r="B26" s="0"/>
      <c r="C26" s="349" t="n">
        <f aca="false">C24-C28</f>
        <v>-152.640640365446</v>
      </c>
      <c r="D26" s="349" t="n">
        <f aca="false">D24-D28</f>
        <v>-160.13510906854</v>
      </c>
      <c r="E26" s="349" t="n">
        <f aca="false">E24-E28</f>
        <v>-0.638083385294522</v>
      </c>
      <c r="F26" s="349" t="n">
        <f aca="false">F24-F28</f>
        <v>140.354619390633</v>
      </c>
      <c r="G26" s="349" t="n">
        <f aca="false">G24-G28</f>
        <v>178.70827037135</v>
      </c>
      <c r="H26" s="349" t="n">
        <f aca="false">H24-H28</f>
        <v>193.78290685201</v>
      </c>
      <c r="I26" s="349" t="n">
        <f aca="false">I24-I28</f>
        <v>208.086941871326</v>
      </c>
      <c r="J26" s="349" t="n">
        <f aca="false">J24-J28</f>
        <v>243.911279586395</v>
      </c>
      <c r="K26" s="349" t="n">
        <f aca="false">K24-K28</f>
        <v>268.777595513939</v>
      </c>
      <c r="L26" s="349" t="n">
        <f aca="false">L24-L28</f>
        <v>308.389563608047</v>
      </c>
      <c r="M26" s="349" t="n">
        <f aca="false">M24-M28</f>
        <v>337.424895872067</v>
      </c>
      <c r="N26" s="349" t="n">
        <f aca="false">N24-N28</f>
        <v>384.265431626214</v>
      </c>
      <c r="O26" s="349" t="n">
        <f aca="false">O24-O28</f>
        <v>420.246938161704</v>
      </c>
      <c r="P26" s="349" t="n">
        <f aca="false">P24-P28</f>
        <v>451.898791553387</v>
      </c>
      <c r="Q26" s="349" t="n">
        <f aca="false">Q24-Q28</f>
        <v>484.833123688895</v>
      </c>
      <c r="R26" s="349" t="n">
        <f aca="false">R24-R28</f>
        <v>520.348265074957</v>
      </c>
      <c r="S26" s="349" t="n">
        <f aca="false">S24-S28</f>
        <v>557.743203362853</v>
      </c>
      <c r="T26" s="349" t="n">
        <f aca="false">T24-T28</f>
        <v>596.994431183575</v>
      </c>
      <c r="U26" s="349" t="n">
        <f aca="false">U24-U28</f>
        <v>638.672077604464</v>
      </c>
      <c r="V26" s="349" t="n">
        <f aca="false">V24-V28</f>
        <v>-87.581252256617</v>
      </c>
      <c r="W26" s="349" t="n">
        <f aca="false">W24-W28</f>
        <v>-752.689919747504</v>
      </c>
      <c r="X26" s="349" t="n">
        <f aca="false">X24-X28</f>
        <v>-967.107123215006</v>
      </c>
      <c r="Y26" s="349" t="n">
        <f aca="false">Y24-Y28</f>
        <v>-1074.12189326867</v>
      </c>
      <c r="Z26" s="349" t="n">
        <f aca="false">Z24-Z28</f>
        <v>-1187.30816669226</v>
      </c>
      <c r="AA26" s="349" t="n">
        <f aca="false">AA24-AA28</f>
        <v>-1313.96977643974</v>
      </c>
      <c r="AB26" s="349" t="n">
        <f aca="false">AB24-AB28</f>
        <v>-1451.04316236218</v>
      </c>
      <c r="AC26" s="349" t="n">
        <f aca="false">AC24-AC28</f>
        <v>-1603.46709320378</v>
      </c>
      <c r="AD26" s="349" t="n">
        <f aca="false">AD24-AD28</f>
        <v>-1761.51714299972</v>
      </c>
      <c r="AE26" s="349" t="n">
        <f aca="false">AE24-AE28</f>
        <v>-1940.28161888332</v>
      </c>
      <c r="AF26" s="349" t="n">
        <f aca="false">AF24-AF28</f>
        <v>-2412.59772810159</v>
      </c>
      <c r="AG26" s="0"/>
    </row>
    <row r="27" customFormat="false" ht="12.75" hidden="false" customHeight="false" outlineLevel="0" collapsed="false">
      <c r="A27" s="349" t="s">
        <v>354</v>
      </c>
      <c r="B27" s="0"/>
      <c r="C27" s="351" t="n">
        <f aca="false">C24*(C23-B41)/(C41-B41)*$E$64</f>
        <v>234.254368968517</v>
      </c>
      <c r="D27" s="351" t="n">
        <f aca="false">D24*(D23-C41)/(D41-C41)*$E$64</f>
        <v>240.71965354443</v>
      </c>
      <c r="E27" s="351" t="n">
        <f aca="false">E24*(E23-D41)/(E41-D41)*$E$64</f>
        <v>249.533878829045</v>
      </c>
      <c r="F27" s="351" t="n">
        <f aca="false">F24*(F23-E41)/(F41-E41)*$E$64</f>
        <v>247.510658807382</v>
      </c>
      <c r="G27" s="351" t="n">
        <f aca="false">G24*(G23-F41)/(G41-F41)*$E$64</f>
        <v>241.687336380975</v>
      </c>
      <c r="H27" s="351" t="n">
        <f aca="false">H24*(H23-G41)/(H41-G41)*$E$64</f>
        <v>234.238404165948</v>
      </c>
      <c r="I27" s="351" t="n">
        <f aca="false">I24*(I23-H41)/(I41-H41)*$E$64</f>
        <v>228.015356445826</v>
      </c>
      <c r="J27" s="351" t="n">
        <f aca="false">J24*(J23-I41)/(J41-I41)*$E$64</f>
        <v>217.405507472478</v>
      </c>
      <c r="K27" s="351" t="n">
        <f aca="false">K24*(K23-J41)/(K41-J41)*$E$64</f>
        <v>207.225576290329</v>
      </c>
      <c r="L27" s="351" t="n">
        <f aca="false">L24*(L23-K41)/(L41-K41)*$E$64</f>
        <v>195.987045460955</v>
      </c>
      <c r="M27" s="351" t="n">
        <f aca="false">M24*(M23-L41)/(M41-L41)*$E$64</f>
        <v>184.588931882773</v>
      </c>
      <c r="N27" s="351" t="n">
        <f aca="false">N24*(N23-M41)/(N41-M41)*$E$64</f>
        <v>168.905536075061</v>
      </c>
      <c r="O27" s="351" t="n">
        <f aca="false">O24*(O23-N41)/(O41-N41)*$E$64</f>
        <v>152.818760351475</v>
      </c>
      <c r="P27" s="351" t="n">
        <f aca="false">P24*(P23-O41)/(P41-O41)*$E$64</f>
        <v>135.208073508139</v>
      </c>
      <c r="Q27" s="351" t="n">
        <f aca="false">Q24*(Q23-P41)/(Q41-P41)*$E$64</f>
        <v>117.220893515351</v>
      </c>
      <c r="R27" s="351" t="n">
        <f aca="false">R24*(R23-Q41)/(R41-Q41)*$E$64</f>
        <v>95.9019514733447</v>
      </c>
      <c r="S27" s="351" t="n">
        <f aca="false">S24*(S23-R41)/(S41-R41)*$E$64</f>
        <v>74.0807587695306</v>
      </c>
      <c r="T27" s="351" t="n">
        <f aca="false">T24*(T23-S41)/(T41-S41)*$E$64</f>
        <v>50.6791146362413</v>
      </c>
      <c r="U27" s="351" t="n">
        <f aca="false">U24*(U23-T41)/(U41-T41)*$E$64</f>
        <v>25.8349129530182</v>
      </c>
      <c r="V27" s="351" t="n">
        <f aca="false">V24*(V23-U41)/(V41-U41)*$E$64</f>
        <v>0</v>
      </c>
      <c r="W27" s="351" t="n">
        <f aca="false">W24*(W23-V41)/(W41-V41)*$E$64</f>
        <v>3.67734070231064</v>
      </c>
      <c r="X27" s="351" t="n">
        <f aca="false">X24*(X23-W41)/(X41-W41)*$E$64</f>
        <v>35.2819364639619</v>
      </c>
      <c r="Y27" s="351" t="n">
        <f aca="false">Y24*(Y23-X41)/(Y41-X41)*$E$64</f>
        <v>76.5209558909319</v>
      </c>
      <c r="Z27" s="351" t="n">
        <f aca="false">Z24*(Z23-Y41)/(Z41-Y41)*$E$64</f>
        <v>120.989785515768</v>
      </c>
      <c r="AA27" s="351" t="n">
        <f aca="false">AA24*(AA23-Z41)/(AA41-Z41)*$E$64</f>
        <v>170.876343647075</v>
      </c>
      <c r="AB27" s="351" t="n">
        <f aca="false">AB24*(AB23-AA41)/(AB41-AA41)*$E$64</f>
        <v>226.085615533886</v>
      </c>
      <c r="AC27" s="351" t="n">
        <f aca="false">AC24*(AC23-AB41)/(AC41-AB41)*$E$64</f>
        <v>289.424363300926</v>
      </c>
      <c r="AD27" s="351" t="n">
        <f aca="false">AD24*(AD23-AC41)/(AD41-AC41)*$E$64</f>
        <v>354.368904497821</v>
      </c>
      <c r="AE27" s="351" t="n">
        <f aca="false">AE24*(AE23-AD41)/(AE41-AD41)*$E$64</f>
        <v>428.431077515913</v>
      </c>
      <c r="AF27" s="351" t="n">
        <f aca="false">AF24*(AF23-AE41)/(AF41-AE41)*$E$64</f>
        <v>509.995995884407</v>
      </c>
      <c r="AG27" s="0"/>
    </row>
    <row r="28" customFormat="false" ht="12.75" hidden="false" customHeight="false" outlineLevel="0" collapsed="false">
      <c r="A28" s="349" t="s">
        <v>340</v>
      </c>
      <c r="B28" s="0"/>
      <c r="C28" s="352" t="n">
        <f aca="false">MAX(C24+C25+B44+C27-0.5*C13,0)</f>
        <v>11541.6309398671</v>
      </c>
      <c r="D28" s="352" t="n">
        <f aca="false">MAX(D24+D25+C44+D27-0.5*D13,0)</f>
        <v>11863.4549284114</v>
      </c>
      <c r="E28" s="352" t="n">
        <f aca="false">MAX(E24+E25+D44+E27-0.5*E13,0)</f>
        <v>12033.4970624934</v>
      </c>
      <c r="F28" s="352" t="n">
        <f aca="false">MAX(F24+F25+E44+F27-0.5*F13,0)</f>
        <v>11893.1306239919</v>
      </c>
      <c r="G28" s="352" t="n">
        <f aca="false">MAX(G24+G25+F44+G27-0.5*G13,0)</f>
        <v>11571.6584001655</v>
      </c>
      <c r="H28" s="352" t="n">
        <f aca="false">MAX(H24+H25+G44+H27-0.5*H13,0)</f>
        <v>11194.4312151022</v>
      </c>
      <c r="I28" s="352" t="n">
        <f aca="false">MAX(I24+I25+H44+I27-0.5*I13,0)</f>
        <v>10787.1199697456</v>
      </c>
      <c r="J28" s="352" t="n">
        <f aca="false">MAX(J24+J25+I44+J27-0.5*J13,0)</f>
        <v>10325.9202525421</v>
      </c>
      <c r="K28" s="352" t="n">
        <f aca="false">MAX(K24+K25+J44+K27-0.5*K13,0)</f>
        <v>9806.12554747242</v>
      </c>
      <c r="L28" s="352" t="n">
        <f aca="false">MAX(L24+L25+K44+L27-0.5*L13,0)</f>
        <v>9220.11814112036</v>
      </c>
      <c r="M28" s="352" t="n">
        <f aca="false">MAX(M24+M25+L44+M27-0.5*M13,0)</f>
        <v>8563.70146369249</v>
      </c>
      <c r="N28" s="352" t="n">
        <f aca="false">MAX(N24+N25+M44+N27-0.5*N13,0)</f>
        <v>7827.59213312866</v>
      </c>
      <c r="O28" s="352" t="n">
        <f aca="false">MAX(O24+O25+N44+O27-0.5*O13,0)</f>
        <v>7009.50298235623</v>
      </c>
      <c r="P28" s="352" t="n">
        <f aca="false">MAX(P24+P25+O44+P27-0.5*P13,0)</f>
        <v>6121.65389981798</v>
      </c>
      <c r="Q28" s="352" t="n">
        <f aca="false">MAX(Q24+Q25+P44+Q27-0.5*Q13,0)</f>
        <v>5167.71589167587</v>
      </c>
      <c r="R28" s="352" t="n">
        <f aca="false">MAX(R24+R25+Q44+R27-0.5*R13,0)</f>
        <v>4142.21747422185</v>
      </c>
      <c r="S28" s="352" t="n">
        <f aca="false">MAX(S24+S25+R44+S27-0.5*S13,0)</f>
        <v>3043.91872815612</v>
      </c>
      <c r="T28" s="352" t="n">
        <f aca="false">MAX(T24+T25+S44+T27-0.5*T13,0)</f>
        <v>1866.92522812087</v>
      </c>
      <c r="U28" s="352" t="n">
        <f aca="false">MAX(U24+U25+T44+U27-0.5*U13,0)</f>
        <v>607.122143845425</v>
      </c>
      <c r="V28" s="352" t="n">
        <f aca="false">MAX(V24+V25+U44+V27-0.5*V13,0)</f>
        <v>87.581252256617</v>
      </c>
      <c r="W28" s="352" t="n">
        <f aca="false">MAX(W24+W25+V44+W27-0.5*W13,0)</f>
        <v>931.475048797572</v>
      </c>
      <c r="X28" s="352" t="n">
        <f aca="false">MAX(X24+X25+W44+X27-0.5*X13,0)</f>
        <v>2682.44602555881</v>
      </c>
      <c r="Y28" s="352" t="n">
        <f aca="false">MAX(Y24+Y25+X44+Y27-0.5*Y13,0)</f>
        <v>4764.06522081558</v>
      </c>
      <c r="Z28" s="352" t="n">
        <f aca="false">MAX(Z24+Z25+Y44+Z27-0.5*Z13,0)</f>
        <v>7069.59544118515</v>
      </c>
      <c r="AA28" s="352" t="n">
        <f aca="false">MAX(AA24+AA25+Z44+AA27-0.5*AA13,0)</f>
        <v>9621.6441595476</v>
      </c>
      <c r="AB28" s="352" t="n">
        <f aca="false">MAX(AB24+AB25+AA44+AB27-0.5*AB13,0)</f>
        <v>12442.8846102301</v>
      </c>
      <c r="AC28" s="352" t="n">
        <f aca="false">MAX(AC24+AC25+AB44+AC27-0.5*AC13,0)</f>
        <v>15559.8988413117</v>
      </c>
      <c r="AD28" s="352" t="n">
        <f aca="false">MAX(AD24+AD25+AC44+AD27-0.5*AD13,0)</f>
        <v>18990.2417705994</v>
      </c>
      <c r="AE28" s="352" t="n">
        <f aca="false">MAX(AE24+AE25+AD44+AE27-0.5*AE13,0)</f>
        <v>22769.764575035</v>
      </c>
      <c r="AF28" s="352" t="n">
        <f aca="false">MAX(AF24+AF25+AE44+AF27-0.5*AF13,0)</f>
        <v>27207.6078510198</v>
      </c>
      <c r="AG28" s="0"/>
    </row>
    <row r="29" customFormat="false" ht="12.75" hidden="false" customHeight="false" outlineLevel="0" collapsed="false">
      <c r="A29" s="349" t="s">
        <v>355</v>
      </c>
      <c r="B29" s="0"/>
      <c r="C29" s="352" t="n">
        <f aca="false">(C23-B41)/(C41-B41)*IS!D32+(B41-B32)/(B41-Assumptions!H17)*IS!C32</f>
        <v>388.439830385741</v>
      </c>
      <c r="D29" s="352" t="n">
        <f aca="false">(D23-C41)/(D41-C41)*IS!E32+(C41-C32)/(C41-B41)*IS!D32</f>
        <v>421.054760992397</v>
      </c>
      <c r="E29" s="352" t="n">
        <f aca="false">(E23-D41)/(E41-D41)*IS!F32+(D41-D32)/(D41-C41)*IS!E32</f>
        <v>568.879755084488</v>
      </c>
      <c r="F29" s="352" t="n">
        <f aca="false">(F23-E41)/(F41-E41)*IS!G32+(E41-E32)/(E41-D41)*IS!F32</f>
        <v>787.768633387145</v>
      </c>
      <c r="G29" s="352" t="n">
        <f aca="false">(G23-F41)/(G41-F41)*IS!H32+(F41-F32)/(F41-E41)*IS!G32</f>
        <v>858.145337994819</v>
      </c>
      <c r="H29" s="352" t="n">
        <f aca="false">(H23-G41)/(H41-G41)*IS!I32+(G41-G32)/(G41-F41)*IS!H32</f>
        <v>858.570245256651</v>
      </c>
      <c r="I29" s="352" t="n">
        <f aca="false">(I23-H41)/(I41-H41)*IS!J32+(H41-H32)/(H41-G41)*IS!I32</f>
        <v>861.718775685991</v>
      </c>
      <c r="J29" s="352" t="n">
        <f aca="false">(J23-I41)/(J41-I41)*IS!K32+(I41-I32)/(I41-H41)*IS!J32</f>
        <v>871.236435726719</v>
      </c>
      <c r="K29" s="352" t="n">
        <f aca="false">(K23-J41)/(K41-J41)*IS!L32+(J41-J32)/(J41-I41)*IS!K32</f>
        <v>886.184524305349</v>
      </c>
      <c r="L29" s="352" t="n">
        <f aca="false">(L23-K41)/(L41-K41)*IS!M32+(K41-K32)/(K41-J41)*IS!L32</f>
        <v>900.420331201399</v>
      </c>
      <c r="M29" s="352" t="n">
        <f aca="false">(M23-L41)/(M41-L41)*IS!N32+(L41-L32)/(L41-K41)*IS!M32</f>
        <v>917.915976329422</v>
      </c>
      <c r="N29" s="352" t="n">
        <f aca="false">(N23-M41)/(N41-M41)*IS!O32+(M41-M32)/(M41-L41)*IS!N32</f>
        <v>927.115365458623</v>
      </c>
      <c r="O29" s="352" t="n">
        <f aca="false">(O23-N41)/(O41-N41)*IS!P32+(N41-N32)/(N41-M41)*IS!O32</f>
        <v>942.010499428362</v>
      </c>
      <c r="P29" s="352" t="n">
        <f aca="false">(P23-O41)/(P41-O41)*IS!Q32+(O41-O32)/(O41-N41)*IS!P32</f>
        <v>937.667963448827</v>
      </c>
      <c r="Q29" s="352" t="n">
        <f aca="false">(Q23-P41)/(Q41-P41)*IS!R32+(P41-P32)/(P41-O41)*IS!Q32</f>
        <v>935.977087069001</v>
      </c>
      <c r="R29" s="352" t="n">
        <f aca="false">(R23-Q41)/(R41-Q41)*IS!S32+(Q41-Q32)/(Q41-P41)*IS!R32</f>
        <v>924.136619066423</v>
      </c>
      <c r="S29" s="352" t="n">
        <f aca="false">(S23-R41)/(S41-R41)*IS!T32+(R41-R32)/(R41-Q41)*IS!S32</f>
        <v>917.349751646566</v>
      </c>
      <c r="T29" s="352" t="n">
        <f aca="false">(T23-S41)/(T41-S41)*IS!U32+(S41-S32)/(S41-R41)*IS!T32</f>
        <v>907.91412054547</v>
      </c>
      <c r="U29" s="352" t="n">
        <f aca="false">(U23-T41)/(U41-T41)*IS!V32+(T41-T32)/(T41-S41)*IS!U32</f>
        <v>900.688777186689</v>
      </c>
      <c r="V29" s="352" t="n">
        <f aca="false">(V23-U41)/(V41-U41)*IS!W32+(U41-U32)/(U41-T41)*IS!V32</f>
        <v>221.170129061867</v>
      </c>
      <c r="W29" s="352" t="n">
        <f aca="false">(W23-V41)/(W41-V41)*IS!X32+(V41-V32)/(V41-U41)*IS!W32</f>
        <v>-792.68074241048</v>
      </c>
      <c r="X29" s="352" t="n">
        <f aca="false">(X23-W41)/(X41-W41)*IS!Y32+(W41-W32)/(W41-V41)*IS!X32</f>
        <v>-1154.50548485582</v>
      </c>
      <c r="Y29" s="352" t="n">
        <f aca="false">(Y23-X41)/(Y41-X41)*IS!Z32+(X41-X32)/(X41-W41)*IS!Y32</f>
        <v>-1191.0320640068</v>
      </c>
      <c r="Z29" s="352" t="n">
        <f aca="false">(Z23-Y41)/(Z41-Y41)*IS!AA32+(Y41-Y32)/(Y41-X41)*IS!Z32</f>
        <v>-1216.9134813334</v>
      </c>
      <c r="AA29" s="352" t="n">
        <f aca="false">(AA23-Z41)/(AA41-Z41)*IS!AB32+(Z41-Z32)/(Z41-Y41)*IS!AA32</f>
        <v>-1251.93575123825</v>
      </c>
      <c r="AB29" s="352" t="n">
        <f aca="false">(AB23-AA41)/(AB41-AA41)*IS!AC32+(AA41-AA32)/(AA41-Z41)*IS!AB32</f>
        <v>-1286.25368201979</v>
      </c>
      <c r="AC29" s="352" t="n">
        <f aca="false">(AC23-AB41)/(AC41-AB41)*IS!AD32+(AB41-AB32)/(AB41-AA41)*IS!AC32</f>
        <v>-1327.04589124845</v>
      </c>
      <c r="AD29" s="352" t="n">
        <f aca="false">(AD23-AC41)/(AD41-AC41)*IS!AE32+(AC41-AC32)/(AC41-AB41)*IS!AD32</f>
        <v>-1355.98158299841</v>
      </c>
      <c r="AE29" s="352" t="n">
        <f aca="false">(AE23-AD41)/(AE41-AD41)*IS!AF32+(AD41-AD32)/(AD41-AC41)*IS!AE32</f>
        <v>-1395.10727233698</v>
      </c>
      <c r="AF29" s="352" t="n">
        <f aca="false">(AF23-AE41)/(AG23-AE41)*IS!AG32+(AE41-AE32)/(AE41-AD41)*IS!AF32</f>
        <v>-2898.35312069399</v>
      </c>
      <c r="AG29" s="0"/>
    </row>
    <row r="30" customFormat="false" ht="12.75" hidden="false" customHeight="false" outlineLevel="0" collapsed="false">
      <c r="A30" s="353" t="s">
        <v>62</v>
      </c>
      <c r="B30" s="354"/>
      <c r="C30" s="355" t="n">
        <f aca="false">IF(C28&gt;0.1,C29/(C27+C26+B44)," ")</f>
        <v>1.23037783859619</v>
      </c>
      <c r="D30" s="355" t="n">
        <f aca="false">IF(D28&gt;0.1,D29/(D27+D26+C44)," ")</f>
        <v>1.31045521218422</v>
      </c>
      <c r="E30" s="355" t="n">
        <f aca="false">IF(E28&gt;0.1,E29/(E27+E26+D44)," ")</f>
        <v>1.14602562582886</v>
      </c>
      <c r="F30" s="355" t="n">
        <f aca="false">IF(F28&gt;0.1,F29/(F27+F26+E44)," ")</f>
        <v>1.24116753202762</v>
      </c>
      <c r="G30" s="355" t="n">
        <f aca="false">IF(G28&gt;0.1,G29/(G27+G26+F44)," ")</f>
        <v>1.29612965700892</v>
      </c>
      <c r="H30" s="355" t="n">
        <f aca="false">IF(H28&gt;0.1,H29/(H27+H26+G44)," ")</f>
        <v>1.29642529293546</v>
      </c>
      <c r="I30" s="355" t="n">
        <f aca="false">IF(I28&gt;0.1,I29/(I27+I26+H44)," ")</f>
        <v>1.30118458278978</v>
      </c>
      <c r="J30" s="355" t="n">
        <f aca="false">IF(J28&gt;0.1,J29/(J27+J26+I44)," ")</f>
        <v>1.28476639014228</v>
      </c>
      <c r="K30" s="355" t="n">
        <f aca="false">IF(K28&gt;0.1,K29/(K27+K26+J44)," ")</f>
        <v>1.29705391755947</v>
      </c>
      <c r="L30" s="355" t="n">
        <f aca="false">IF(L28&gt;0.1,L29/(L27+L26+K44)," ")</f>
        <v>1.28564685699704</v>
      </c>
      <c r="M30" s="355" t="n">
        <f aca="false">IF(M28&gt;0.1,M29/(M27+M26+L44)," ")</f>
        <v>1.30183012760057</v>
      </c>
      <c r="N30" s="355" t="n">
        <f aca="false">IF(N28&gt;0.1,N29/(N27+N26+M44)," ")</f>
        <v>1.28477837690094</v>
      </c>
      <c r="O30" s="355" t="n">
        <f aca="false">IF(O28&gt;0.1,O29/(O27+O26+N44)," ")</f>
        <v>1.29774165560969</v>
      </c>
      <c r="P30" s="355" t="n">
        <f aca="false">IF(P28&gt;0.1,P29/(P27+P26+O44)," ")</f>
        <v>1.2981428368429</v>
      </c>
      <c r="Q30" s="355" t="n">
        <f aca="false">IF(Q28&gt;0.1,Q29/(Q27+Q26+P44)," ")</f>
        <v>1.3030113723747</v>
      </c>
      <c r="R30" s="355" t="n">
        <f aca="false">IF(R28&gt;0.1,R29/(R27+R26+Q44)," ")</f>
        <v>1.29814498903804</v>
      </c>
      <c r="S30" s="355" t="n">
        <f aca="false">IF(S28&gt;0.1,S29/(S27+S26+R44)," ")</f>
        <v>1.29953763515633</v>
      </c>
      <c r="T30" s="355" t="n">
        <f aca="false">IF(T28&gt;0.1,T29/(T27+T26+S44)," ")</f>
        <v>1.30007970464745</v>
      </c>
      <c r="U30" s="355" t="n">
        <f aca="false">IF(U28&gt;0.1,U29/(U27+U26+T44)," ")</f>
        <v>1.30509808437151</v>
      </c>
      <c r="V30" s="355" t="n">
        <f aca="false">IF(V28&gt;0.1,V29/(V27+V26+U44)," ")</f>
        <v>-2.52531361864785</v>
      </c>
      <c r="W30" s="355" t="n">
        <f aca="false">IF(W28&gt;0.1,W29/(W27+W26+V44)," ")</f>
        <v>1.06352242807258</v>
      </c>
      <c r="X30" s="355" t="n">
        <f aca="false">IF(X28&gt;0.1,X29/(X27+X26+W44)," ")</f>
        <v>1.28772982729627</v>
      </c>
      <c r="Y30" s="355" t="n">
        <f aca="false">IF(Y28&gt;0.1,Y29/(Y27+Y26+X44)," ")</f>
        <v>1.29220616870945</v>
      </c>
      <c r="Z30" s="355" t="n">
        <f aca="false">IF(Z28&gt;0.1,Z29/(Z27+Z26+Y44)," ")</f>
        <v>1.2868415190427</v>
      </c>
      <c r="AA30" s="355" t="n">
        <f aca="false">IF(AA28&gt;0.1,AA29/(AA27+AA26+Z44)," ")</f>
        <v>1.28771214291088</v>
      </c>
      <c r="AB30" s="355" t="n">
        <f aca="false">IF(AB28&gt;0.1,AB29/(AB27+AB26+AA44)," ")</f>
        <v>1.28770630320243</v>
      </c>
      <c r="AC30" s="355" t="n">
        <f aca="false">IF(AC28&gt;0.1,AC29/(AC27+AC26+AB44)," ")</f>
        <v>1.29218285080483</v>
      </c>
      <c r="AD30" s="355" t="n">
        <f aca="false">IF(AD28&gt;0.1,AD29/(AD27+AD26+AC44)," ")</f>
        <v>1.28681824834992</v>
      </c>
      <c r="AE30" s="355" t="n">
        <f aca="false">IF(AE28&gt;0.1,AE29/(AE27+AE26+AD44)," ")</f>
        <v>1.28768895048041</v>
      </c>
      <c r="AF30" s="355" t="n">
        <f aca="false">IF(AF28&gt;0.1,AF29/(AF27+AF26+AE44)," ")</f>
        <v>2.08124456554831</v>
      </c>
      <c r="AG30" s="0"/>
    </row>
    <row r="31" customFormat="false" ht="12.75" hidden="false" customHeight="false" outlineLevel="0" collapsed="false">
      <c r="A31" s="252"/>
      <c r="B31" s="356"/>
      <c r="C31" s="7"/>
      <c r="AG31" s="0"/>
    </row>
    <row r="32" customFormat="false" ht="12.75" hidden="false" customHeight="false" outlineLevel="0" collapsed="false">
      <c r="A32" s="357" t="s">
        <v>356</v>
      </c>
      <c r="B32" s="347" t="n">
        <v>37165</v>
      </c>
      <c r="C32" s="347" t="n">
        <v>37530</v>
      </c>
      <c r="D32" s="347" t="n">
        <v>37895</v>
      </c>
      <c r="E32" s="347" t="n">
        <v>38261</v>
      </c>
      <c r="F32" s="347" t="n">
        <v>38626</v>
      </c>
      <c r="G32" s="347" t="n">
        <v>38991</v>
      </c>
      <c r="H32" s="347" t="n">
        <v>39356</v>
      </c>
      <c r="I32" s="347" t="n">
        <v>39722</v>
      </c>
      <c r="J32" s="347" t="n">
        <v>40087</v>
      </c>
      <c r="K32" s="347" t="n">
        <v>40452</v>
      </c>
      <c r="L32" s="347" t="n">
        <v>40817</v>
      </c>
      <c r="M32" s="347" t="n">
        <v>41183</v>
      </c>
      <c r="N32" s="347" t="n">
        <v>41548</v>
      </c>
      <c r="O32" s="347" t="n">
        <v>41913</v>
      </c>
      <c r="P32" s="347" t="n">
        <v>42278</v>
      </c>
      <c r="Q32" s="347" t="n">
        <v>42644</v>
      </c>
      <c r="R32" s="347" t="n">
        <v>43009</v>
      </c>
      <c r="S32" s="347" t="n">
        <v>43374</v>
      </c>
      <c r="T32" s="347" t="n">
        <v>43739</v>
      </c>
      <c r="U32" s="347" t="n">
        <v>44105</v>
      </c>
      <c r="V32" s="347" t="n">
        <v>44470</v>
      </c>
      <c r="W32" s="347" t="n">
        <v>44835</v>
      </c>
      <c r="X32" s="347" t="n">
        <v>45200</v>
      </c>
      <c r="Y32" s="347" t="n">
        <v>45566</v>
      </c>
      <c r="Z32" s="347" t="n">
        <v>45931</v>
      </c>
      <c r="AA32" s="347" t="n">
        <v>46296</v>
      </c>
      <c r="AB32" s="347" t="n">
        <v>46661</v>
      </c>
      <c r="AC32" s="347" t="n">
        <v>47027</v>
      </c>
      <c r="AD32" s="347" t="n">
        <v>47392</v>
      </c>
      <c r="AE32" s="347" t="n">
        <v>47757</v>
      </c>
      <c r="AF32" s="347" t="n">
        <v>47969</v>
      </c>
      <c r="AG32" s="0"/>
    </row>
    <row r="33" customFormat="false" ht="12.75" hidden="false" customHeight="false" outlineLevel="0" collapsed="false">
      <c r="A33" s="349" t="s">
        <v>336</v>
      </c>
      <c r="B33" s="350" t="n">
        <f aca="false">B19</f>
        <v>11225.3481719772</v>
      </c>
      <c r="C33" s="349" t="n">
        <f aca="false">C28</f>
        <v>11541.6309398671</v>
      </c>
      <c r="D33" s="349" t="n">
        <f aca="false">D28</f>
        <v>11863.4549284114</v>
      </c>
      <c r="E33" s="349" t="n">
        <f aca="false">E28</f>
        <v>12033.4970624934</v>
      </c>
      <c r="F33" s="349" t="n">
        <f aca="false">F28</f>
        <v>11893.1306239919</v>
      </c>
      <c r="G33" s="349" t="n">
        <f aca="false">G28</f>
        <v>11571.6584001655</v>
      </c>
      <c r="H33" s="349" t="n">
        <f aca="false">H28</f>
        <v>11194.4312151022</v>
      </c>
      <c r="I33" s="349" t="n">
        <f aca="false">I28</f>
        <v>10787.1199697456</v>
      </c>
      <c r="J33" s="349" t="n">
        <f aca="false">J28</f>
        <v>10325.9202525421</v>
      </c>
      <c r="K33" s="349" t="n">
        <f aca="false">K28</f>
        <v>9806.12554747242</v>
      </c>
      <c r="L33" s="349" t="n">
        <f aca="false">L28</f>
        <v>9220.11814112036</v>
      </c>
      <c r="M33" s="349" t="n">
        <f aca="false">M28</f>
        <v>8563.70146369249</v>
      </c>
      <c r="N33" s="349" t="n">
        <f aca="false">N28</f>
        <v>7827.59213312866</v>
      </c>
      <c r="O33" s="349" t="n">
        <f aca="false">O28</f>
        <v>7009.50298235623</v>
      </c>
      <c r="P33" s="349" t="n">
        <f aca="false">P28</f>
        <v>6121.65389981798</v>
      </c>
      <c r="Q33" s="349" t="n">
        <f aca="false">Q28</f>
        <v>5167.71589167587</v>
      </c>
      <c r="R33" s="349" t="n">
        <f aca="false">R28</f>
        <v>4142.21747422185</v>
      </c>
      <c r="S33" s="349" t="n">
        <f aca="false">S28</f>
        <v>3043.91872815612</v>
      </c>
      <c r="T33" s="349" t="n">
        <f aca="false">T28</f>
        <v>1866.92522812087</v>
      </c>
      <c r="U33" s="349" t="n">
        <f aca="false">U28</f>
        <v>607.122143845425</v>
      </c>
      <c r="V33" s="349" t="n">
        <f aca="false">V28</f>
        <v>87.581252256617</v>
      </c>
      <c r="W33" s="349" t="n">
        <f aca="false">W28</f>
        <v>931.475048797572</v>
      </c>
      <c r="X33" s="349" t="n">
        <f aca="false">X28</f>
        <v>2682.44602555881</v>
      </c>
      <c r="Y33" s="349" t="n">
        <f aca="false">Y28</f>
        <v>4764.06522081558</v>
      </c>
      <c r="Z33" s="349" t="n">
        <f aca="false">Z28</f>
        <v>7069.59544118515</v>
      </c>
      <c r="AA33" s="349" t="n">
        <f aca="false">AA28</f>
        <v>9621.6441595476</v>
      </c>
      <c r="AB33" s="349" t="n">
        <f aca="false">AB28</f>
        <v>12442.8846102301</v>
      </c>
      <c r="AC33" s="349" t="n">
        <f aca="false">AC28</f>
        <v>15559.8988413117</v>
      </c>
      <c r="AD33" s="349" t="n">
        <f aca="false">AD28</f>
        <v>18990.2417705994</v>
      </c>
      <c r="AE33" s="349" t="n">
        <f aca="false">AE28</f>
        <v>22769.764575035</v>
      </c>
      <c r="AF33" s="349" t="n">
        <f aca="false">AF28</f>
        <v>27207.6078510198</v>
      </c>
      <c r="AG33" s="0"/>
    </row>
    <row r="34" customFormat="false" ht="12.75" hidden="false" customHeight="false" outlineLevel="0" collapsed="false">
      <c r="A34" s="349" t="s">
        <v>352</v>
      </c>
      <c r="B34" s="350" t="n">
        <v>0</v>
      </c>
      <c r="C34" s="350" t="n">
        <v>0</v>
      </c>
      <c r="D34" s="350" t="n">
        <v>0</v>
      </c>
      <c r="E34" s="350" t="n">
        <v>0</v>
      </c>
      <c r="F34" s="350" t="n">
        <v>0</v>
      </c>
      <c r="G34" s="350" t="n">
        <v>0</v>
      </c>
      <c r="H34" s="350" t="n">
        <v>0</v>
      </c>
      <c r="I34" s="350" t="n">
        <v>0</v>
      </c>
      <c r="J34" s="350" t="n">
        <v>0</v>
      </c>
      <c r="K34" s="350" t="n">
        <v>0</v>
      </c>
      <c r="L34" s="350" t="n">
        <v>0</v>
      </c>
      <c r="M34" s="350" t="n">
        <v>0</v>
      </c>
      <c r="N34" s="350" t="n">
        <v>0</v>
      </c>
      <c r="O34" s="350" t="n">
        <v>0</v>
      </c>
      <c r="P34" s="350" t="n">
        <v>0</v>
      </c>
      <c r="Q34" s="350" t="n">
        <v>0</v>
      </c>
      <c r="R34" s="350" t="n">
        <v>0</v>
      </c>
      <c r="S34" s="350" t="n">
        <v>0</v>
      </c>
      <c r="T34" s="350" t="n">
        <v>0</v>
      </c>
      <c r="U34" s="350" t="n">
        <v>0</v>
      </c>
      <c r="V34" s="350" t="n">
        <v>0</v>
      </c>
      <c r="W34" s="350" t="n">
        <v>0</v>
      </c>
      <c r="X34" s="350" t="n">
        <v>0</v>
      </c>
      <c r="Y34" s="350" t="n">
        <v>0</v>
      </c>
      <c r="Z34" s="350" t="n">
        <v>0</v>
      </c>
      <c r="AA34" s="350" t="n">
        <v>0</v>
      </c>
      <c r="AB34" s="350" t="n">
        <v>0</v>
      </c>
      <c r="AC34" s="350" t="n">
        <v>0</v>
      </c>
      <c r="AD34" s="350" t="n">
        <v>0</v>
      </c>
      <c r="AE34" s="350" t="n">
        <v>0</v>
      </c>
      <c r="AF34" s="350" t="n">
        <v>0</v>
      </c>
      <c r="AG34" s="0"/>
    </row>
    <row r="35" customFormat="false" ht="12.75" hidden="false" customHeight="false" outlineLevel="0" collapsed="false">
      <c r="A35" s="349" t="s">
        <v>353</v>
      </c>
      <c r="B35" s="349" t="n">
        <f aca="false">B33-B37</f>
        <v>-163.642127524468</v>
      </c>
      <c r="C35" s="349" t="n">
        <f aca="false">C33-C37</f>
        <v>-161.688879475785</v>
      </c>
      <c r="D35" s="349" t="n">
        <f aca="false">D33-D37</f>
        <v>-169.404050696645</v>
      </c>
      <c r="E35" s="349" t="n">
        <f aca="false">E33-E37</f>
        <v>0.0118191108413157</v>
      </c>
      <c r="F35" s="349" t="n">
        <f aca="false">F33-F37</f>
        <v>142.763953455</v>
      </c>
      <c r="G35" s="349" t="n">
        <f aca="false">G33-G37</f>
        <v>183.444278211384</v>
      </c>
      <c r="H35" s="349" t="n">
        <f aca="false">H33-H37</f>
        <v>199.224303485262</v>
      </c>
      <c r="I35" s="349" t="n">
        <f aca="false">I33-I37</f>
        <v>217.288437617102</v>
      </c>
      <c r="J35" s="349" t="n">
        <f aca="false">J33-J37</f>
        <v>251.017109555714</v>
      </c>
      <c r="K35" s="349" t="n">
        <f aca="false">K33-K37</f>
        <v>277.61784274401</v>
      </c>
      <c r="L35" s="349" t="n">
        <f aca="false">L33-L37</f>
        <v>318.991781555807</v>
      </c>
      <c r="M35" s="349" t="n">
        <f aca="false">M33-M37</f>
        <v>351.843898937612</v>
      </c>
      <c r="N35" s="349" t="n">
        <f aca="false">N33-N37</f>
        <v>397.842212610721</v>
      </c>
      <c r="O35" s="349" t="n">
        <f aca="false">O33-O37</f>
        <v>435.950290984864</v>
      </c>
      <c r="P35" s="349" t="n">
        <f aca="false">P33-P37</f>
        <v>469.10488445322</v>
      </c>
      <c r="Q35" s="349" t="n">
        <f aca="false">Q33-Q37</f>
        <v>505.150152379058</v>
      </c>
      <c r="R35" s="349" t="n">
        <f aca="false">R33-R37</f>
        <v>540.555542702884</v>
      </c>
      <c r="S35" s="349" t="n">
        <f aca="false">S33-S37</f>
        <v>579.999068851677</v>
      </c>
      <c r="T35" s="349" t="n">
        <f aca="false">T33-T37</f>
        <v>621.131006670976</v>
      </c>
      <c r="U35" s="349" t="n">
        <f aca="false">U33-U37</f>
        <v>607.122143845425</v>
      </c>
      <c r="V35" s="349" t="n">
        <f aca="false">V33-V37</f>
        <v>-91.2038767934507</v>
      </c>
      <c r="W35" s="349" t="n">
        <f aca="false">W33-W37</f>
        <v>-783.863853546229</v>
      </c>
      <c r="X35" s="349" t="n">
        <f aca="false">X33-X37</f>
        <v>-1007.49730198811</v>
      </c>
      <c r="Y35" s="349" t="n">
        <f aca="false">Y33-Y37</f>
        <v>-1118.22205367731</v>
      </c>
      <c r="Z35" s="349" t="n">
        <f aca="false">Z33-Z37</f>
        <v>-1238.07894192271</v>
      </c>
      <c r="AA35" s="349" t="n">
        <f aca="false">AA33-AA37</f>
        <v>-1370.1972883203</v>
      </c>
      <c r="AB35" s="349" t="n">
        <f aca="false">AB33-AB37</f>
        <v>-1513.54713787783</v>
      </c>
      <c r="AC35" s="349" t="n">
        <f aca="false">AC33-AC37</f>
        <v>-1668.825786288</v>
      </c>
      <c r="AD35" s="349" t="n">
        <f aca="false">AD33-AD37</f>
        <v>-1839.24118555222</v>
      </c>
      <c r="AE35" s="349" t="n">
        <f aca="false">AE33-AE37</f>
        <v>-2025.24554788325</v>
      </c>
      <c r="AF35" s="349" t="n">
        <f aca="false">AF33-AF37</f>
        <v>-1577.0956799801</v>
      </c>
      <c r="AG35" s="0"/>
    </row>
    <row r="36" customFormat="false" ht="12.75" hidden="false" customHeight="false" outlineLevel="0" collapsed="false">
      <c r="A36" s="349" t="s">
        <v>354</v>
      </c>
      <c r="B36" s="351" t="n">
        <f aca="false">B33*(B32-Assumptions!H17)/365.25*$E$64</f>
        <v>387.931436826235</v>
      </c>
      <c r="C36" s="351" t="n">
        <f aca="false">C33*(C32-C23)/(C41-B41)*$E$64</f>
        <v>477.396638670257</v>
      </c>
      <c r="D36" s="351" t="n">
        <f aca="false">D33*(D32-D23)/(D41-C41)*$E$64</f>
        <v>490.708248716963</v>
      </c>
      <c r="E36" s="351" t="n">
        <f aca="false">E33*(E32-E23)/(E41-D41)*$E$64</f>
        <v>496.381753827852</v>
      </c>
      <c r="F36" s="351" t="n">
        <f aca="false">F33*(F32-F23)/(F41-E41)*$E$64</f>
        <v>491.935724919775</v>
      </c>
      <c r="G36" s="351" t="n">
        <f aca="false">G33*(G32-G23)/(G41-F41)*$E$64</f>
        <v>478.638664921916</v>
      </c>
      <c r="H36" s="351" t="n">
        <f aca="false">H33*(H32-H23)/(H41-G41)*$E$64</f>
        <v>463.035411698643</v>
      </c>
      <c r="I36" s="351" t="n">
        <f aca="false">I33*(I32-I23)/(I41-H41)*$E$64</f>
        <v>444.968698752005</v>
      </c>
      <c r="J36" s="351" t="n">
        <f aca="false">J33*(J32-J23)/(J41-I41)*$E$64</f>
        <v>427.11118085686</v>
      </c>
      <c r="K36" s="351" t="n">
        <f aca="false">K33*(K32-K23)/(K41-J41)*$E$64</f>
        <v>405.610905350589</v>
      </c>
      <c r="L36" s="351" t="n">
        <f aca="false">L33*(L32-L23)/(L41-K41)*$E$64</f>
        <v>381.37187297415</v>
      </c>
      <c r="M36" s="351" t="n">
        <f aca="false">M33*(M32-M23)/(M41-L41)*$E$64</f>
        <v>353.252685377315</v>
      </c>
      <c r="N36" s="351" t="n">
        <f aca="false">N33*(N32-N23)/(N41-M41)*$E$64</f>
        <v>323.77280062989</v>
      </c>
      <c r="O36" s="351" t="n">
        <f aca="false">O33*(O32-O23)/(O41-N41)*$E$64</f>
        <v>289.93416787979</v>
      </c>
      <c r="P36" s="351" t="n">
        <f aca="false">P33*(P32-P23)/(P41-O41)*$E$64</f>
        <v>253.210054116444</v>
      </c>
      <c r="Q36" s="351" t="n">
        <f aca="false">Q33*(Q32-Q23)/(Q41-P41)*$E$64</f>
        <v>213.16828053163</v>
      </c>
      <c r="R36" s="351" t="n">
        <f aca="false">R33*(R32-R23)/(R41-Q41)*$E$64</f>
        <v>171.334598128944</v>
      </c>
      <c r="S36" s="351" t="n">
        <f aca="false">S33*(S32-S23)/(S41-R41)*$E$64</f>
        <v>125.905652050238</v>
      </c>
      <c r="T36" s="351" t="n">
        <f aca="false">T33*(T32-T23)/(T41-S41)*$E$64</f>
        <v>77.2216537850816</v>
      </c>
      <c r="U36" s="351" t="n">
        <f aca="false">U33*(U32-U23)/(U41-T41)*$E$64</f>
        <v>25.0437884336238</v>
      </c>
      <c r="V36" s="351" t="n">
        <f aca="false">V33*(V32-V23)/(V41-U41)*$E$64</f>
        <v>3.62262453683363</v>
      </c>
      <c r="W36" s="351" t="n">
        <f aca="false">W33*(W32-W23)/(W41-V41)*$E$64</f>
        <v>38.5286152033462</v>
      </c>
      <c r="X36" s="351" t="n">
        <f aca="false">X33*(X32-X23)/(X41-W41)*$E$64</f>
        <v>110.954051701025</v>
      </c>
      <c r="Y36" s="351" t="n">
        <f aca="false">Y33*(Y32-Y23)/(Y41-X41)*$E$64</f>
        <v>196.517690358643</v>
      </c>
      <c r="Z36" s="351" t="n">
        <f aca="false">Z33*(Z32-Z23)/(Z41-Y41)*$E$64</f>
        <v>292.419773077515</v>
      </c>
      <c r="AA36" s="351" t="n">
        <f aca="false">AA33*(AA32-AA23)/(AA41-Z41)*$E$64</f>
        <v>397.980199174712</v>
      </c>
      <c r="AB36" s="351" t="n">
        <f aca="false">AB33*(AB32-AB23)/(AB41-AA41)*$E$64</f>
        <v>514.675206583421</v>
      </c>
      <c r="AC36" s="351" t="n">
        <f aca="false">AC33*(AC32-AC23)/(AC41-AB41)*$E$64</f>
        <v>641.845827204107</v>
      </c>
      <c r="AD36" s="351" t="n">
        <f aca="false">AD33*(AD32-AD23)/(AD41-AC41)*$E$64</f>
        <v>785.493630497602</v>
      </c>
      <c r="AE36" s="351" t="n">
        <f aca="false">AE33*(AE32-AE23)/(AE41-AD41)*$E$64</f>
        <v>941.826084031754</v>
      </c>
      <c r="AF36" s="351" t="n">
        <f aca="false">AF33*(AF32-AF23)/(AF41-AE41)*$E$64</f>
        <v>184.489943647326</v>
      </c>
      <c r="AG36" s="0"/>
    </row>
    <row r="37" customFormat="false" ht="12.75" hidden="false" customHeight="false" outlineLevel="0" collapsed="false">
      <c r="A37" s="349" t="s">
        <v>340</v>
      </c>
      <c r="B37" s="352" t="n">
        <f aca="false">MAX(B33+B34+B36-B13,0)</f>
        <v>11388.9902995017</v>
      </c>
      <c r="C37" s="352" t="n">
        <f aca="false">MAX(C33+C34+C36-0.5*C13,0)</f>
        <v>11703.3198193429</v>
      </c>
      <c r="D37" s="352" t="n">
        <f aca="false">MAX(D33+D34+D36-0.5*D13,0)</f>
        <v>12032.8589791081</v>
      </c>
      <c r="E37" s="352" t="n">
        <f aca="false">MAX(E33+E34+E36-0.5*E13,0)</f>
        <v>12033.4852433825</v>
      </c>
      <c r="F37" s="352" t="n">
        <f aca="false">MAX(F33+F34+F36-0.5*F13,0)</f>
        <v>11750.3666705369</v>
      </c>
      <c r="G37" s="352" t="n">
        <f aca="false">MAX(G33+G34+G36-0.5*G13,0)</f>
        <v>11388.2141219542</v>
      </c>
      <c r="H37" s="352" t="n">
        <f aca="false">MAX(H33+H34+H36-0.5*H13,0)</f>
        <v>10995.2069116169</v>
      </c>
      <c r="I37" s="352" t="n">
        <f aca="false">MAX(I33+I34+I36-0.5*I13,0)</f>
        <v>10569.8315321285</v>
      </c>
      <c r="J37" s="352" t="n">
        <f aca="false">MAX(J33+J34+J36-0.5*J13,0)</f>
        <v>10074.9031429864</v>
      </c>
      <c r="K37" s="352" t="n">
        <f aca="false">MAX(K33+K34+K36-0.5*K13,0)</f>
        <v>9528.50770472841</v>
      </c>
      <c r="L37" s="352" t="n">
        <f aca="false">MAX(L33+L34+L36-0.5*L13,0)</f>
        <v>8901.12635956455</v>
      </c>
      <c r="M37" s="352" t="n">
        <f aca="false">MAX(M33+M34+M36-0.5*M13,0)</f>
        <v>8211.85756475487</v>
      </c>
      <c r="N37" s="352" t="n">
        <f aca="false">MAX(N33+N34+N36-0.5*N13,0)</f>
        <v>7429.74992051794</v>
      </c>
      <c r="O37" s="352" t="n">
        <f aca="false">MAX(O33+O34+O36-0.5*O13,0)</f>
        <v>6573.55269137137</v>
      </c>
      <c r="P37" s="352" t="n">
        <f aca="false">MAX(P33+P34+P36-0.5*P13,0)</f>
        <v>5652.54901536476</v>
      </c>
      <c r="Q37" s="352" t="n">
        <f aca="false">MAX(Q33+Q34+Q36-0.5*Q13,0)</f>
        <v>4662.56573929681</v>
      </c>
      <c r="R37" s="352" t="n">
        <f aca="false">MAX(R33+R34+R36-0.5*R13,0)</f>
        <v>3601.66193151897</v>
      </c>
      <c r="S37" s="352" t="n">
        <f aca="false">MAX(S33+S34+S36-0.5*S13,0)</f>
        <v>2463.91965930444</v>
      </c>
      <c r="T37" s="352" t="n">
        <f aca="false">MAX(T33+T34+T36-0.5*T13,0)</f>
        <v>1245.79422144989</v>
      </c>
      <c r="U37" s="352" t="n">
        <f aca="false">MAX(U33+U34+U36-0.5*U13,0)</f>
        <v>0</v>
      </c>
      <c r="V37" s="352" t="n">
        <f aca="false">MAX(V33+V34+V36-0.5*V13,0)</f>
        <v>178.785129050068</v>
      </c>
      <c r="W37" s="352" t="n">
        <f aca="false">MAX(W33+W34+W36-0.5*W13,0)</f>
        <v>1715.3389023438</v>
      </c>
      <c r="X37" s="352" t="n">
        <f aca="false">MAX(X33+X34+X36-0.5*X13,0)</f>
        <v>3689.94332754691</v>
      </c>
      <c r="Y37" s="352" t="n">
        <f aca="false">MAX(Y33+Y34+Y36-0.5*Y13,0)</f>
        <v>5882.28727449289</v>
      </c>
      <c r="Z37" s="352" t="n">
        <f aca="false">MAX(Z33+Z34+Z36-0.5*Z13,0)</f>
        <v>8307.67438310786</v>
      </c>
      <c r="AA37" s="352" t="n">
        <f aca="false">MAX(AA33+AA34+AA36-0.5*AA13,0)</f>
        <v>10991.8414478679</v>
      </c>
      <c r="AB37" s="352" t="n">
        <f aca="false">MAX(AB33+AB34+AB36-0.5*AB13,0)</f>
        <v>13956.4317481079</v>
      </c>
      <c r="AC37" s="352" t="n">
        <f aca="false">MAX(AC33+AC34+AC36-0.5*AC13,0)</f>
        <v>17228.7246275997</v>
      </c>
      <c r="AD37" s="352" t="n">
        <f aca="false">MAX(AD33+AD34+AD36-0.5*AD13,0)</f>
        <v>20829.4829561516</v>
      </c>
      <c r="AE37" s="352" t="n">
        <f aca="false">MAX(AE33+AE34+AE36-0.5*AE13,0)</f>
        <v>24795.0101229182</v>
      </c>
      <c r="AF37" s="352" t="n">
        <f aca="false">MAX(AF33+AF34+AF36-0.5*AF13,0)</f>
        <v>28784.7035309999</v>
      </c>
      <c r="AG37" s="0"/>
    </row>
    <row r="38" customFormat="false" ht="12.75" hidden="false" customHeight="false" outlineLevel="0" collapsed="false">
      <c r="A38" s="349" t="s">
        <v>355</v>
      </c>
      <c r="B38" s="352" t="n">
        <f aca="false">(B32-Assumptions!H17)/(Debt!B41-Assumptions!H17)*IS!C32</f>
        <v>291.576102092298</v>
      </c>
      <c r="C38" s="352" t="n">
        <f aca="false">(C32-C23)/(C41-B41)*IS!D32</f>
        <v>432.400343519884</v>
      </c>
      <c r="D38" s="352" t="n">
        <f aca="false">(D32-D23)/(D41-C41)*IS!E32</f>
        <v>414.336153860431</v>
      </c>
      <c r="E38" s="352" t="n">
        <f aca="false">(E32-E23)/(E41-D41)*IS!F32</f>
        <v>721.743534556111</v>
      </c>
      <c r="F38" s="352" t="n">
        <f aca="false">(F32-F23)/(F41-E41)*IS!G32</f>
        <v>862.450530387269</v>
      </c>
      <c r="G38" s="352" t="n">
        <f aca="false">(G32-G23)/(G41-F41)*IS!H32</f>
        <v>863.270314151762</v>
      </c>
      <c r="H38" s="352" t="n">
        <f aca="false">(H32-H23)/(H41-G41)*IS!I32</f>
        <v>863.305014221504</v>
      </c>
      <c r="I38" s="352" t="n">
        <f aca="false">(I32-I23)/(I41-H41)*IS!J32</f>
        <v>860.149778873691</v>
      </c>
      <c r="J38" s="352" t="n">
        <f aca="false">(J32-J23)/(J41-I41)*IS!K32</f>
        <v>891.897119345975</v>
      </c>
      <c r="K38" s="352" t="n">
        <f aca="false">(K32-K23)/(K41-J41)*IS!L32</f>
        <v>890.210220740606</v>
      </c>
      <c r="L38" s="352" t="n">
        <f aca="false">(L32-L23)/(L41-K41)*IS!M32</f>
        <v>920.525170576493</v>
      </c>
      <c r="M38" s="352" t="n">
        <f aca="false">(M32-M23)/(M41-L41)*IS!N32</f>
        <v>915.335142889386</v>
      </c>
      <c r="N38" s="352" t="n">
        <f aca="false">(N32-N23)/(N41-M41)*IS!O32</f>
        <v>949.083668966967</v>
      </c>
      <c r="O38" s="352" t="n">
        <f aca="false">(O32-O23)/(O41-N41)*IS!P32</f>
        <v>945.28909361974</v>
      </c>
      <c r="P38" s="352" t="n">
        <f aca="false">(P32-P23)/(P41-O41)*IS!Q32</f>
        <v>940.350876832297</v>
      </c>
      <c r="Q38" s="352" t="n">
        <f aca="false">(Q32-Q23)/(Q41-P41)*IS!R32</f>
        <v>931.650838498784</v>
      </c>
      <c r="R38" s="352" t="n">
        <f aca="false">(R32-R23)/(R41-Q41)*IS!S32</f>
        <v>926.777747096329</v>
      </c>
      <c r="S38" s="352" t="n">
        <f aca="false">(S32-S23)/(S41-R41)*IS!T32</f>
        <v>918.002522698413</v>
      </c>
      <c r="T38" s="352" t="n">
        <f aca="false">(T32-T23)/(T41-S41)*IS!U32</f>
        <v>907.802796640279</v>
      </c>
      <c r="U38" s="352" t="n">
        <f aca="false">(U32-U23)/(U41-T41)*IS!V32</f>
        <v>893.652084031508</v>
      </c>
      <c r="V38" s="352" t="n">
        <f aca="false">(V32-V23)/(V41-U41)*IS!W32</f>
        <v>-448.881384929072</v>
      </c>
      <c r="W38" s="352" t="n">
        <f aca="false">(W32-W23)/(W41-V41)*IS!X32</f>
        <v>-1145.19087728102</v>
      </c>
      <c r="X38" s="352" t="n">
        <f aca="false">(X32-X23)/(X41-W41)*IS!Y32</f>
        <v>-1176.50696589059</v>
      </c>
      <c r="Y38" s="352" t="n">
        <f aca="false">(Y32-Y23)/(Y41-X41)*IS!Z32</f>
        <v>-1205.39928062174</v>
      </c>
      <c r="Z38" s="352" t="n">
        <f aca="false">(Z32-Z23)/(Z41-Y41)*IS!AA32</f>
        <v>-1241.8003576641</v>
      </c>
      <c r="AA38" s="352" t="n">
        <f aca="false">(AA32-AA23)/(AA41-Z41)*IS!AB32</f>
        <v>-1275.82868054028</v>
      </c>
      <c r="AB38" s="352" t="n">
        <f aca="false">(AB32-AB23)/(AB41-AA41)*IS!AC32</f>
        <v>-1310.81333934567</v>
      </c>
      <c r="AC38" s="352" t="n">
        <f aca="false">(AC32-AC23)/(AC41-AB41)*IS!AD32</f>
        <v>-1343.10200236967</v>
      </c>
      <c r="AD38" s="352" t="n">
        <f aca="false">(AD32-AD23)/(AD41-AC41)*IS!AE32</f>
        <v>-1383.76206014361</v>
      </c>
      <c r="AE38" s="352" t="n">
        <f aca="false">(AE32-AE23)/(AE41-AD41)*IS!AF32</f>
        <v>-1421.78333367691</v>
      </c>
      <c r="AF38" s="352" t="n">
        <f aca="false">(AF32-AF23)/(AG23-AE41)*IS!AG32</f>
        <v>-722.421793771216</v>
      </c>
      <c r="AG38" s="0"/>
    </row>
    <row r="39" customFormat="false" ht="12.75" hidden="false" customHeight="false" outlineLevel="0" collapsed="false">
      <c r="A39" s="353" t="s">
        <v>62</v>
      </c>
      <c r="B39" s="355" t="n">
        <f aca="false">IF(B37&gt;0.1,B38/(B36+B35)," ")</f>
        <v>1.30000000000001</v>
      </c>
      <c r="C39" s="355" t="n">
        <f aca="false">IF(C37&gt;0.1,C38/(C36+C35)," ")</f>
        <v>1.3696221614038</v>
      </c>
      <c r="D39" s="355" t="n">
        <f aca="false">IF(D37&gt;0.1,D38/(D36+D35)," ")</f>
        <v>1.28954478781578</v>
      </c>
      <c r="E39" s="355" t="n">
        <f aca="false">IF(E37&gt;0.1,E38/(E36+E35)," ")</f>
        <v>1.45397437417114</v>
      </c>
      <c r="F39" s="355" t="n">
        <f aca="false">IF(F37&gt;0.1,F38/(F36+F35)," ")</f>
        <v>1.35883246797238</v>
      </c>
      <c r="G39" s="355" t="n">
        <f aca="false">IF(G37&gt;0.1,G38/(G36+G35)," ")</f>
        <v>1.30387034299108</v>
      </c>
      <c r="H39" s="355" t="n">
        <f aca="false">IF(H37&gt;0.1,H38/(H36+H35)," ")</f>
        <v>1.30357470706454</v>
      </c>
      <c r="I39" s="355" t="n">
        <f aca="false">IF(I37&gt;0.1,I38/(I36+I35)," ")</f>
        <v>1.29881541721023</v>
      </c>
      <c r="J39" s="355" t="n">
        <f aca="false">IF(J37&gt;0.1,J38/(J36+J35)," ")</f>
        <v>1.31523360985772</v>
      </c>
      <c r="K39" s="355" t="n">
        <f aca="false">IF(K37&gt;0.1,K38/(K36+K35)," ")</f>
        <v>1.30294608244053</v>
      </c>
      <c r="L39" s="355" t="n">
        <f aca="false">IF(L37&gt;0.1,L38/(L36+L35)," ")</f>
        <v>1.31435314300297</v>
      </c>
      <c r="M39" s="355" t="n">
        <f aca="false">IF(M37&gt;0.1,M38/(M36+M35)," ")</f>
        <v>1.29816987239943</v>
      </c>
      <c r="N39" s="355" t="n">
        <f aca="false">IF(N37&gt;0.1,N38/(N36+N35)," ")</f>
        <v>1.31522162309906</v>
      </c>
      <c r="O39" s="355" t="n">
        <f aca="false">IF(O37&gt;0.1,O38/(O36+O35)," ")</f>
        <v>1.30225834439031</v>
      </c>
      <c r="P39" s="355" t="n">
        <f aca="false">IF(P37&gt;0.1,P38/(P36+P35)," ")</f>
        <v>1.3018571631571</v>
      </c>
      <c r="Q39" s="355" t="n">
        <f aca="false">IF(Q37&gt;0.1,Q38/(Q36+Q35)," ")</f>
        <v>1.29698862762529</v>
      </c>
      <c r="R39" s="355" t="n">
        <f aca="false">IF(R37&gt;0.1,R38/(R36+R35)," ")</f>
        <v>1.30185501096196</v>
      </c>
      <c r="S39" s="355" t="n">
        <f aca="false">IF(S37&gt;0.1,S38/(S36+S35)," ")</f>
        <v>1.30046236484367</v>
      </c>
      <c r="T39" s="355" t="n">
        <f aca="false">IF(T37&gt;0.1,T38/(T36+T35)," ")</f>
        <v>1.29992029535255</v>
      </c>
      <c r="U39" s="355" t="str">
        <f aca="false">IF(U37&gt;0.1,U38/(U36+U35)," ")</f>
        <v> </v>
      </c>
      <c r="V39" s="355" t="n">
        <f aca="false">IF(V37&gt;0.1,V38/(V36+V35)," ")</f>
        <v>5.12531361864785</v>
      </c>
      <c r="W39" s="355" t="n">
        <f aca="false">IF(W37&gt;0.1,W38/(W36+W35)," ")</f>
        <v>1.53647757192742</v>
      </c>
      <c r="X39" s="355" t="n">
        <f aca="false">IF(X37&gt;0.1,X38/(X36+X35)," ")</f>
        <v>1.31227017270373</v>
      </c>
      <c r="Y39" s="355" t="n">
        <f aca="false">IF(Y37&gt;0.1,Y38/(Y36+Y35)," ")</f>
        <v>1.30779383129055</v>
      </c>
      <c r="Z39" s="355" t="n">
        <f aca="false">IF(Z37&gt;0.1,Z38/(Z36+Z35)," ")</f>
        <v>1.3131584809573</v>
      </c>
      <c r="AA39" s="355" t="n">
        <f aca="false">IF(AA37&gt;0.1,AA38/(AA36+AA35)," ")</f>
        <v>1.31228785708912</v>
      </c>
      <c r="AB39" s="355" t="n">
        <f aca="false">IF(AB37&gt;0.1,AB38/(AB36+AB35)," ")</f>
        <v>1.31229369679758</v>
      </c>
      <c r="AC39" s="355" t="n">
        <f aca="false">IF(AC37&gt;0.1,AC38/(AC36+AC35)," ")</f>
        <v>1.30781714919517</v>
      </c>
      <c r="AD39" s="355" t="n">
        <f aca="false">IF(AD37&gt;0.1,AD38/(AD36+AD35)," ")</f>
        <v>1.31318175165007</v>
      </c>
      <c r="AE39" s="355" t="n">
        <f aca="false">IF(AE37&gt;0.1,AE38/(AE36+AE35)," ")</f>
        <v>1.31231104951959</v>
      </c>
      <c r="AF39" s="355" t="n">
        <f aca="false">IF(AF37&gt;0.1,AF38/(AF36+AF35)," ")</f>
        <v>0.518755434451686</v>
      </c>
    </row>
    <row r="40" customFormat="false" ht="12.75" hidden="false" customHeight="false" outlineLevel="0" collapsed="false">
      <c r="A40" s="349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</row>
    <row r="41" customFormat="false" ht="12.75" hidden="false" customHeight="false" outlineLevel="0" collapsed="false">
      <c r="A41" s="0"/>
      <c r="B41" s="358" t="n">
        <f aca="false">B8</f>
        <v>37256</v>
      </c>
      <c r="C41" s="358" t="n">
        <f aca="false">C8</f>
        <v>37621</v>
      </c>
      <c r="D41" s="358" t="n">
        <f aca="false">D8</f>
        <v>37986</v>
      </c>
      <c r="E41" s="358" t="n">
        <f aca="false">E8</f>
        <v>38352</v>
      </c>
      <c r="F41" s="358" t="n">
        <f aca="false">F8</f>
        <v>38717</v>
      </c>
      <c r="G41" s="358" t="n">
        <f aca="false">G8</f>
        <v>39082</v>
      </c>
      <c r="H41" s="358" t="n">
        <f aca="false">H8</f>
        <v>39447</v>
      </c>
      <c r="I41" s="358" t="n">
        <f aca="false">I8</f>
        <v>39813</v>
      </c>
      <c r="J41" s="358" t="n">
        <f aca="false">J8</f>
        <v>40178</v>
      </c>
      <c r="K41" s="358" t="n">
        <f aca="false">K8</f>
        <v>40543</v>
      </c>
      <c r="L41" s="358" t="n">
        <f aca="false">L8</f>
        <v>40908</v>
      </c>
      <c r="M41" s="358" t="n">
        <f aca="false">M8</f>
        <v>41274</v>
      </c>
      <c r="N41" s="358" t="n">
        <f aca="false">N8</f>
        <v>41639</v>
      </c>
      <c r="O41" s="358" t="n">
        <f aca="false">O8</f>
        <v>42004</v>
      </c>
      <c r="P41" s="358" t="n">
        <f aca="false">P8</f>
        <v>42369</v>
      </c>
      <c r="Q41" s="358" t="n">
        <f aca="false">Q8</f>
        <v>42735</v>
      </c>
      <c r="R41" s="358" t="n">
        <f aca="false">R8</f>
        <v>43100</v>
      </c>
      <c r="S41" s="358" t="n">
        <f aca="false">S8</f>
        <v>43465</v>
      </c>
      <c r="T41" s="358" t="n">
        <f aca="false">T8</f>
        <v>43830</v>
      </c>
      <c r="U41" s="358" t="n">
        <f aca="false">U8</f>
        <v>44196</v>
      </c>
      <c r="V41" s="358" t="n">
        <f aca="false">V8</f>
        <v>44561</v>
      </c>
      <c r="W41" s="358" t="n">
        <f aca="false">W8</f>
        <v>44926</v>
      </c>
      <c r="X41" s="358" t="n">
        <f aca="false">X8</f>
        <v>45291</v>
      </c>
      <c r="Y41" s="358" t="n">
        <f aca="false">Y8</f>
        <v>45657</v>
      </c>
      <c r="Z41" s="358" t="n">
        <f aca="false">Z8</f>
        <v>46022</v>
      </c>
      <c r="AA41" s="358" t="n">
        <f aca="false">AA8</f>
        <v>46387</v>
      </c>
      <c r="AB41" s="358" t="n">
        <f aca="false">AB8</f>
        <v>46752</v>
      </c>
      <c r="AC41" s="358" t="n">
        <f aca="false">AC8</f>
        <v>47118</v>
      </c>
      <c r="AD41" s="358" t="n">
        <f aca="false">AD8</f>
        <v>47483</v>
      </c>
      <c r="AE41" s="358" t="n">
        <f aca="false">AE8</f>
        <v>47848</v>
      </c>
      <c r="AF41" s="358" t="n">
        <f aca="false">AF8</f>
        <v>48213</v>
      </c>
    </row>
    <row r="42" customFormat="false" ht="12.75" hidden="false" customHeight="false" outlineLevel="0" collapsed="false">
      <c r="A42" s="349" t="s">
        <v>336</v>
      </c>
      <c r="B42" s="349" t="n">
        <f aca="false">B37</f>
        <v>11388.9902995017</v>
      </c>
      <c r="C42" s="349" t="n">
        <f aca="false">C37</f>
        <v>11703.3198193429</v>
      </c>
      <c r="D42" s="349" t="n">
        <f aca="false">D37</f>
        <v>12032.8589791081</v>
      </c>
      <c r="E42" s="349" t="n">
        <f aca="false">E37</f>
        <v>12033.4852433825</v>
      </c>
      <c r="F42" s="349" t="n">
        <f aca="false">F37</f>
        <v>11750.3666705369</v>
      </c>
      <c r="G42" s="349" t="n">
        <f aca="false">G37</f>
        <v>11388.2141219542</v>
      </c>
      <c r="H42" s="349" t="n">
        <f aca="false">H37</f>
        <v>10995.2069116169</v>
      </c>
      <c r="I42" s="349" t="n">
        <f aca="false">I37</f>
        <v>10569.8315321285</v>
      </c>
      <c r="J42" s="349" t="n">
        <f aca="false">J37</f>
        <v>10074.9031429864</v>
      </c>
      <c r="K42" s="349" t="n">
        <f aca="false">K37</f>
        <v>9528.50770472841</v>
      </c>
      <c r="L42" s="349" t="n">
        <f aca="false">L37</f>
        <v>8901.12635956455</v>
      </c>
      <c r="M42" s="349" t="n">
        <f aca="false">M37</f>
        <v>8211.85756475487</v>
      </c>
      <c r="N42" s="349" t="n">
        <f aca="false">N37</f>
        <v>7429.74992051794</v>
      </c>
      <c r="O42" s="349" t="n">
        <f aca="false">O37</f>
        <v>6573.55269137137</v>
      </c>
      <c r="P42" s="349" t="n">
        <f aca="false">P37</f>
        <v>5652.54901536476</v>
      </c>
      <c r="Q42" s="349" t="n">
        <f aca="false">Q37</f>
        <v>4662.56573929681</v>
      </c>
      <c r="R42" s="349" t="n">
        <f aca="false">R37</f>
        <v>3601.66193151897</v>
      </c>
      <c r="S42" s="349" t="n">
        <f aca="false">S37</f>
        <v>2463.91965930444</v>
      </c>
      <c r="T42" s="349" t="n">
        <f aca="false">T37</f>
        <v>1245.79422144989</v>
      </c>
      <c r="U42" s="349" t="n">
        <f aca="false">U37</f>
        <v>0</v>
      </c>
      <c r="V42" s="349" t="n">
        <f aca="false">V37</f>
        <v>178.785129050068</v>
      </c>
      <c r="W42" s="349" t="n">
        <f aca="false">W37</f>
        <v>1715.3389023438</v>
      </c>
      <c r="X42" s="349" t="n">
        <f aca="false">X37</f>
        <v>3689.94332754691</v>
      </c>
      <c r="Y42" s="349" t="n">
        <f aca="false">Y37</f>
        <v>5882.28727449289</v>
      </c>
      <c r="Z42" s="349" t="n">
        <f aca="false">Z37</f>
        <v>8307.67438310786</v>
      </c>
      <c r="AA42" s="349" t="n">
        <f aca="false">AA37</f>
        <v>10991.8414478679</v>
      </c>
      <c r="AB42" s="349" t="n">
        <f aca="false">AB37</f>
        <v>13956.4317481079</v>
      </c>
      <c r="AC42" s="349" t="n">
        <f aca="false">AC37</f>
        <v>17228.7246275997</v>
      </c>
      <c r="AD42" s="349" t="n">
        <f aca="false">AD37</f>
        <v>20829.4829561516</v>
      </c>
      <c r="AE42" s="349" t="n">
        <f aca="false">AE37</f>
        <v>24795.0101229182</v>
      </c>
      <c r="AF42" s="349" t="n">
        <f aca="false">AF37</f>
        <v>28784.7035309999</v>
      </c>
    </row>
    <row r="43" customFormat="false" ht="12.75" hidden="false" customHeight="false" outlineLevel="0" collapsed="false">
      <c r="A43" s="349" t="s">
        <v>352</v>
      </c>
      <c r="B43" s="350" t="n">
        <v>0</v>
      </c>
      <c r="C43" s="350" t="n">
        <v>0</v>
      </c>
      <c r="D43" s="350" t="n">
        <v>0</v>
      </c>
      <c r="E43" s="350" t="n">
        <v>0</v>
      </c>
      <c r="F43" s="350" t="n">
        <v>0</v>
      </c>
      <c r="G43" s="350" t="n">
        <v>0</v>
      </c>
      <c r="H43" s="350" t="n">
        <v>0</v>
      </c>
      <c r="I43" s="350" t="n">
        <v>0</v>
      </c>
      <c r="J43" s="350" t="n">
        <v>0</v>
      </c>
      <c r="K43" s="350" t="n">
        <v>0</v>
      </c>
      <c r="L43" s="350" t="n">
        <v>0</v>
      </c>
      <c r="M43" s="350" t="n">
        <v>0</v>
      </c>
      <c r="N43" s="350" t="n">
        <v>0</v>
      </c>
      <c r="O43" s="350" t="n">
        <v>0</v>
      </c>
      <c r="P43" s="350" t="n">
        <v>0</v>
      </c>
      <c r="Q43" s="350" t="n">
        <v>0</v>
      </c>
      <c r="R43" s="350" t="n">
        <v>0</v>
      </c>
      <c r="S43" s="350" t="n">
        <v>0</v>
      </c>
      <c r="T43" s="350" t="n">
        <v>0</v>
      </c>
      <c r="U43" s="350" t="n">
        <v>0</v>
      </c>
      <c r="V43" s="350" t="n">
        <v>0</v>
      </c>
      <c r="W43" s="350" t="n">
        <v>0</v>
      </c>
      <c r="X43" s="350" t="n">
        <v>0</v>
      </c>
      <c r="Y43" s="350" t="n">
        <v>0</v>
      </c>
      <c r="Z43" s="350" t="n">
        <v>0</v>
      </c>
      <c r="AA43" s="350" t="n">
        <v>0</v>
      </c>
      <c r="AB43" s="350" t="n">
        <v>0</v>
      </c>
      <c r="AC43" s="350" t="n">
        <v>0</v>
      </c>
      <c r="AD43" s="350" t="n">
        <v>0</v>
      </c>
      <c r="AE43" s="350" t="n">
        <v>0</v>
      </c>
      <c r="AF43" s="350" t="n">
        <v>0</v>
      </c>
    </row>
    <row r="44" customFormat="false" ht="12.75" hidden="false" customHeight="false" outlineLevel="0" collapsed="false">
      <c r="A44" s="349" t="s">
        <v>354</v>
      </c>
      <c r="B44" s="351" t="n">
        <f aca="false">B42*(B41-B32)/365.25*$E$64</f>
        <v>234.0940305914</v>
      </c>
      <c r="C44" s="351" t="n">
        <f aca="false">C42*(C41-C32)/(C41-B41)*$E$64</f>
        <v>240.71965354443</v>
      </c>
      <c r="D44" s="351" t="n">
        <f aca="false">D42*(D41-D32)/(D41-C41)*$E$64</f>
        <v>247.497777494942</v>
      </c>
      <c r="E44" s="351" t="n">
        <f aca="false">E42*(E41-E32)/(E41-D41)*$E$64</f>
        <v>246.834400176761</v>
      </c>
      <c r="F44" s="351" t="n">
        <f aca="false">F42*(F41-F32)/(F41-E41)*$E$64</f>
        <v>241.687336380975</v>
      </c>
      <c r="G44" s="351" t="n">
        <f aca="false">G42*(G41-G32)/(G41-F41)*$E$64</f>
        <v>234.238404165948</v>
      </c>
      <c r="H44" s="351" t="n">
        <f aca="false">H42*(H41-H32)/(H41-G41)*$E$64</f>
        <v>226.154838051956</v>
      </c>
      <c r="I44" s="351" t="n">
        <f aca="false">I42*(I41-I32)/(I41-H41)*$E$64</f>
        <v>216.811503353701</v>
      </c>
      <c r="J44" s="351" t="n">
        <f aca="false">J42*(J41-J32)/(J41-I41)*$E$64</f>
        <v>207.225576290329</v>
      </c>
      <c r="K44" s="351" t="n">
        <f aca="false">K42*(K41-K32)/(K41-J41)*$E$64</f>
        <v>195.987045460955</v>
      </c>
      <c r="L44" s="351" t="n">
        <f aca="false">L42*(L41-L32)/(L41-K41)*$E$64</f>
        <v>183.082756560085</v>
      </c>
      <c r="M44" s="351" t="n">
        <f aca="false">M42*(M41-M32)/(M41-L41)*$E$64</f>
        <v>168.444045539337</v>
      </c>
      <c r="N44" s="351" t="n">
        <f aca="false">N42*(N41-N32)/(N41-M41)*$E$64</f>
        <v>152.818760351475</v>
      </c>
      <c r="O44" s="351" t="n">
        <f aca="false">O42*(O41-O32)/(O41-N41)*$E$64</f>
        <v>135.208073508139</v>
      </c>
      <c r="P44" s="351" t="n">
        <f aca="false">P42*(P41-P32)/(P41-O41)*$E$64</f>
        <v>116.264415706441</v>
      </c>
      <c r="Q44" s="351" t="n">
        <f aca="false">Q42*(Q41-Q32)/(Q41-P41)*$E$64</f>
        <v>95.6399242835268</v>
      </c>
      <c r="R44" s="351" t="n">
        <f aca="false">R42*(R41-R32)/(R41-Q41)*$E$64</f>
        <v>74.0807587695306</v>
      </c>
      <c r="S44" s="351" t="n">
        <f aca="false">S42*(S41-S32)/(S41-R41)*$E$64</f>
        <v>50.6791146362413</v>
      </c>
      <c r="T44" s="351" t="n">
        <f aca="false">T42*(T41-T32)/(T41-S41)*$E$64</f>
        <v>25.6241099110549</v>
      </c>
      <c r="U44" s="351" t="n">
        <f aca="false">U42*(U41-U32)/(U41-T41)*$E$64</f>
        <v>0</v>
      </c>
      <c r="V44" s="351" t="n">
        <f aca="false">V42*(V41-V32)/(V41-U41)*$E$64</f>
        <v>3.67734070231064</v>
      </c>
      <c r="W44" s="351" t="n">
        <f aca="false">W42*(W41-W32)/(W41-V41)*$E$64</f>
        <v>35.2819364639619</v>
      </c>
      <c r="X44" s="351" t="n">
        <f aca="false">X42*(X41-X32)/(X41-W41)*$E$64</f>
        <v>75.8965740590643</v>
      </c>
      <c r="Y44" s="351" t="n">
        <f aca="false">Y42*(Y41-Y32)/(Y41-X41)*$E$64</f>
        <v>120.659212331299</v>
      </c>
      <c r="Z44" s="351" t="n">
        <f aca="false">Z42*(Z41-Z32)/(Z41-Y41)*$E$64</f>
        <v>170.876343647075</v>
      </c>
      <c r="AA44" s="351" t="n">
        <f aca="false">AA42*(AA41-AA32)/(AA41-Z41)*$E$64</f>
        <v>226.085615533886</v>
      </c>
      <c r="AB44" s="351" t="n">
        <f aca="false">AB42*(AB41-AB32)/(AB41-AA41)*$E$64</f>
        <v>287.062770818959</v>
      </c>
      <c r="AC44" s="351" t="n">
        <f aca="false">AC42*(AC41-AC32)/(AC41-AB41)*$E$64</f>
        <v>353.40068344728</v>
      </c>
      <c r="AD44" s="351" t="n">
        <f aca="false">AD42*(AD41-AD32)/(AD41-AC41)*$E$64</f>
        <v>428.431077515913</v>
      </c>
      <c r="AE44" s="351" t="n">
        <f aca="false">AE42*(AE41-AE32)/(AE41-AD41)*$E$64</f>
        <v>509.995995884407</v>
      </c>
      <c r="AF44" s="351" t="n">
        <f aca="false">AF42*(AF41-AF32)/(AF41-AE41)*$E$64</f>
        <v>1587.49611528501</v>
      </c>
    </row>
    <row r="45" customFormat="false" ht="12.75" hidden="false" customHeight="false" outlineLevel="0" collapsed="false">
      <c r="A45" s="349" t="s">
        <v>340</v>
      </c>
      <c r="B45" s="349" t="n">
        <f aca="false">B42+B43</f>
        <v>11388.9902995017</v>
      </c>
      <c r="C45" s="349" t="n">
        <f aca="false">C42+C43</f>
        <v>11703.3198193429</v>
      </c>
      <c r="D45" s="349" t="n">
        <f aca="false">D42+D43</f>
        <v>12032.8589791081</v>
      </c>
      <c r="E45" s="349" t="n">
        <f aca="false">E42+E43</f>
        <v>12033.4852433825</v>
      </c>
      <c r="F45" s="349" t="n">
        <f aca="false">F42+F43</f>
        <v>11750.3666705369</v>
      </c>
      <c r="G45" s="349" t="n">
        <f aca="false">G42+G43</f>
        <v>11388.2141219542</v>
      </c>
      <c r="H45" s="349" t="n">
        <f aca="false">H42+H43</f>
        <v>10995.2069116169</v>
      </c>
      <c r="I45" s="349" t="n">
        <f aca="false">I42+I43</f>
        <v>10569.8315321285</v>
      </c>
      <c r="J45" s="349" t="n">
        <f aca="false">J42+J43</f>
        <v>10074.9031429864</v>
      </c>
      <c r="K45" s="349" t="n">
        <f aca="false">K42+K43</f>
        <v>9528.50770472841</v>
      </c>
      <c r="L45" s="349" t="n">
        <f aca="false">L42+L43</f>
        <v>8901.12635956455</v>
      </c>
      <c r="M45" s="349" t="n">
        <f aca="false">M42+M43</f>
        <v>8211.85756475487</v>
      </c>
      <c r="N45" s="349" t="n">
        <f aca="false">N42+N43</f>
        <v>7429.74992051794</v>
      </c>
      <c r="O45" s="349" t="n">
        <f aca="false">O42+O43</f>
        <v>6573.55269137137</v>
      </c>
      <c r="P45" s="349" t="n">
        <f aca="false">P42+P43</f>
        <v>5652.54901536476</v>
      </c>
      <c r="Q45" s="349" t="n">
        <f aca="false">Q42+Q43</f>
        <v>4662.56573929681</v>
      </c>
      <c r="R45" s="349" t="n">
        <f aca="false">R42+R43</f>
        <v>3601.66193151897</v>
      </c>
      <c r="S45" s="349" t="n">
        <f aca="false">S42+S43</f>
        <v>2463.91965930444</v>
      </c>
      <c r="T45" s="349" t="n">
        <f aca="false">T42+T43</f>
        <v>1245.79422144989</v>
      </c>
      <c r="U45" s="349" t="n">
        <f aca="false">U42+U43</f>
        <v>0</v>
      </c>
      <c r="V45" s="349" t="n">
        <f aca="false">V42+V43</f>
        <v>178.785129050068</v>
      </c>
      <c r="W45" s="349" t="n">
        <f aca="false">W42+W43</f>
        <v>1715.3389023438</v>
      </c>
      <c r="X45" s="349" t="n">
        <f aca="false">X42+X43</f>
        <v>3689.94332754691</v>
      </c>
      <c r="Y45" s="349" t="n">
        <f aca="false">Y42+Y43</f>
        <v>5882.28727449289</v>
      </c>
      <c r="Z45" s="349" t="n">
        <f aca="false">Z42+Z43</f>
        <v>8307.67438310786</v>
      </c>
      <c r="AA45" s="349" t="n">
        <f aca="false">AA42+AA43</f>
        <v>10991.8414478679</v>
      </c>
      <c r="AB45" s="349" t="n">
        <f aca="false">AB42+AB43</f>
        <v>13956.4317481079</v>
      </c>
      <c r="AC45" s="349" t="n">
        <f aca="false">AC42+AC43</f>
        <v>17228.7246275997</v>
      </c>
      <c r="AD45" s="349" t="n">
        <f aca="false">AD42+AD43</f>
        <v>20829.4829561516</v>
      </c>
      <c r="AE45" s="349" t="n">
        <f aca="false">AE42+AE43</f>
        <v>24795.0101229182</v>
      </c>
      <c r="AF45" s="349" t="n">
        <f aca="false">AF42+AF43</f>
        <v>28784.7035309999</v>
      </c>
    </row>
    <row r="46" customFormat="false" ht="12.75" hidden="false" customHeight="false" outlineLevel="0" collapsed="false">
      <c r="A46" s="349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customFormat="false" ht="12.75" hidden="false" customHeight="false" outlineLevel="0" collapsed="false">
      <c r="A47" s="359" t="s">
        <v>357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60"/>
      <c r="AH47" s="360"/>
      <c r="AI47" s="360"/>
      <c r="AJ47" s="360"/>
      <c r="AK47" s="360"/>
      <c r="AL47" s="360"/>
      <c r="AM47" s="360"/>
    </row>
    <row r="48" customFormat="false" ht="12.75" hidden="false" customHeight="false" outlineLevel="0" collapsed="false">
      <c r="A48" s="349" t="s">
        <v>358</v>
      </c>
      <c r="B48" s="352" t="n">
        <f aca="false">SUM(B35,B26)</f>
        <v>-163.642127524468</v>
      </c>
      <c r="C48" s="352" t="n">
        <f aca="false">SUM(C35,C26)</f>
        <v>-314.329519841231</v>
      </c>
      <c r="D48" s="352" t="n">
        <f aca="false">SUM(D35,D26)</f>
        <v>-329.539159765185</v>
      </c>
      <c r="E48" s="352" t="n">
        <f aca="false">SUM(E35,E26)</f>
        <v>-0.626264274453206</v>
      </c>
      <c r="F48" s="352" t="n">
        <f aca="false">SUM(F35,F26)</f>
        <v>283.118572845633</v>
      </c>
      <c r="G48" s="352" t="n">
        <f aca="false">SUM(G35,G26)</f>
        <v>362.152548582733</v>
      </c>
      <c r="H48" s="352" t="n">
        <f aca="false">SUM(H35,H26)</f>
        <v>393.007210337271</v>
      </c>
      <c r="I48" s="352" t="n">
        <f aca="false">SUM(I35,I26)</f>
        <v>425.375379488429</v>
      </c>
      <c r="J48" s="352" t="n">
        <f aca="false">SUM(J35,J26)</f>
        <v>494.928389142109</v>
      </c>
      <c r="K48" s="352" t="n">
        <f aca="false">SUM(K35,K26)</f>
        <v>546.395438257949</v>
      </c>
      <c r="L48" s="352" t="n">
        <f aca="false">SUM(L35,L26)</f>
        <v>627.381345163854</v>
      </c>
      <c r="M48" s="352" t="n">
        <f aca="false">SUM(M35,M26)</f>
        <v>689.268794809679</v>
      </c>
      <c r="N48" s="352" t="n">
        <f aca="false">SUM(N35,N26)</f>
        <v>782.107644236935</v>
      </c>
      <c r="O48" s="352" t="n">
        <f aca="false">SUM(O35,O26)</f>
        <v>856.197229146568</v>
      </c>
      <c r="P48" s="352" t="n">
        <f aca="false">SUM(P35,P26)</f>
        <v>921.003676006607</v>
      </c>
      <c r="Q48" s="352" t="n">
        <f aca="false">SUM(Q35,Q26)</f>
        <v>989.983276067953</v>
      </c>
      <c r="R48" s="352" t="n">
        <f aca="false">SUM(R35,R26)</f>
        <v>1060.90380777784</v>
      </c>
      <c r="S48" s="352" t="n">
        <f aca="false">SUM(S35,S26)</f>
        <v>1137.74227221453</v>
      </c>
      <c r="T48" s="352" t="n">
        <f aca="false">SUM(T35,T26)</f>
        <v>1218.12543785455</v>
      </c>
      <c r="U48" s="352" t="n">
        <f aca="false">SUM(U35,U26)</f>
        <v>1245.79422144989</v>
      </c>
      <c r="V48" s="352" t="n">
        <f aca="false">SUM(V35,V26)</f>
        <v>-178.785129050068</v>
      </c>
      <c r="W48" s="352" t="n">
        <f aca="false">SUM(W35,W26)</f>
        <v>-1536.55377329373</v>
      </c>
      <c r="X48" s="352" t="n">
        <f aca="false">SUM(X35,X26)</f>
        <v>-1974.60442520311</v>
      </c>
      <c r="Y48" s="352" t="n">
        <f aca="false">SUM(Y35,Y26)</f>
        <v>-2192.34394694598</v>
      </c>
      <c r="Z48" s="352" t="n">
        <f aca="false">SUM(Z35,Z26)</f>
        <v>-2425.38710861497</v>
      </c>
      <c r="AA48" s="352" t="n">
        <f aca="false">SUM(AA35,AA26)</f>
        <v>-2684.16706476004</v>
      </c>
      <c r="AB48" s="352" t="n">
        <f aca="false">SUM(AB35,AB26)</f>
        <v>-2964.59030024001</v>
      </c>
      <c r="AC48" s="352" t="n">
        <f aca="false">SUM(AC35,AC26)</f>
        <v>-3272.29287949178</v>
      </c>
      <c r="AD48" s="352" t="n">
        <f aca="false">SUM(AD35,AD26)</f>
        <v>-3600.75832855195</v>
      </c>
      <c r="AE48" s="352" t="n">
        <f aca="false">SUM(AE35,AE26)</f>
        <v>-3965.52716676657</v>
      </c>
      <c r="AF48" s="352" t="n">
        <f aca="false">SUM(AF35,AF26)</f>
        <v>-3989.69340808168</v>
      </c>
      <c r="AG48" s="360"/>
      <c r="AH48" s="360"/>
      <c r="AI48" s="360"/>
      <c r="AJ48" s="360"/>
      <c r="AK48" s="360"/>
      <c r="AL48" s="360"/>
      <c r="AM48" s="360"/>
    </row>
    <row r="49" customFormat="false" ht="12.75" hidden="false" customHeight="false" outlineLevel="0" collapsed="false">
      <c r="A49" s="359" t="s">
        <v>293</v>
      </c>
      <c r="B49" s="351" t="n">
        <f aca="false">B36</f>
        <v>387.931436826235</v>
      </c>
      <c r="C49" s="351" t="n">
        <f aca="false">C27+C36+B44</f>
        <v>945.745038230173</v>
      </c>
      <c r="D49" s="351" t="n">
        <f aca="false">D27+D36+C44</f>
        <v>972.147555805822</v>
      </c>
      <c r="E49" s="351" t="n">
        <f aca="false">E27+E36+D44</f>
        <v>993.413410151838</v>
      </c>
      <c r="F49" s="351" t="n">
        <f aca="false">F27+F36+E44</f>
        <v>986.280783903917</v>
      </c>
      <c r="G49" s="351" t="n">
        <f aca="false">G27+G36+F44</f>
        <v>962.013337683865</v>
      </c>
      <c r="H49" s="351" t="n">
        <f aca="false">H27+H36+G44</f>
        <v>931.512220030539</v>
      </c>
      <c r="I49" s="351" t="n">
        <f aca="false">I27+I36+H44</f>
        <v>899.138893249786</v>
      </c>
      <c r="J49" s="351" t="n">
        <f aca="false">J27+J36+I44</f>
        <v>861.328191683039</v>
      </c>
      <c r="K49" s="351" t="n">
        <f aca="false">K27+K36+J44</f>
        <v>820.062057931247</v>
      </c>
      <c r="L49" s="351" t="n">
        <f aca="false">L27+L36+K44</f>
        <v>773.345963896059</v>
      </c>
      <c r="M49" s="351" t="n">
        <f aca="false">M27+M36+L44</f>
        <v>720.924373820173</v>
      </c>
      <c r="N49" s="351" t="n">
        <f aca="false">N27+N36+M44</f>
        <v>661.122382244288</v>
      </c>
      <c r="O49" s="351" t="n">
        <f aca="false">O27+O36+N44</f>
        <v>595.57168858274</v>
      </c>
      <c r="P49" s="351" t="n">
        <f aca="false">P27+P36+O44</f>
        <v>523.626201132721</v>
      </c>
      <c r="Q49" s="351" t="n">
        <f aca="false">Q27+Q36+P44</f>
        <v>446.653589753422</v>
      </c>
      <c r="R49" s="351" t="n">
        <f aca="false">R27+R36+Q44</f>
        <v>362.876473885815</v>
      </c>
      <c r="S49" s="351" t="n">
        <f aca="false">S27+S36+R44</f>
        <v>274.0671695893</v>
      </c>
      <c r="T49" s="351" t="n">
        <f aca="false">T27+T36+S44</f>
        <v>178.579883057564</v>
      </c>
      <c r="U49" s="351" t="n">
        <f aca="false">U27+U36+T44</f>
        <v>76.5028112976969</v>
      </c>
      <c r="V49" s="351" t="n">
        <f aca="false">V27+V36+U44</f>
        <v>3.62262453683363</v>
      </c>
      <c r="W49" s="351" t="n">
        <f aca="false">W27+W36+V44</f>
        <v>45.8832966079674</v>
      </c>
      <c r="X49" s="351" t="n">
        <f aca="false">X27+X36+W44</f>
        <v>181.517924628949</v>
      </c>
      <c r="Y49" s="351" t="n">
        <f aca="false">Y27+Y36+X44</f>
        <v>348.935220308639</v>
      </c>
      <c r="Z49" s="351" t="n">
        <f aca="false">Z27+Z36+Y44</f>
        <v>534.068770924582</v>
      </c>
      <c r="AA49" s="351" t="n">
        <f aca="false">AA27+AA36+Z44</f>
        <v>739.732886468861</v>
      </c>
      <c r="AB49" s="351" t="n">
        <f aca="false">AB27+AB36+AA44</f>
        <v>966.846437651192</v>
      </c>
      <c r="AC49" s="351" t="n">
        <f aca="false">AC27+AC36+AB44</f>
        <v>1218.33296132399</v>
      </c>
      <c r="AD49" s="351" t="n">
        <f aca="false">AD27+AD36+AC44</f>
        <v>1493.2632184427</v>
      </c>
      <c r="AE49" s="351" t="n">
        <f aca="false">AE27+AE36+AD44</f>
        <v>1798.68823906358</v>
      </c>
      <c r="AF49" s="351" t="n">
        <f aca="false">AF27+AF36+AE44</f>
        <v>1204.48193541614</v>
      </c>
      <c r="AG49" s="360"/>
      <c r="AH49" s="360"/>
      <c r="AI49" s="360"/>
      <c r="AJ49" s="360"/>
      <c r="AK49" s="360"/>
      <c r="AL49" s="360"/>
      <c r="AM49" s="360"/>
    </row>
    <row r="50" customFormat="false" ht="12.75" hidden="false" customHeight="false" outlineLevel="0" collapsed="false">
      <c r="A50" s="360" t="s">
        <v>359</v>
      </c>
      <c r="B50" s="360" t="n">
        <f aca="false">SUM(B48:B49)</f>
        <v>224.289309301766</v>
      </c>
      <c r="C50" s="360" t="n">
        <f aca="false">SUM(C48:C49)</f>
        <v>631.415518388943</v>
      </c>
      <c r="D50" s="360" t="n">
        <f aca="false">SUM(D48:D49)</f>
        <v>642.608396040637</v>
      </c>
      <c r="E50" s="360" t="n">
        <f aca="false">SUM(E48:E49)</f>
        <v>992.787145877385</v>
      </c>
      <c r="F50" s="360" t="n">
        <f aca="false">SUM(F48:F49)</f>
        <v>1269.39935674955</v>
      </c>
      <c r="G50" s="360" t="n">
        <f aca="false">SUM(G48:G49)</f>
        <v>1324.1658862666</v>
      </c>
      <c r="H50" s="360" t="n">
        <f aca="false">SUM(H48:H49)</f>
        <v>1324.51943036781</v>
      </c>
      <c r="I50" s="360" t="n">
        <f aca="false">SUM(I48:I49)</f>
        <v>1324.51427273822</v>
      </c>
      <c r="J50" s="360" t="n">
        <f aca="false">SUM(J48:J49)</f>
        <v>1356.25658082515</v>
      </c>
      <c r="K50" s="360" t="n">
        <f aca="false">SUM(K48:K49)</f>
        <v>1366.4574961892</v>
      </c>
      <c r="L50" s="360" t="n">
        <f aca="false">SUM(L48:L49)</f>
        <v>1400.72730905991</v>
      </c>
      <c r="M50" s="360" t="n">
        <f aca="false">SUM(M48:M49)</f>
        <v>1410.19316862985</v>
      </c>
      <c r="N50" s="360" t="n">
        <f aca="false">SUM(N48:N49)</f>
        <v>1443.23002648122</v>
      </c>
      <c r="O50" s="360" t="n">
        <f aca="false">SUM(O48:O49)</f>
        <v>1451.76891772931</v>
      </c>
      <c r="P50" s="360" t="n">
        <f aca="false">SUM(P48:P49)</f>
        <v>1444.62987713933</v>
      </c>
      <c r="Q50" s="360" t="n">
        <f aca="false">SUM(Q48:Q49)</f>
        <v>1436.63686582137</v>
      </c>
      <c r="R50" s="360" t="n">
        <f aca="false">SUM(R48:R49)</f>
        <v>1423.78028166366</v>
      </c>
      <c r="S50" s="360" t="n">
        <f aca="false">SUM(S48:S49)</f>
        <v>1411.80944180383</v>
      </c>
      <c r="T50" s="360" t="n">
        <f aca="false">SUM(T48:T49)</f>
        <v>1396.70532091212</v>
      </c>
      <c r="U50" s="360" t="n">
        <f aca="false">SUM(U48:U49)</f>
        <v>1322.29703274759</v>
      </c>
      <c r="V50" s="360" t="n">
        <f aca="false">SUM(V48:V49)</f>
        <v>-175.162504513234</v>
      </c>
      <c r="W50" s="360" t="n">
        <f aca="false">SUM(W48:W49)</f>
        <v>-1490.67047668577</v>
      </c>
      <c r="X50" s="360" t="n">
        <f aca="false">SUM(X48:X49)</f>
        <v>-1793.08650057416</v>
      </c>
      <c r="Y50" s="360" t="n">
        <f aca="false">SUM(Y48:Y49)</f>
        <v>-1843.40872663734</v>
      </c>
      <c r="Z50" s="360" t="n">
        <f aca="false">SUM(Z48:Z49)</f>
        <v>-1891.31833769039</v>
      </c>
      <c r="AA50" s="360" t="n">
        <f aca="false">SUM(AA48:AA49)</f>
        <v>-1944.43417829118</v>
      </c>
      <c r="AB50" s="360" t="n">
        <f aca="false">SUM(AB48:AB49)</f>
        <v>-1997.74386258882</v>
      </c>
      <c r="AC50" s="360" t="n">
        <f aca="false">SUM(AC48:AC49)</f>
        <v>-2053.95991816778</v>
      </c>
      <c r="AD50" s="360" t="n">
        <f aca="false">SUM(AD48:AD49)</f>
        <v>-2107.49511010924</v>
      </c>
      <c r="AE50" s="360" t="n">
        <f aca="false">SUM(AE48:AE49)</f>
        <v>-2166.83892770298</v>
      </c>
      <c r="AF50" s="360" t="n">
        <f aca="false">SUM(AF48:AF49)</f>
        <v>-2785.21147266554</v>
      </c>
      <c r="AG50" s="360"/>
      <c r="AH50" s="360"/>
      <c r="AI50" s="360"/>
      <c r="AJ50" s="360"/>
      <c r="AK50" s="360"/>
      <c r="AL50" s="360"/>
      <c r="AM50" s="360"/>
    </row>
    <row r="51" customFormat="false" ht="12.75" hidden="false" customHeight="false" outlineLevel="0" collapsed="false">
      <c r="A51" s="360"/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0"/>
      <c r="AK51" s="360"/>
      <c r="AL51" s="360"/>
      <c r="AM51" s="360"/>
    </row>
    <row r="52" customFormat="false" ht="12.75" hidden="false" customHeight="false" outlineLevel="0" collapsed="false">
      <c r="A52" s="361" t="s">
        <v>360</v>
      </c>
      <c r="B52" s="362" t="n">
        <f aca="false">IF(B33&gt;0.1,(B38+B29)/B50," ")</f>
        <v>1.30000000000001</v>
      </c>
      <c r="C52" s="362" t="n">
        <f aca="false">IF(C33&gt;0.1,(C38+C29)/C50," ")</f>
        <v>1.3</v>
      </c>
      <c r="D52" s="362" t="n">
        <f aca="false">IF(D33&gt;0.1,(D38+D29)/D50," ")</f>
        <v>1.3</v>
      </c>
      <c r="E52" s="362" t="n">
        <f aca="false">IF(E33&gt;0.1,(E38+E29)/E50," ")</f>
        <v>1.3</v>
      </c>
      <c r="F52" s="362" t="n">
        <f aca="false">IF(F33&gt;0.1,(F38+F29)/F50," ")</f>
        <v>1.3</v>
      </c>
      <c r="G52" s="362" t="n">
        <f aca="false">IF(G33&gt;0.1,(G38+G29)/G50," ")</f>
        <v>1.3</v>
      </c>
      <c r="H52" s="362" t="n">
        <f aca="false">IF(H33&gt;0.1,(H38+H29)/H50," ")</f>
        <v>1.3</v>
      </c>
      <c r="I52" s="362" t="n">
        <f aca="false">IF(I33&gt;0.1,(I38+I29)/I50," ")</f>
        <v>1.3</v>
      </c>
      <c r="J52" s="362" t="n">
        <f aca="false">IF(J33&gt;0.1,(J38+J29)/J50," ")</f>
        <v>1.3</v>
      </c>
      <c r="K52" s="362" t="n">
        <f aca="false">IF(K33&gt;0.1,(K38+K29)/K50," ")</f>
        <v>1.3</v>
      </c>
      <c r="L52" s="362" t="n">
        <f aca="false">IF(L33&gt;0.1,(L38+L29)/L50," ")</f>
        <v>1.3</v>
      </c>
      <c r="M52" s="362" t="n">
        <f aca="false">IF(M33&gt;0.1,(M38+M29)/M50," ")</f>
        <v>1.3</v>
      </c>
      <c r="N52" s="362" t="n">
        <f aca="false">IF(N33&gt;0.1,(N38+N29)/N50," ")</f>
        <v>1.3</v>
      </c>
      <c r="O52" s="362" t="n">
        <f aca="false">IF(O33&gt;0.1,(O38+O29)/O50," ")</f>
        <v>1.3</v>
      </c>
      <c r="P52" s="363" t="n">
        <f aca="false">IF(P33&gt;0.1,(P38+P29)/P50," ")</f>
        <v>1.3</v>
      </c>
      <c r="Q52" s="362" t="n">
        <f aca="false">IF(Q33&gt;0.1,(Q38+Q29)/Q50," ")</f>
        <v>1.3</v>
      </c>
      <c r="R52" s="362" t="n">
        <f aca="false">IF(R33&gt;0.1,(R38+R29)/R50," ")</f>
        <v>1.3</v>
      </c>
      <c r="S52" s="362" t="n">
        <f aca="false">IF(S33&gt;0.1,(S38+S29)/S50," ")</f>
        <v>1.3</v>
      </c>
      <c r="T52" s="362" t="n">
        <f aca="false">IF(T33&gt;0.1,(T38+T29)/T50," ")</f>
        <v>1.3</v>
      </c>
      <c r="U52" s="362" t="n">
        <f aca="false">IF(U33&gt;0.1,(U38+U29)/U50," ")</f>
        <v>1.35698773935063</v>
      </c>
      <c r="V52" s="362" t="n">
        <f aca="false">IF(V33&gt;0.1,(V38+V29)/V50," ")</f>
        <v>1.3</v>
      </c>
      <c r="W52" s="362" t="n">
        <f aca="false">IF(W33&gt;0.1,(W38+W29)/W50," ")</f>
        <v>1.3</v>
      </c>
      <c r="X52" s="362" t="n">
        <f aca="false">IF(X33&gt;0.1,(X38+X29)/X50," ")</f>
        <v>1.3</v>
      </c>
      <c r="Y52" s="362" t="n">
        <f aca="false">IF(Y33&gt;0.1,(Y38+Y29)/Y50," ")</f>
        <v>1.3</v>
      </c>
      <c r="Z52" s="362" t="n">
        <f aca="false">IF(Z33&gt;0.1,(Z38+Z29)/Z50," ")</f>
        <v>1.3</v>
      </c>
      <c r="AA52" s="362" t="n">
        <f aca="false">IF(AA33&gt;0.1,(AA38+AA29)/AA50," ")</f>
        <v>1.3</v>
      </c>
      <c r="AB52" s="362" t="n">
        <f aca="false">IF(AB33&gt;0.1,(AB38+AB29)/AB50," ")</f>
        <v>1.3</v>
      </c>
      <c r="AC52" s="362" t="n">
        <f aca="false">IF(AC33&gt;0.1,(AC38+AC29)/AC50," ")</f>
        <v>1.3</v>
      </c>
      <c r="AD52" s="362" t="n">
        <f aca="false">IF(AD33&gt;0.1,(AD38+AD29)/AD50," ")</f>
        <v>1.3</v>
      </c>
      <c r="AE52" s="362" t="n">
        <f aca="false">IF(AE33&gt;0.1,(AE38+AE29)/AE50," ")</f>
        <v>1.3</v>
      </c>
      <c r="AF52" s="363" t="n">
        <f aca="false">IF(AF33&gt;0.1,(AF38+AF29)/AF50," ")</f>
        <v>1.3</v>
      </c>
      <c r="AG52" s="334"/>
      <c r="AH52" s="334"/>
      <c r="AI52" s="334"/>
      <c r="AJ52" s="334"/>
      <c r="AK52" s="334"/>
      <c r="AL52" s="334"/>
      <c r="AM52" s="334"/>
    </row>
    <row r="53" customFormat="false" ht="12.75" hidden="false" customHeight="false" outlineLevel="0" collapsed="false">
      <c r="A53" s="364"/>
      <c r="B53" s="365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34"/>
      <c r="AH53" s="334"/>
      <c r="AI53" s="334"/>
      <c r="AJ53" s="334"/>
      <c r="AK53" s="334"/>
      <c r="AL53" s="334"/>
      <c r="AM53" s="334"/>
    </row>
    <row r="54" customFormat="false" ht="12.75" hidden="false" customHeight="false" outlineLevel="0" collapsed="false">
      <c r="A54" s="364"/>
      <c r="B54" s="365"/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34"/>
      <c r="AH54" s="334"/>
      <c r="AI54" s="334"/>
      <c r="AJ54" s="334"/>
      <c r="AK54" s="334"/>
      <c r="AL54" s="334"/>
      <c r="AM54" s="334"/>
    </row>
    <row r="55" customFormat="false" ht="12.75" hidden="false" customHeight="false" outlineLevel="0" collapsed="false">
      <c r="A55" s="359" t="s">
        <v>361</v>
      </c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</row>
    <row r="56" customFormat="false" ht="12.75" hidden="false" customHeight="false" outlineLevel="0" collapsed="false">
      <c r="A56" s="349" t="s">
        <v>358</v>
      </c>
      <c r="B56" s="352" t="n">
        <f aca="false">B35+B26</f>
        <v>-163.642127524468</v>
      </c>
      <c r="C56" s="352" t="n">
        <f aca="false">C35+C26</f>
        <v>-314.329519841231</v>
      </c>
      <c r="D56" s="352" t="n">
        <f aca="false">D35+D26</f>
        <v>-329.539159765185</v>
      </c>
      <c r="E56" s="352" t="n">
        <f aca="false">E35+E26</f>
        <v>-0.626264274453206</v>
      </c>
      <c r="F56" s="352" t="n">
        <f aca="false">F35+F26</f>
        <v>283.118572845633</v>
      </c>
      <c r="G56" s="352" t="n">
        <f aca="false">G35+G26</f>
        <v>362.152548582733</v>
      </c>
      <c r="H56" s="352" t="n">
        <f aca="false">H35+H26</f>
        <v>393.007210337271</v>
      </c>
      <c r="I56" s="352" t="n">
        <f aca="false">I35+I26</f>
        <v>425.375379488429</v>
      </c>
      <c r="J56" s="352" t="n">
        <f aca="false">J35+J26</f>
        <v>494.928389142109</v>
      </c>
      <c r="K56" s="352" t="n">
        <f aca="false">K35+K26</f>
        <v>546.395438257949</v>
      </c>
      <c r="L56" s="352" t="n">
        <f aca="false">L35+L26</f>
        <v>627.381345163854</v>
      </c>
      <c r="M56" s="352" t="n">
        <f aca="false">M35+M26</f>
        <v>689.268794809679</v>
      </c>
      <c r="N56" s="352" t="n">
        <f aca="false">N35+N26</f>
        <v>782.107644236935</v>
      </c>
      <c r="O56" s="352" t="n">
        <f aca="false">O35+O26</f>
        <v>856.197229146568</v>
      </c>
      <c r="P56" s="352" t="n">
        <f aca="false">P35+P26</f>
        <v>921.003676006607</v>
      </c>
      <c r="Q56" s="352" t="n">
        <f aca="false">Q35+Q26</f>
        <v>989.983276067953</v>
      </c>
      <c r="R56" s="352" t="n">
        <f aca="false">R35+R26</f>
        <v>1060.90380777784</v>
      </c>
      <c r="S56" s="352" t="n">
        <f aca="false">S35+S26</f>
        <v>1137.74227221453</v>
      </c>
      <c r="T56" s="352" t="n">
        <f aca="false">T35+T26</f>
        <v>1218.12543785455</v>
      </c>
      <c r="U56" s="352" t="n">
        <f aca="false">U35+U26</f>
        <v>1245.79422144989</v>
      </c>
      <c r="V56" s="352" t="n">
        <f aca="false">V35+V26</f>
        <v>-178.785129050068</v>
      </c>
      <c r="W56" s="352" t="n">
        <f aca="false">W35+W26</f>
        <v>-1536.55377329373</v>
      </c>
      <c r="X56" s="352" t="n">
        <f aca="false">X35+X26</f>
        <v>-1974.60442520311</v>
      </c>
      <c r="Y56" s="352" t="n">
        <f aca="false">Y35+Y26</f>
        <v>-2192.34394694598</v>
      </c>
      <c r="Z56" s="352" t="n">
        <f aca="false">Z35+Z26</f>
        <v>-2425.38710861497</v>
      </c>
      <c r="AA56" s="352" t="n">
        <f aca="false">AA35+AA26</f>
        <v>-2684.16706476004</v>
      </c>
      <c r="AB56" s="352" t="n">
        <f aca="false">AB35+AB26</f>
        <v>-2964.59030024001</v>
      </c>
      <c r="AC56" s="352" t="n">
        <f aca="false">AC35+AC26</f>
        <v>-3272.29287949178</v>
      </c>
      <c r="AD56" s="352" t="n">
        <f aca="false">AD35+AD26</f>
        <v>-3600.75832855195</v>
      </c>
      <c r="AE56" s="352" t="n">
        <f aca="false">AE35+AE26</f>
        <v>-3965.52716676657</v>
      </c>
      <c r="AF56" s="352" t="n">
        <f aca="false">AF35+AF26</f>
        <v>-3989.69340808168</v>
      </c>
    </row>
    <row r="57" customFormat="false" ht="12.75" hidden="false" customHeight="false" outlineLevel="0" collapsed="false">
      <c r="A57" s="359" t="s">
        <v>293</v>
      </c>
      <c r="B57" s="351" t="n">
        <f aca="false">B36+B44+B27</f>
        <v>622.025467417634</v>
      </c>
      <c r="C57" s="351" t="n">
        <f aca="false">C36+C44+C27</f>
        <v>952.370661183203</v>
      </c>
      <c r="D57" s="351" t="n">
        <f aca="false">D36+D44+D27</f>
        <v>978.925679756335</v>
      </c>
      <c r="E57" s="351" t="n">
        <f aca="false">E36+E44+E27</f>
        <v>992.750032833657</v>
      </c>
      <c r="F57" s="351" t="n">
        <f aca="false">F36+F44+F27</f>
        <v>981.133720108131</v>
      </c>
      <c r="G57" s="351" t="n">
        <f aca="false">G36+G44+G27</f>
        <v>954.564405468838</v>
      </c>
      <c r="H57" s="351" t="n">
        <f aca="false">H36+H44+H27</f>
        <v>923.428653916547</v>
      </c>
      <c r="I57" s="351" t="n">
        <f aca="false">I36+I44+I27</f>
        <v>889.795558551531</v>
      </c>
      <c r="J57" s="351" t="n">
        <f aca="false">J36+J44+J27</f>
        <v>851.742264619667</v>
      </c>
      <c r="K57" s="351" t="n">
        <f aca="false">K36+K44+K27</f>
        <v>808.823527101872</v>
      </c>
      <c r="L57" s="351" t="n">
        <f aca="false">L36+L44+L27</f>
        <v>760.441674995189</v>
      </c>
      <c r="M57" s="351" t="n">
        <f aca="false">M36+M44+M27</f>
        <v>706.285662799425</v>
      </c>
      <c r="N57" s="351" t="n">
        <f aca="false">N36+N44+N27</f>
        <v>645.497097056426</v>
      </c>
      <c r="O57" s="351" t="n">
        <f aca="false">O36+O44+O27</f>
        <v>577.961001739403</v>
      </c>
      <c r="P57" s="351" t="n">
        <f aca="false">P36+P44+P27</f>
        <v>504.682543331023</v>
      </c>
      <c r="Q57" s="351" t="n">
        <f aca="false">Q36+Q44+Q27</f>
        <v>426.029098330508</v>
      </c>
      <c r="R57" s="351" t="n">
        <f aca="false">R36+R44+R27</f>
        <v>341.317308371819</v>
      </c>
      <c r="S57" s="351" t="n">
        <f aca="false">S36+S44+S27</f>
        <v>250.66552545601</v>
      </c>
      <c r="T57" s="351" t="n">
        <f aca="false">T36+T44+T27</f>
        <v>153.524878332378</v>
      </c>
      <c r="U57" s="351" t="n">
        <f aca="false">U36+U44+U27</f>
        <v>50.878701386642</v>
      </c>
      <c r="V57" s="351" t="n">
        <f aca="false">V36+V44+V27</f>
        <v>7.29996523914427</v>
      </c>
      <c r="W57" s="351" t="n">
        <f aca="false">W36+W44+W27</f>
        <v>77.4878923696187</v>
      </c>
      <c r="X57" s="351" t="n">
        <f aca="false">X36+X44+X27</f>
        <v>222.132562224051</v>
      </c>
      <c r="Y57" s="351" t="n">
        <f aca="false">Y36+Y44+Y27</f>
        <v>393.697858580873</v>
      </c>
      <c r="Z57" s="351" t="n">
        <f aca="false">Z36+Z44+Z27</f>
        <v>584.285902240358</v>
      </c>
      <c r="AA57" s="351" t="n">
        <f aca="false">AA36+AA44+AA27</f>
        <v>794.942158355672</v>
      </c>
      <c r="AB57" s="351" t="n">
        <f aca="false">AB36+AB44+AB27</f>
        <v>1027.82359293627</v>
      </c>
      <c r="AC57" s="351" t="n">
        <f aca="false">AC36+AC44+AC27</f>
        <v>1284.67087395231</v>
      </c>
      <c r="AD57" s="351" t="n">
        <f aca="false">AD36+AD44+AD27</f>
        <v>1568.29361251134</v>
      </c>
      <c r="AE57" s="351" t="n">
        <f aca="false">AE36+AE44+AE27</f>
        <v>1880.25315743207</v>
      </c>
      <c r="AF57" s="351" t="n">
        <f aca="false">AF36+AF44+AF27</f>
        <v>2281.98205481674</v>
      </c>
    </row>
    <row r="58" customFormat="false" ht="12.75" hidden="false" customHeight="false" outlineLevel="0" collapsed="false">
      <c r="A58" s="360" t="s">
        <v>359</v>
      </c>
      <c r="B58" s="360" t="n">
        <f aca="false">SUM(B56:B57)</f>
        <v>458.383339893166</v>
      </c>
      <c r="C58" s="360" t="n">
        <f aca="false">SUM(C56:C57)</f>
        <v>638.041141341973</v>
      </c>
      <c r="D58" s="360" t="n">
        <f aca="false">SUM(D56:D57)</f>
        <v>649.38651999115</v>
      </c>
      <c r="E58" s="360" t="n">
        <f aca="false">SUM(E56:E57)</f>
        <v>992.123768559204</v>
      </c>
      <c r="F58" s="360" t="n">
        <f aca="false">SUM(F56:F57)</f>
        <v>1264.25229295376</v>
      </c>
      <c r="G58" s="360" t="n">
        <f aca="false">SUM(G56:G57)</f>
        <v>1316.71695405157</v>
      </c>
      <c r="H58" s="360" t="n">
        <f aca="false">SUM(H56:H57)</f>
        <v>1316.43586425382</v>
      </c>
      <c r="I58" s="360" t="n">
        <f aca="false">SUM(I56:I57)</f>
        <v>1315.17093803996</v>
      </c>
      <c r="J58" s="360" t="n">
        <f aca="false">SUM(J56:J57)</f>
        <v>1346.67065376178</v>
      </c>
      <c r="K58" s="360" t="n">
        <f aca="false">SUM(K56:K57)</f>
        <v>1355.21896535982</v>
      </c>
      <c r="L58" s="360" t="n">
        <f aca="false">SUM(L56:L57)</f>
        <v>1387.82302015904</v>
      </c>
      <c r="M58" s="360" t="n">
        <f aca="false">SUM(M56:M57)</f>
        <v>1395.5544576091</v>
      </c>
      <c r="N58" s="360" t="n">
        <f aca="false">SUM(N56:N57)</f>
        <v>1427.60474129336</v>
      </c>
      <c r="O58" s="360" t="n">
        <f aca="false">SUM(O56:O57)</f>
        <v>1434.15823088597</v>
      </c>
      <c r="P58" s="360" t="n">
        <f aca="false">SUM(P56:P57)</f>
        <v>1425.68621933763</v>
      </c>
      <c r="Q58" s="360" t="n">
        <f aca="false">SUM(Q56:Q57)</f>
        <v>1416.01237439846</v>
      </c>
      <c r="R58" s="360" t="n">
        <f aca="false">SUM(R56:R57)</f>
        <v>1402.22111614966</v>
      </c>
      <c r="S58" s="360" t="n">
        <f aca="false">SUM(S56:S57)</f>
        <v>1388.40779767054</v>
      </c>
      <c r="T58" s="360" t="n">
        <f aca="false">SUM(T56:T57)</f>
        <v>1371.65031618693</v>
      </c>
      <c r="U58" s="360" t="n">
        <f aca="false">SUM(U56:U57)</f>
        <v>1296.67292283653</v>
      </c>
      <c r="V58" s="360" t="n">
        <f aca="false">SUM(V56:V57)</f>
        <v>-171.485163810923</v>
      </c>
      <c r="W58" s="360" t="n">
        <f aca="false">SUM(W56:W57)</f>
        <v>-1459.06588092412</v>
      </c>
      <c r="X58" s="360" t="n">
        <f aca="false">SUM(X56:X57)</f>
        <v>-1752.47186297906</v>
      </c>
      <c r="Y58" s="360" t="n">
        <f aca="false">SUM(Y56:Y57)</f>
        <v>-1798.64608836511</v>
      </c>
      <c r="Z58" s="360" t="n">
        <f aca="false">SUM(Z56:Z57)</f>
        <v>-1841.10120637461</v>
      </c>
      <c r="AA58" s="360" t="n">
        <f aca="false">SUM(AA56:AA57)</f>
        <v>-1889.22490640436</v>
      </c>
      <c r="AB58" s="360" t="n">
        <f aca="false">SUM(AB56:AB57)</f>
        <v>-1936.76670730375</v>
      </c>
      <c r="AC58" s="360" t="n">
        <f aca="false">SUM(AC56:AC57)</f>
        <v>-1987.62200553946</v>
      </c>
      <c r="AD58" s="360" t="n">
        <f aca="false">SUM(AD56:AD57)</f>
        <v>-2032.46471604061</v>
      </c>
      <c r="AE58" s="360" t="n">
        <f aca="false">SUM(AE56:AE57)</f>
        <v>-2085.27400933449</v>
      </c>
      <c r="AF58" s="360" t="n">
        <f aca="false">SUM(AF56:AF57)</f>
        <v>-1707.71135326494</v>
      </c>
      <c r="AG58" s="360"/>
      <c r="AH58" s="360"/>
      <c r="AI58" s="360"/>
      <c r="AJ58" s="360"/>
      <c r="AK58" s="360"/>
      <c r="AL58" s="360"/>
      <c r="AM58" s="360"/>
    </row>
    <row r="59" customFormat="false" ht="12.75" hidden="false" customHeight="false" outlineLevel="0" collapsed="false">
      <c r="A59" s="364"/>
      <c r="B59" s="365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34"/>
      <c r="AH59" s="334"/>
      <c r="AI59" s="334"/>
      <c r="AJ59" s="334"/>
      <c r="AK59" s="334"/>
      <c r="AL59" s="334"/>
      <c r="AM59" s="334"/>
    </row>
    <row r="60" customFormat="false" ht="12.75" hidden="false" customHeight="false" outlineLevel="0" collapsed="false">
      <c r="A60" s="364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34"/>
      <c r="AH60" s="334"/>
      <c r="AI60" s="334"/>
      <c r="AJ60" s="334"/>
      <c r="AK60" s="334"/>
      <c r="AL60" s="334"/>
      <c r="AM60" s="334"/>
    </row>
    <row r="61" customFormat="false" ht="12.75" hidden="false" customHeight="false" outlineLevel="0" collapsed="false">
      <c r="B61" s="368" t="s">
        <v>362</v>
      </c>
      <c r="C61" s="368"/>
      <c r="D61" s="368"/>
      <c r="E61" s="368"/>
      <c r="F61" s="334"/>
      <c r="K61" s="334"/>
      <c r="L61" s="334"/>
      <c r="M61" s="369"/>
      <c r="N61" s="334"/>
      <c r="O61" s="334"/>
      <c r="P61" s="7"/>
      <c r="Q61" s="7"/>
      <c r="R61" s="7"/>
      <c r="S61" s="334"/>
      <c r="T61" s="334"/>
      <c r="U61" s="334"/>
      <c r="V61" s="334"/>
      <c r="X61" s="334"/>
      <c r="Z61" s="334"/>
      <c r="AA61" s="1"/>
      <c r="AB61" s="334"/>
      <c r="AD61" s="334"/>
      <c r="AF61" s="334"/>
      <c r="AG61" s="334"/>
      <c r="AH61" s="334"/>
      <c r="AI61" s="334"/>
      <c r="AJ61" s="334"/>
      <c r="AK61" s="334"/>
      <c r="AL61" s="334"/>
      <c r="AM61" s="334"/>
    </row>
    <row r="62" customFormat="false" ht="12.75" hidden="false" customHeight="false" outlineLevel="0" collapsed="false">
      <c r="B62" s="370" t="s">
        <v>363</v>
      </c>
      <c r="C62" s="110"/>
      <c r="D62" s="110"/>
      <c r="E62" s="371" t="n">
        <f aca="false">Assumptions!G37</f>
        <v>0.065</v>
      </c>
      <c r="F62" s="364"/>
      <c r="K62" s="364"/>
      <c r="L62" s="364"/>
      <c r="M62" s="364"/>
      <c r="N62" s="364"/>
      <c r="O62" s="364"/>
      <c r="P62" s="7"/>
      <c r="Q62" s="7"/>
      <c r="R62" s="7"/>
      <c r="S62" s="334"/>
      <c r="T62" s="334"/>
      <c r="U62" s="334"/>
      <c r="V62" s="334"/>
      <c r="X62" s="334"/>
      <c r="Z62" s="334"/>
      <c r="AA62" s="1"/>
      <c r="AB62" s="334"/>
      <c r="AD62" s="334"/>
      <c r="AF62" s="334"/>
      <c r="AG62" s="334"/>
      <c r="AH62" s="334"/>
      <c r="AI62" s="334"/>
      <c r="AJ62" s="334"/>
      <c r="AK62" s="334"/>
      <c r="AL62" s="334"/>
      <c r="AM62" s="334"/>
    </row>
    <row r="63" customFormat="false" ht="12.75" hidden="false" customHeight="false" outlineLevel="0" collapsed="false">
      <c r="B63" s="117" t="s">
        <v>195</v>
      </c>
      <c r="C63" s="31"/>
      <c r="D63" s="31"/>
      <c r="E63" s="372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349"/>
      <c r="B64" s="121" t="s">
        <v>364</v>
      </c>
      <c r="C64" s="122"/>
      <c r="D64" s="122"/>
      <c r="E64" s="373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374" t="s">
        <v>365</v>
      </c>
      <c r="C65" s="110"/>
      <c r="D65" s="110"/>
      <c r="E65" s="375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76" t="s">
        <v>366</v>
      </c>
      <c r="C66" s="31"/>
      <c r="D66" s="31"/>
      <c r="E66" s="377" t="n">
        <f aca="false">B77</f>
        <v>-53.2122322759549</v>
      </c>
      <c r="AA66" s="1"/>
      <c r="AB66" s="1"/>
    </row>
    <row r="67" customFormat="false" ht="12.75" hidden="false" customHeight="false" outlineLevel="0" collapsed="false">
      <c r="B67" s="121" t="s">
        <v>367</v>
      </c>
      <c r="C67" s="122"/>
      <c r="D67" s="122"/>
      <c r="E67" s="378" t="n">
        <f aca="false">B19</f>
        <v>11225.3481719772</v>
      </c>
      <c r="AA67" s="1"/>
      <c r="AB67" s="1"/>
    </row>
    <row r="68" customFormat="false" ht="12.75" hidden="false" customHeight="false" outlineLevel="0" collapsed="false">
      <c r="B68" s="109" t="s">
        <v>62</v>
      </c>
      <c r="C68" s="110"/>
      <c r="D68" s="110" t="s">
        <v>368</v>
      </c>
      <c r="E68" s="379" t="n">
        <f aca="false">AVERAGE(B52:AF52)</f>
        <v>1.3018383141726</v>
      </c>
      <c r="AA68" s="1"/>
      <c r="AB68" s="1"/>
    </row>
    <row r="69" customFormat="false" ht="12.75" hidden="false" customHeight="false" outlineLevel="0" collapsed="false">
      <c r="B69" s="380"/>
      <c r="C69" s="122"/>
      <c r="D69" s="122" t="s">
        <v>369</v>
      </c>
      <c r="E69" s="381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49"/>
      <c r="AA70" s="1"/>
      <c r="AB70" s="1"/>
    </row>
    <row r="71" customFormat="false" ht="12.75" hidden="false" customHeight="false" outlineLevel="0" collapsed="false">
      <c r="B71" s="349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2" t="s">
        <v>370</v>
      </c>
      <c r="B74" s="224" t="n">
        <v>0</v>
      </c>
      <c r="C74" s="224" t="n">
        <f aca="false">(C32-$B$32)/365.25</f>
        <v>0.999315537303217</v>
      </c>
      <c r="D74" s="224" t="n">
        <f aca="false">(D32-$B$32)/365.25</f>
        <v>1.99863107460643</v>
      </c>
      <c r="E74" s="224" t="n">
        <f aca="false">(E32-$B$32)/365.25</f>
        <v>3.00068446269678</v>
      </c>
      <c r="F74" s="224" t="n">
        <f aca="false">(F32-$B$32)/365.25</f>
        <v>4</v>
      </c>
      <c r="G74" s="224" t="n">
        <f aca="false">(G32-$B$32)/365.25</f>
        <v>4.99931553730322</v>
      </c>
      <c r="H74" s="224" t="n">
        <f aca="false">(H32-$B$32)/365.25</f>
        <v>5.99863107460643</v>
      </c>
      <c r="I74" s="224" t="n">
        <f aca="false">(I32-$B$32)/365.25</f>
        <v>7.00068446269678</v>
      </c>
      <c r="J74" s="224" t="n">
        <f aca="false">(J32-$B$32)/365.25</f>
        <v>8</v>
      </c>
      <c r="K74" s="224" t="n">
        <f aca="false">(K32-$B$32)/365.25</f>
        <v>8.99931553730322</v>
      </c>
      <c r="L74" s="224" t="n">
        <f aca="false">(L32-$B$32)/365.25</f>
        <v>9.99863107460643</v>
      </c>
      <c r="M74" s="224" t="n">
        <f aca="false">(M32-$B$32)/365.25</f>
        <v>11.0006844626968</v>
      </c>
      <c r="N74" s="224" t="n">
        <f aca="false">(N32-$B$32)/365.25</f>
        <v>12</v>
      </c>
      <c r="O74" s="224" t="n">
        <f aca="false">(O32-$B$32)/365.25</f>
        <v>12.9993155373032</v>
      </c>
      <c r="P74" s="224" t="n">
        <f aca="false">(P32-$B$32)/365.25</f>
        <v>13.9986310746064</v>
      </c>
      <c r="Q74" s="224" t="n">
        <f aca="false">(Q32-$B$32)/365.25</f>
        <v>15.0006844626968</v>
      </c>
      <c r="R74" s="224" t="n">
        <f aca="false">(R32-$B$32)/365.25</f>
        <v>16</v>
      </c>
      <c r="S74" s="224" t="n">
        <f aca="false">(S32-$B$32)/365.25</f>
        <v>16.9993155373032</v>
      </c>
      <c r="T74" s="224" t="n">
        <f aca="false">(T32-$B$32)/365.25</f>
        <v>17.9986310746064</v>
      </c>
      <c r="U74" s="224" t="n">
        <f aca="false">(U32-$B$32)/365.25</f>
        <v>19.0006844626968</v>
      </c>
      <c r="V74" s="224" t="n">
        <f aca="false">(V32-$B$32)/365.25</f>
        <v>20</v>
      </c>
      <c r="W74" s="224" t="n">
        <f aca="false">(W32-$B$32)/365.25</f>
        <v>20.9993155373032</v>
      </c>
      <c r="X74" s="224" t="n">
        <f aca="false">(X32-$B$32)/365.25</f>
        <v>21.9986310746064</v>
      </c>
      <c r="Y74" s="224" t="n">
        <f aca="false">(Y32-$B$32)/365.25</f>
        <v>23.0006844626968</v>
      </c>
      <c r="Z74" s="224" t="n">
        <f aca="false">(Z32-$B$32)/365.25</f>
        <v>24</v>
      </c>
      <c r="AA74" s="224" t="n">
        <f aca="false">(AA32-$B$32)/365.25</f>
        <v>24.9993155373032</v>
      </c>
      <c r="AB74" s="224" t="n">
        <f aca="false">(AB32-$B$32)/365.25</f>
        <v>25.9986310746064</v>
      </c>
      <c r="AC74" s="224" t="n">
        <f aca="false">(AC32-$B$32)/365.25</f>
        <v>27.0006844626968</v>
      </c>
      <c r="AD74" s="224" t="n">
        <f aca="false">(AD32-$B$32)/365.25</f>
        <v>28</v>
      </c>
      <c r="AE74" s="224" t="n">
        <f aca="false">(AE32-$B$32)/365.25</f>
        <v>28.9993155373032</v>
      </c>
      <c r="AF74" s="224" t="n">
        <f aca="false">(AF32-$B$32)/365.25</f>
        <v>29.5797399041752</v>
      </c>
      <c r="AG74" s="382"/>
      <c r="AH74" s="382"/>
      <c r="AI74" s="382"/>
      <c r="AJ74" s="382"/>
      <c r="AK74" s="382"/>
      <c r="AL74" s="382"/>
      <c r="AM74" s="382"/>
      <c r="AN74" s="382"/>
      <c r="AO74" s="382"/>
      <c r="AP74" s="382"/>
      <c r="AQ74" s="382"/>
    </row>
    <row r="75" customFormat="false" ht="12.75" hidden="false" customHeight="false" outlineLevel="0" collapsed="false">
      <c r="B75" s="224" t="n">
        <f aca="false">(C23-$B$32)/365.25</f>
        <v>0.498288843258042</v>
      </c>
      <c r="C75" s="224" t="n">
        <f aca="false">(D23-$B$32)/365.25</f>
        <v>1.49760438056126</v>
      </c>
      <c r="D75" s="224" t="n">
        <f aca="false">(E23-$B$32)/365.25</f>
        <v>2.49965776865161</v>
      </c>
      <c r="E75" s="224" t="n">
        <f aca="false">(F23-$B$32)/365.25</f>
        <v>3.49897330595483</v>
      </c>
      <c r="F75" s="224" t="n">
        <f aca="false">(G23-$B$32)/365.25</f>
        <v>4.49828884325804</v>
      </c>
      <c r="G75" s="224" t="n">
        <f aca="false">(H23-$B$32)/365.25</f>
        <v>5.49760438056126</v>
      </c>
      <c r="H75" s="224" t="n">
        <f aca="false">(I23-$B$32)/365.25</f>
        <v>6.49965776865161</v>
      </c>
      <c r="I75" s="224" t="n">
        <f aca="false">(J23-$B$32)/365.25</f>
        <v>7.49897330595483</v>
      </c>
      <c r="J75" s="224" t="n">
        <f aca="false">(K23-$B$32)/365.25</f>
        <v>8.49828884325804</v>
      </c>
      <c r="K75" s="224" t="n">
        <f aca="false">(L23-$B$32)/365.25</f>
        <v>9.49760438056126</v>
      </c>
      <c r="L75" s="224" t="n">
        <f aca="false">(M23-$B$32)/365.25</f>
        <v>10.4996577686516</v>
      </c>
      <c r="M75" s="224" t="n">
        <f aca="false">(N23-$B$32)/365.25</f>
        <v>11.4989733059548</v>
      </c>
      <c r="N75" s="224" t="n">
        <f aca="false">(O23-$B$32)/365.25</f>
        <v>12.498288843258</v>
      </c>
      <c r="O75" s="224" t="n">
        <f aca="false">(P23-$B$32)/365.25</f>
        <v>13.4976043805613</v>
      </c>
      <c r="P75" s="224" t="n">
        <f aca="false">(Q23-$B$32)/365.25</f>
        <v>14.4996577686516</v>
      </c>
      <c r="Q75" s="224" t="n">
        <f aca="false">(R23-$B$32)/365.25</f>
        <v>15.4989733059548</v>
      </c>
      <c r="R75" s="224" t="n">
        <f aca="false">(S23-$B$32)/365.25</f>
        <v>16.498288843258</v>
      </c>
      <c r="S75" s="224" t="n">
        <f aca="false">(T23-$B$32)/365.25</f>
        <v>17.4976043805613</v>
      </c>
      <c r="T75" s="224" t="n">
        <f aca="false">(U23-$B$32)/365.25</f>
        <v>18.4996577686516</v>
      </c>
      <c r="U75" s="224" t="n">
        <f aca="false">(V23-$B$32)/365.25</f>
        <v>19.4989733059548</v>
      </c>
      <c r="V75" s="224" t="n">
        <f aca="false">(W23-$B$32)/365.25</f>
        <v>20.498288843258</v>
      </c>
      <c r="W75" s="224" t="n">
        <f aca="false">(X23-$B$32)/365.25</f>
        <v>21.4976043805613</v>
      </c>
      <c r="X75" s="224" t="n">
        <f aca="false">(Y23-$B$32)/365.25</f>
        <v>22.4996577686516</v>
      </c>
      <c r="Y75" s="224" t="n">
        <f aca="false">(Z23-$B$32)/365.25</f>
        <v>23.4989733059548</v>
      </c>
      <c r="Z75" s="224" t="n">
        <f aca="false">(AA23-$B$32)/365.25</f>
        <v>24.498288843258</v>
      </c>
      <c r="AA75" s="224" t="n">
        <f aca="false">(AB23-$B$32)/365.25</f>
        <v>25.4976043805613</v>
      </c>
      <c r="AB75" s="224" t="n">
        <f aca="false">(AC23-$B$32)/365.25</f>
        <v>26.4996577686516</v>
      </c>
      <c r="AC75" s="224" t="n">
        <f aca="false">(AD23-$B$32)/365.25</f>
        <v>27.4989733059548</v>
      </c>
      <c r="AD75" s="224" t="n">
        <f aca="false">(AE23-$B$32)/365.25</f>
        <v>28.498288843258</v>
      </c>
      <c r="AE75" s="224" t="n">
        <f aca="false">(AF23-$B$32)/365.25</f>
        <v>29.4976043805613</v>
      </c>
      <c r="AF75" s="224" t="n">
        <f aca="false">(AG23-$B$32)/365.25</f>
        <v>29.5797399041752</v>
      </c>
      <c r="AG75" s="224"/>
      <c r="AH75" s="224"/>
      <c r="AI75" s="224"/>
      <c r="AJ75" s="224"/>
      <c r="AK75" s="224"/>
      <c r="AL75" s="224"/>
      <c r="AM75" s="224"/>
      <c r="AN75" s="224"/>
      <c r="AO75" s="349"/>
      <c r="AP75" s="349"/>
    </row>
    <row r="76" customFormat="false" ht="12.75" hidden="false" customHeight="false" outlineLevel="0" collapsed="false"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349"/>
      <c r="AP76" s="349"/>
    </row>
    <row r="77" customFormat="false" ht="12.75" hidden="false" customHeight="false" outlineLevel="0" collapsed="false">
      <c r="A77" s="252" t="s">
        <v>371</v>
      </c>
      <c r="B77" s="383" t="n">
        <f aca="false">(SUMPRODUCT(B74:AF74,B35:AF35)+SUMPRODUCT(B75:AF75,B26:AF26))/E67</f>
        <v>-53.2122322759549</v>
      </c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</row>
    <row r="78" customFormat="false" ht="12.75" hidden="false" customHeight="false" outlineLevel="0" collapsed="false"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84"/>
      <c r="AB78" s="384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85"/>
      <c r="AB79" s="385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2000-02-11T21:34:30Z</cp:lastPrinted>
  <cp:revision>0</cp:revision>
  <dc:subject/>
  <dc:title/>
</cp:coreProperties>
</file>