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externalReferences>
    <externalReference r:id="rId6"/>
    <externalReference r:id="rId7"/>
  </externalReferenc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7" authorId="0">
      <text>
        <r>
          <rPr>
            <b val="true"/>
            <sz val="8"/>
            <color rgb="FF000000"/>
            <rFont val="Tahoma"/>
            <family val="0"/>
          </rPr>
          <t xml:space="preserve">Hide columns D through G for presentation purposes</t>
        </r>
      </text>
      <mc:AlternateContent>
        <mc:Choice Requires="v2">
          <commentPr autoFill="true" autoScale="false" colHidden="true" locked="false" rowHidden="false" textHAlign="justify" textVAlign="top">
            <anchor moveWithCells="false" sizeWithCells="false">
              <xdr:from>
                <xdr:col>7</xdr:col>
                <xdr:colOff>16</xdr:colOff>
                <xdr:row>5</xdr:row>
                <xdr:rowOff>7</xdr:rowOff>
              </xdr:from>
              <xdr:to>
                <xdr:col>9</xdr:col>
                <xdr:colOff>13</xdr:colOff>
                <xdr:row>9</xdr:row>
                <xdr:rowOff>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5" authorId="0">
      <text>
        <r>
          <rPr>
            <b val="true"/>
            <sz val="8"/>
            <color rgb="FF000000"/>
            <rFont val="Tahoma"/>
            <family val="0"/>
          </rPr>
          <t xml:space="preserve">kbooth:
</t>
        </r>
        <r>
          <rPr>
            <sz val="8"/>
            <color rgb="FF000000"/>
            <rFont val="Tahoma"/>
            <family val="0"/>
          </rPr>
          <t xml:space="preserve">Based on headcount used for PEP Purposes</t>
        </r>
      </text>
      <mc:AlternateContent>
        <mc:Choice Requires="v2">
          <commentPr autoFill="true" autoScale="false" colHidden="false" locked="false" rowHidden="false" textHAlign="justify" textVAlign="top">
            <anchor moveWithCells="false" sizeWithCells="false">
              <xdr:from>
                <xdr:col>2</xdr:col>
                <xdr:colOff>16</xdr:colOff>
                <xdr:row>13</xdr:row>
                <xdr:rowOff>11</xdr:rowOff>
              </xdr:from>
              <xdr:to>
                <xdr:col>3</xdr:col>
                <xdr:colOff>60</xdr:colOff>
                <xdr:row>16</xdr:row>
                <xdr:rowOff>32</xdr:rowOff>
              </xdr:to>
            </anchor>
          </commentPr>
        </mc:Choice>
        <mc:Fallback/>
      </mc:AlternateContent>
    </comment>
    <comment ref="B26" authorId="0">
      <text>
        <r>
          <rPr>
            <b val="true"/>
            <sz val="8"/>
            <color rgb="FF000000"/>
            <rFont val="Tahoma"/>
            <family val="0"/>
          </rPr>
          <t xml:space="preserve">kbooth:
</t>
        </r>
        <r>
          <rPr>
            <sz val="8"/>
            <color rgb="FF000000"/>
            <rFont val="Tahoma"/>
            <family val="0"/>
          </rPr>
          <t xml:space="preserve">Based on headcount used for PEP Purposes</t>
        </r>
      </text>
      <mc:AlternateContent>
        <mc:Choice Requires="v2">
          <commentPr autoFill="true" autoScale="false" colHidden="false" locked="false" rowHidden="false" textHAlign="justify" textVAlign="top">
            <anchor moveWithCells="false" sizeWithCells="false">
              <xdr:from>
                <xdr:col>2</xdr:col>
                <xdr:colOff>16</xdr:colOff>
                <xdr:row>24</xdr:row>
                <xdr:rowOff>11</xdr:rowOff>
              </xdr:from>
              <xdr:to>
                <xdr:col>3</xdr:col>
                <xdr:colOff>62</xdr:colOff>
                <xdr:row>28</xdr:row>
                <xdr:rowOff>9</xdr:rowOff>
              </xdr:to>
            </anchor>
          </commentPr>
        </mc:Choice>
        <mc:Fallback/>
      </mc:AlternateContent>
    </comment>
  </commentList>
</comments>
</file>

<file path=xl/sharedStrings.xml><?xml version="1.0" encoding="utf-8"?>
<sst xmlns="http://schemas.openxmlformats.org/spreadsheetml/2006/main" count="196" uniqueCount="155">
  <si>
    <t xml:space="preserve">2002 Plan Summary - Human Resources Consolidated</t>
  </si>
  <si>
    <t xml:space="preserve">'01 Fcst vs '02 Plan</t>
  </si>
  <si>
    <t xml:space="preserve">Actuals</t>
  </si>
  <si>
    <t xml:space="preserve">Forecast</t>
  </si>
  <si>
    <t xml:space="preserve">Plan</t>
  </si>
  <si>
    <t xml:space="preserve">Fav/(Unfav)</t>
  </si>
  <si>
    <t xml:space="preserve">Jan-July</t>
  </si>
  <si>
    <t xml:space="preserve">Aug-Dec</t>
  </si>
  <si>
    <t xml:space="preserve">  Direct Expenses</t>
  </si>
  <si>
    <t xml:space="preserve">Compensation/Taxes and Benefits</t>
  </si>
  <si>
    <t xml:space="preserve">a)</t>
  </si>
  <si>
    <t xml:space="preserve">Employee Expenses</t>
  </si>
  <si>
    <t xml:space="preserve">     Recruiting and Relocations</t>
  </si>
  <si>
    <t xml:space="preserve">     Communications (Cell Phones, Pagers, etc.)</t>
  </si>
  <si>
    <t xml:space="preserve">     Conferences and Training</t>
  </si>
  <si>
    <t xml:space="preserve">     Club Dues</t>
  </si>
  <si>
    <t xml:space="preserve">     Employee Memberships &amp; Dues</t>
  </si>
  <si>
    <t xml:space="preserve">     Tuition Reimbursement</t>
  </si>
  <si>
    <t xml:space="preserve">     Employee Entertainment</t>
  </si>
  <si>
    <t xml:space="preserve">     Overtime/Working Meals</t>
  </si>
  <si>
    <t xml:space="preserve">     Other Employee Expenses</t>
  </si>
  <si>
    <t xml:space="preserve">Travel/Entertainment</t>
  </si>
  <si>
    <t xml:space="preserve">     Travel - Air</t>
  </si>
  <si>
    <t xml:space="preserve">     Travel - Lodging</t>
  </si>
  <si>
    <t xml:space="preserve">     Travel - Meals</t>
  </si>
  <si>
    <t xml:space="preserve">     Travel - Other</t>
  </si>
  <si>
    <t xml:space="preserve">     Client Entertainment</t>
  </si>
  <si>
    <t xml:space="preserve">     Customer Meetings</t>
  </si>
  <si>
    <t xml:space="preserve">Consulting</t>
  </si>
  <si>
    <t xml:space="preserve">b)</t>
  </si>
  <si>
    <t xml:space="preserve">     Advertising &amp; Promotions</t>
  </si>
  <si>
    <t xml:space="preserve">     Outside Services Excluding Legal and Tax</t>
  </si>
  <si>
    <t xml:space="preserve">Office</t>
  </si>
  <si>
    <t xml:space="preserve">c)</t>
  </si>
  <si>
    <t xml:space="preserve">     3rd Party Rent</t>
  </si>
  <si>
    <t xml:space="preserve">     Supplies</t>
  </si>
  <si>
    <t xml:space="preserve">     Subscriptions and Periodicals</t>
  </si>
  <si>
    <t xml:space="preserve">     Postage and Freight</t>
  </si>
  <si>
    <t xml:space="preserve">     Corporate Rent</t>
  </si>
  <si>
    <t xml:space="preserve">     Technology</t>
  </si>
  <si>
    <t xml:space="preserve">Controllable Infrastructure</t>
  </si>
  <si>
    <t xml:space="preserve">System Development</t>
  </si>
  <si>
    <t xml:space="preserve">Insurance</t>
  </si>
  <si>
    <r>
      <rPr>
        <b val="true"/>
        <sz val="11"/>
        <rFont val="Arial"/>
        <family val="2"/>
      </rPr>
      <t xml:space="preserve">Analyst Associates</t>
    </r>
    <r>
      <rPr>
        <b val="true"/>
        <sz val="9"/>
        <rFont val="Arial"/>
        <family val="2"/>
      </rPr>
      <t xml:space="preserve"> </t>
    </r>
    <r>
      <rPr>
        <sz val="9"/>
        <rFont val="Arial"/>
        <family val="2"/>
      </rPr>
      <t xml:space="preserve">(Includes Comp, Taxes and Benefits and allocation)</t>
    </r>
  </si>
  <si>
    <t xml:space="preserve">d)</t>
  </si>
  <si>
    <t xml:space="preserve">Other Expense</t>
  </si>
  <si>
    <t xml:space="preserve">     Taxes Other than Income</t>
  </si>
  <si>
    <t xml:space="preserve">     Charitable Contributions</t>
  </si>
  <si>
    <t xml:space="preserve">     Company Membership &amp; Dues</t>
  </si>
  <si>
    <t xml:space="preserve">     Other Expenses (Transportation, Fees &amp; Permits, etc.)</t>
  </si>
  <si>
    <t xml:space="preserve">Outside Legal</t>
  </si>
  <si>
    <t xml:space="preserve">Outside Tax</t>
  </si>
  <si>
    <t xml:space="preserve">Depreciation and Amortization</t>
  </si>
  <si>
    <t xml:space="preserve">e)</t>
  </si>
  <si>
    <t xml:space="preserve">Total Direct Expenses</t>
  </si>
  <si>
    <t xml:space="preserve">Bonus Accrual</t>
  </si>
  <si>
    <t xml:space="preserve">Total Expenses Including Bonus Accrual</t>
  </si>
  <si>
    <t xml:space="preserve">Amounts Billed to Other Business Units</t>
  </si>
  <si>
    <t xml:space="preserve">f)</t>
  </si>
  <si>
    <t xml:space="preserve">Amounts Directed to ENA Commercial Teams</t>
  </si>
  <si>
    <t xml:space="preserve">Expenses Net of Intercompany Billings</t>
  </si>
  <si>
    <t xml:space="preserve">  Headcount</t>
  </si>
  <si>
    <r>
      <rPr>
        <sz val="10"/>
        <rFont val="Arial"/>
        <family val="0"/>
      </rPr>
      <t xml:space="preserve">a) </t>
    </r>
    <r>
      <rPr>
        <b val="true"/>
        <sz val="10"/>
        <rFont val="Arial"/>
        <family val="2"/>
      </rPr>
      <t xml:space="preserve">2001 Plan vs. 2001 Forecast:</t>
    </r>
    <r>
      <rPr>
        <sz val="10"/>
        <rFont val="Arial"/>
        <family val="2"/>
      </rPr>
      <t xml:space="preserve"> Variance is due to an increase in headcount from plan and severance pay for EES employees ($700K).</t>
    </r>
  </si>
  <si>
    <r>
      <rPr>
        <b val="true"/>
        <sz val="10"/>
        <rFont val="Arial"/>
        <family val="2"/>
      </rPr>
      <t xml:space="preserve">2001 Forecast vs. 2002 Plan: </t>
    </r>
    <r>
      <rPr>
        <sz val="10"/>
        <rFont val="Arial"/>
        <family val="0"/>
      </rPr>
      <t xml:space="preserve">Variance is due to a merit increase offset by EES severance pay in 2001 that will not occur in 2002.</t>
    </r>
  </si>
  <si>
    <t xml:space="preserve">b) Variance is because costs for contractors used during the PRC process to staff the PEP help desk are expected to be lower in 2002.</t>
  </si>
  <si>
    <t xml:space="preserve"> </t>
  </si>
  <si>
    <r>
      <rPr>
        <sz val="10"/>
        <rFont val="Arial"/>
        <family val="0"/>
      </rPr>
      <t xml:space="preserve">c) </t>
    </r>
    <r>
      <rPr>
        <b val="true"/>
        <sz val="10"/>
        <rFont val="Arial"/>
        <family val="2"/>
      </rPr>
      <t xml:space="preserve">2001 Plan vs. 2001 Forecast:  </t>
    </r>
    <r>
      <rPr>
        <sz val="10"/>
        <rFont val="Arial"/>
        <family val="2"/>
      </rPr>
      <t xml:space="preserve">Variance is due to the transfer of the Recruitment Tech cost centers and one training cost center from Corporate and one training center from ENW without the associated plan.</t>
    </r>
  </si>
  <si>
    <r>
      <rPr>
        <b val="true"/>
        <sz val="10"/>
        <rFont val="Arial"/>
        <family val="2"/>
      </rPr>
      <t xml:space="preserve">2001 Forecast vs. 2002 Plan: </t>
    </r>
    <r>
      <rPr>
        <sz val="10"/>
        <rFont val="Arial"/>
        <family val="0"/>
      </rPr>
      <t xml:space="preserve">Variance is due to increases in headcount and higher rates for space in the new building offset by lower costs planned in 2002 for PRC promotional items and technology expenses.</t>
    </r>
  </si>
  <si>
    <t xml:space="preserve">d) Variance is due to all costs of analysts and associates being included in compensation for the 2002 plan because they are HR analysts and associates and not part of the corporate A/A program.</t>
  </si>
  <si>
    <t xml:space="preserve">e) Depreciation is for the buildout of the 36th floor, which was completed in 2001.</t>
  </si>
  <si>
    <t xml:space="preserve">f) The variance is due to larger percentages being billed out to other business units (Generalists - $900K, Commercial Resources - $650K, Recruiting - $2.6M, Compensation - $1.6M, Executive - $800K, </t>
  </si>
  <si>
    <t xml:space="preserve">Support Services - $600K).  In addition, a new group, Mergers, Acquisitions &amp; Divestitures has been created and will increase allocations by $500K.  Allocations for the OD&amp;T group have increased </t>
  </si>
  <si>
    <t xml:space="preserve">by $2.5M because, during 2001, chargeouts for classes covered almost all expenses resulting in a 2001 forecast near zero.  However, in 2002, chargeouts are planned to cover only actual </t>
  </si>
  <si>
    <t xml:space="preserve">training costs, with overhead costs being allocated out.  Allocations for Recruiting have decreased because ENA will be allocated costs for recruiters that were borne by ENW in 2001.</t>
  </si>
  <si>
    <t xml:space="preserve">Human Resources Consolidated</t>
  </si>
  <si>
    <t xml:space="preserve">Analysis of I/C Billings</t>
  </si>
  <si>
    <t xml:space="preserve">2001 Forecast</t>
  </si>
  <si>
    <t xml:space="preserve">2002 Plan</t>
  </si>
  <si>
    <t xml:space="preserve">$</t>
  </si>
  <si>
    <t xml:space="preserve">%</t>
  </si>
  <si>
    <t xml:space="preserve">HC</t>
  </si>
  <si>
    <t xml:space="preserve">  APACHI</t>
  </si>
  <si>
    <t xml:space="preserve">  CALME</t>
  </si>
  <si>
    <t xml:space="preserve">  CF-MTBE</t>
  </si>
  <si>
    <t xml:space="preserve">  Citrus</t>
  </si>
  <si>
    <t xml:space="preserve">  CORP</t>
  </si>
  <si>
    <t xml:space="preserve">  EBS</t>
  </si>
  <si>
    <t xml:space="preserve">  ECB</t>
  </si>
  <si>
    <t xml:space="preserve">  EEDC</t>
  </si>
  <si>
    <t xml:space="preserve">  EEL</t>
  </si>
  <si>
    <t xml:space="preserve">  EEOS</t>
  </si>
  <si>
    <t xml:space="preserve">  EES Retail</t>
  </si>
  <si>
    <t xml:space="preserve">  EES Wholesale</t>
  </si>
  <si>
    <t xml:space="preserve">  EFS</t>
  </si>
  <si>
    <t xml:space="preserve">  EGAS</t>
  </si>
  <si>
    <t xml:space="preserve">  EGEP</t>
  </si>
  <si>
    <t xml:space="preserve">  EGF</t>
  </si>
  <si>
    <t xml:space="preserve">  EGM</t>
  </si>
  <si>
    <t xml:space="preserve">  EIM</t>
  </si>
  <si>
    <t xml:space="preserve">  EIP</t>
  </si>
  <si>
    <t xml:space="preserve">  ENA</t>
  </si>
  <si>
    <t xml:space="preserve">  ENW</t>
  </si>
  <si>
    <t xml:space="preserve">  EPI</t>
  </si>
  <si>
    <t xml:space="preserve">  EREC</t>
  </si>
  <si>
    <t xml:space="preserve">  ETS</t>
  </si>
  <si>
    <t xml:space="preserve">  FGT</t>
  </si>
  <si>
    <t xml:space="preserve">  HPLP</t>
  </si>
  <si>
    <t xml:space="preserve">  India</t>
  </si>
  <si>
    <t xml:space="preserve">  NEPCO</t>
  </si>
  <si>
    <t xml:space="preserve">  NNG</t>
  </si>
  <si>
    <t xml:space="preserve">  Northern Plains</t>
  </si>
  <si>
    <t xml:space="preserve">  South America</t>
  </si>
  <si>
    <t xml:space="preserve">  TW</t>
  </si>
  <si>
    <t xml:space="preserve">  Xcelerator</t>
  </si>
  <si>
    <t xml:space="preserve">Total 2001 Forecast Allocations</t>
  </si>
  <si>
    <t xml:space="preserve">Total 2002 Plan Allocations</t>
  </si>
  <si>
    <t xml:space="preserve">Other Business Units</t>
  </si>
  <si>
    <t xml:space="preserve">Net ENA</t>
  </si>
  <si>
    <t xml:space="preserve">Note</t>
  </si>
  <si>
    <t xml:space="preserve">      2002 Plan Direct Expense and allocations to business units include Bonus Accrual.</t>
  </si>
  <si>
    <t xml:space="preserve">Business Unit</t>
  </si>
  <si>
    <t xml:space="preserve">Headcount</t>
  </si>
  <si>
    <t xml:space="preserve">Executive</t>
  </si>
  <si>
    <t xml:space="preserve">Generalist</t>
  </si>
  <si>
    <t xml:space="preserve">Commercial Resources/Staff</t>
  </si>
  <si>
    <t xml:space="preserve">Recruiting</t>
  </si>
  <si>
    <t xml:space="preserve">Comp.</t>
  </si>
  <si>
    <t xml:space="preserve">OD&amp;T</t>
  </si>
  <si>
    <t xml:space="preserve">MAD</t>
  </si>
  <si>
    <t xml:space="preserve">PEP</t>
  </si>
  <si>
    <t xml:space="preserve">Service Connection</t>
  </si>
  <si>
    <t xml:space="preserve">Totals</t>
  </si>
  <si>
    <t xml:space="preserve">PEP Rent Adj.</t>
  </si>
  <si>
    <t xml:space="preserve">Bonus Adj.</t>
  </si>
  <si>
    <t xml:space="preserve">Adj. Total</t>
  </si>
  <si>
    <t xml:space="preserve">EA</t>
  </si>
  <si>
    <t xml:space="preserve">EES Wholesale</t>
  </si>
  <si>
    <t xml:space="preserve">Xcelerator</t>
  </si>
  <si>
    <t xml:space="preserve">EGM</t>
  </si>
  <si>
    <t xml:space="preserve">EIM</t>
  </si>
  <si>
    <t xml:space="preserve">EEOS</t>
  </si>
  <si>
    <t xml:space="preserve">ENW</t>
  </si>
  <si>
    <t xml:space="preserve">EBS</t>
  </si>
  <si>
    <t xml:space="preserve">EES</t>
  </si>
  <si>
    <t xml:space="preserve">CORP (S.W.)</t>
  </si>
  <si>
    <t xml:space="preserve">CORP (EPI)</t>
  </si>
  <si>
    <t xml:space="preserve">CORP (A/A)</t>
  </si>
  <si>
    <t xml:space="preserve">EGAS</t>
  </si>
  <si>
    <t xml:space="preserve">ETS-Allocated</t>
  </si>
  <si>
    <t xml:space="preserve">EEL</t>
  </si>
  <si>
    <t xml:space="preserve">Totals:</t>
  </si>
  <si>
    <t xml:space="preserve">plus ETS</t>
  </si>
  <si>
    <t xml:space="preserve">EWS/CORP/EES</t>
  </si>
  <si>
    <t xml:space="preserve">EWS</t>
  </si>
  <si>
    <t xml:space="preserve">ETS-Direct</t>
  </si>
</sst>
</file>

<file path=xl/styles.xml><?xml version="1.0" encoding="utf-8"?>
<styleSheet xmlns="http://schemas.openxmlformats.org/spreadsheetml/2006/main">
  <numFmts count="13">
    <numFmt numFmtId="164" formatCode="General"/>
    <numFmt numFmtId="165" formatCode="0%"/>
    <numFmt numFmtId="166" formatCode="0.00%"/>
    <numFmt numFmtId="167" formatCode="_(\$* #,##0.00_);_(\$* \(#,##0.00\);_(\$* \-??_);_(@_)"/>
    <numFmt numFmtId="168" formatCode="_(\$* #,##0_);_(\$* \(#,##0\);_(\$* \-??_);_(@_)"/>
    <numFmt numFmtId="169" formatCode="_(* #,##0.00_);_(* \(#,##0.00\);_(* \-??_);_(@_)"/>
    <numFmt numFmtId="170" formatCode="[$-409]#,##0_);[RED]\(#,##0\)"/>
    <numFmt numFmtId="171" formatCode="[$-409]#,##0_);\(#,##0\)"/>
    <numFmt numFmtId="172" formatCode="0"/>
    <numFmt numFmtId="173" formatCode="_(* #,##0_);_(* \(#,##0\);_(* \-??_);_(@_)"/>
    <numFmt numFmtId="174" formatCode="\$#,##0"/>
    <numFmt numFmtId="175" formatCode="0.0%"/>
    <numFmt numFmtId="176" formatCode="#,##0"/>
  </numFmts>
  <fonts count="22">
    <font>
      <sz val="10"/>
      <name val="Arial"/>
      <family val="0"/>
    </font>
    <font>
      <sz val="10"/>
      <name val="Arial"/>
      <family val="0"/>
    </font>
    <font>
      <sz val="10"/>
      <name val="Arial"/>
      <family val="0"/>
    </font>
    <font>
      <sz val="10"/>
      <name val="Arial"/>
      <family val="0"/>
    </font>
    <font>
      <sz val="9"/>
      <name val="Arial"/>
      <family val="2"/>
    </font>
    <font>
      <sz val="10"/>
      <name val="Arial"/>
      <family val="2"/>
    </font>
    <font>
      <b val="true"/>
      <sz val="18"/>
      <name val="Arial"/>
      <family val="2"/>
    </font>
    <font>
      <b val="true"/>
      <sz val="10"/>
      <name val="Arial"/>
      <family val="0"/>
    </font>
    <font>
      <b val="true"/>
      <sz val="9"/>
      <name val="Arial"/>
      <family val="2"/>
    </font>
    <font>
      <sz val="9"/>
      <name val="Arial"/>
      <family val="0"/>
    </font>
    <font>
      <b val="true"/>
      <sz val="9"/>
      <name val="Arial"/>
      <family val="0"/>
    </font>
    <font>
      <sz val="11"/>
      <name val="Arial"/>
      <family val="2"/>
    </font>
    <font>
      <b val="true"/>
      <sz val="11"/>
      <name val="Arial"/>
      <family val="2"/>
    </font>
    <font>
      <b val="true"/>
      <sz val="11"/>
      <color rgb="FF0000FF"/>
      <name val="Arial"/>
      <family val="2"/>
    </font>
    <font>
      <b val="true"/>
      <sz val="11"/>
      <color rgb="FF000000"/>
      <name val="Arial"/>
      <family val="2"/>
    </font>
    <font>
      <sz val="9"/>
      <color rgb="FF0000FF"/>
      <name val="Arial"/>
      <family val="2"/>
    </font>
    <font>
      <b val="true"/>
      <sz val="10"/>
      <name val="Arial"/>
      <family val="2"/>
    </font>
    <font>
      <b val="true"/>
      <sz val="8"/>
      <color rgb="FF000000"/>
      <name val="Tahoma"/>
      <family val="0"/>
    </font>
    <font>
      <b val="true"/>
      <sz val="12"/>
      <name val="Arial"/>
      <family val="2"/>
    </font>
    <font>
      <sz val="12"/>
      <name val="Arial"/>
      <family val="2"/>
    </font>
    <font>
      <sz val="10"/>
      <color rgb="FF000000"/>
      <name val="Arial"/>
      <family val="2"/>
    </font>
    <font>
      <sz val="8"/>
      <color rgb="FF000000"/>
      <name val="Tahoma"/>
      <family val="0"/>
    </font>
  </fonts>
  <fills count="4">
    <fill>
      <patternFill patternType="none"/>
    </fill>
    <fill>
      <patternFill patternType="gray125"/>
    </fill>
    <fill>
      <patternFill patternType="solid">
        <fgColor rgb="FFC0C0C0"/>
        <bgColor rgb="FFCCCCFF"/>
      </patternFill>
    </fill>
    <fill>
      <patternFill patternType="solid">
        <fgColor rgb="FFFFFF00"/>
        <bgColor rgb="FFFFFF00"/>
      </patternFill>
    </fill>
  </fills>
  <borders count="27">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right/>
      <top style="medium"/>
      <bottom style="mediu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medium"/>
      <right style="medium"/>
      <top style="thin"/>
      <bottom style="thin"/>
      <diagonal/>
    </border>
    <border diagonalUp="false" diagonalDown="false">
      <left style="thin"/>
      <right style="thin"/>
      <top style="thin"/>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6" fontId="0" fillId="0" borderId="0" xfId="19" applyFont="true" applyBorder="true" applyAlignment="true" applyProtection="true">
      <alignment horizontal="general" vertical="bottom" textRotation="0" wrapText="false" indent="0" shrinkToFit="false"/>
      <protection locked="true" hidden="false"/>
    </xf>
    <xf numFmtId="166" fontId="5"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2" borderId="1" xfId="0" applyFont="false" applyBorder="true" applyAlignment="false" applyProtection="true">
      <alignment horizontal="general" vertical="bottom" textRotation="0" wrapText="false" indent="0" shrinkToFit="false"/>
      <protection locked="true" hidden="false"/>
    </xf>
    <xf numFmtId="164" fontId="0" fillId="2" borderId="2" xfId="0" applyFont="false" applyBorder="true" applyAlignment="false" applyProtection="true">
      <alignment horizontal="general" vertical="bottom" textRotation="0" wrapText="false" indent="0" shrinkToFit="false"/>
      <protection locked="true" hidden="false"/>
    </xf>
    <xf numFmtId="164" fontId="4" fillId="2" borderId="2" xfId="0" applyFont="true" applyBorder="true" applyAlignment="false" applyProtection="true">
      <alignment horizontal="general" vertical="bottom" textRotation="0" wrapText="false" indent="0" shrinkToFit="false"/>
      <protection locked="true" hidden="false"/>
    </xf>
    <xf numFmtId="164" fontId="0" fillId="2" borderId="3" xfId="0" applyFont="fals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2" borderId="1" xfId="0" applyFont="true" applyBorder="true" applyAlignment="false" applyProtection="true">
      <alignment horizontal="general" vertical="bottom" textRotation="0" wrapText="false" indent="0" shrinkToFit="false"/>
      <protection locked="true" hidden="false"/>
    </xf>
    <xf numFmtId="164" fontId="9" fillId="2" borderId="3" xfId="0" applyFont="true" applyBorder="true" applyAlignment="false" applyProtection="true">
      <alignment horizontal="general" vertical="bottom" textRotation="0" wrapText="false" indent="0" shrinkToFit="false"/>
      <protection locked="true" hidden="false"/>
    </xf>
    <xf numFmtId="164" fontId="8" fillId="2" borderId="2" xfId="0" applyFont="true" applyBorder="tru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bottom" textRotation="0" wrapText="false" indent="0" shrinkToFit="false"/>
      <protection locked="true" hidden="false"/>
    </xf>
    <xf numFmtId="164" fontId="4" fillId="2" borderId="3" xfId="0" applyFont="true" applyBorder="true" applyAlignment="fals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center" vertical="bottom" textRotation="0" wrapText="false" indent="0" shrinkToFit="false"/>
      <protection locked="true" hidden="false"/>
    </xf>
    <xf numFmtId="164" fontId="9" fillId="2" borderId="5" xfId="0" applyFont="true" applyBorder="true" applyAlignment="false" applyProtection="true">
      <alignment horizontal="general" vertical="bottom" textRotation="0" wrapText="false" indent="0" shrinkToFit="false"/>
      <protection locked="true" hidden="false"/>
    </xf>
    <xf numFmtId="164" fontId="9" fillId="2" borderId="7" xfId="0" applyFont="true" applyBorder="true" applyAlignment="false" applyProtection="true">
      <alignment horizontal="general" vertical="bottom" textRotation="0" wrapText="false" indent="0" shrinkToFit="false"/>
      <protection locked="true" hidden="false"/>
    </xf>
    <xf numFmtId="164" fontId="8" fillId="2" borderId="6" xfId="0" applyFont="true" applyBorder="true" applyAlignment="true" applyProtection="true">
      <alignment horizontal="center" vertical="bottom" textRotation="0" wrapText="false" indent="0" shrinkToFit="false"/>
      <protection locked="true" hidden="false"/>
    </xf>
    <xf numFmtId="164" fontId="4" fillId="2" borderId="6" xfId="0" applyFont="true" applyBorder="true" applyAlignment="false" applyProtection="true">
      <alignment horizontal="general" vertical="bottom" textRotation="0" wrapText="false" indent="0" shrinkToFit="false"/>
      <protection locked="true" hidden="false"/>
    </xf>
    <xf numFmtId="164" fontId="8" fillId="2" borderId="5" xfId="0" applyFont="true" applyBorder="true" applyAlignment="true" applyProtection="true">
      <alignment horizontal="center" vertical="bottom" textRotation="0" wrapText="false" indent="0" shrinkToFit="false"/>
      <protection locked="true" hidden="false"/>
    </xf>
    <xf numFmtId="164" fontId="4" fillId="2" borderId="7" xfId="0" applyFont="true" applyBorder="true" applyAlignment="false" applyProtection="true">
      <alignment horizontal="general" vertical="bottom" textRotation="0" wrapText="false" indent="0" shrinkToFit="false"/>
      <protection locked="true" hidden="false"/>
    </xf>
    <xf numFmtId="164" fontId="8" fillId="2" borderId="7"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false" applyProtection="true">
      <alignment horizontal="general" vertical="bottom" textRotation="0" wrapText="false" indent="0" shrinkToFit="false"/>
      <protection locked="true" hidden="false"/>
    </xf>
    <xf numFmtId="164" fontId="10" fillId="0" borderId="9" xfId="0" applyFont="true" applyBorder="true" applyAlignment="true" applyProtection="true">
      <alignment horizontal="center" vertical="bottom" textRotation="0" wrapText="false" indent="0" shrinkToFit="false"/>
      <protection locked="true" hidden="false"/>
    </xf>
    <xf numFmtId="164" fontId="9" fillId="0" borderId="1" xfId="0" applyFont="true" applyBorder="true" applyAlignment="false" applyProtection="true">
      <alignment horizontal="general" vertical="bottom" textRotation="0" wrapText="false" indent="0" shrinkToFit="false"/>
      <protection locked="true" hidden="false"/>
    </xf>
    <xf numFmtId="168" fontId="8" fillId="0" borderId="2" xfId="17" applyFont="true" applyBorder="true" applyAlignment="true" applyProtection="true">
      <alignment horizontal="center" vertical="bottom" textRotation="0" wrapText="false" indent="0" shrinkToFit="false"/>
      <protection locked="true" hidden="false"/>
    </xf>
    <xf numFmtId="164" fontId="4" fillId="0" borderId="2" xfId="0" applyFont="true" applyBorder="true" applyAlignment="false" applyProtection="true">
      <alignment horizontal="general" vertical="bottom" textRotation="0" wrapText="false" indent="0" shrinkToFit="false"/>
      <protection locked="true" hidden="false"/>
    </xf>
    <xf numFmtId="168" fontId="8" fillId="0" borderId="1" xfId="17" applyFont="true" applyBorder="true" applyAlignment="true" applyProtection="true">
      <alignment horizontal="center" vertical="bottom" textRotation="0" wrapText="false" indent="0" shrinkToFit="false"/>
      <protection locked="true" hidden="false"/>
    </xf>
    <xf numFmtId="168" fontId="8" fillId="0" borderId="0" xfId="17"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false" applyProtection="true">
      <alignment horizontal="general" vertical="bottom" textRotation="0" wrapText="false" indent="0" shrinkToFit="false"/>
      <protection locked="true" hidden="false"/>
    </xf>
    <xf numFmtId="164" fontId="8" fillId="0" borderId="2" xfId="0" applyFont="true" applyBorder="true" applyAlignment="true" applyProtection="true">
      <alignment horizontal="center" vertical="bottom" textRotation="0" wrapText="false" indent="0" shrinkToFit="false"/>
      <protection locked="true" hidden="false"/>
    </xf>
    <xf numFmtId="168" fontId="8" fillId="0" borderId="2" xfId="17" applyFont="true" applyBorder="true" applyAlignment="true" applyProtection="true">
      <alignment horizontal="general" vertical="bottom" textRotation="0" wrapText="false" indent="0" shrinkToFit="false"/>
      <protection locked="true" hidden="false"/>
    </xf>
    <xf numFmtId="168" fontId="8" fillId="0" borderId="10" xfId="17"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4" fontId="12" fillId="2" borderId="11" xfId="0" applyFont="true" applyBorder="true" applyAlignment="false" applyProtection="true">
      <alignment horizontal="general" vertical="bottom" textRotation="0" wrapText="false" indent="0" shrinkToFit="false"/>
      <protection locked="true" hidden="false"/>
    </xf>
    <xf numFmtId="164" fontId="12" fillId="2" borderId="12"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false" applyProtection="true">
      <alignment horizontal="general" vertical="bottom" textRotation="0" wrapText="false" indent="0" shrinkToFit="false"/>
      <protection locked="true" hidden="false"/>
    </xf>
    <xf numFmtId="170"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8" fontId="8" fillId="0" borderId="8" xfId="17" applyFont="true" applyBorder="true" applyAlignment="true" applyProtection="true">
      <alignment horizontal="center" vertical="bottom" textRotation="0" wrapText="false" indent="0" shrinkToFit="false"/>
      <protection locked="true" hidden="false"/>
    </xf>
    <xf numFmtId="164" fontId="4" fillId="0" borderId="9" xfId="0" applyFont="true" applyBorder="true" applyAlignment="fals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8" fontId="8" fillId="0" borderId="13" xfId="17" applyFont="true" applyBorder="true" applyAlignment="true" applyProtection="true">
      <alignment horizontal="general" vertical="bottom" textRotation="0" wrapText="false" indent="0" shrinkToFit="false"/>
      <protection locked="true" hidden="false"/>
    </xf>
    <xf numFmtId="171" fontId="11" fillId="0" borderId="8" xfId="0" applyFont="true" applyBorder="true" applyAlignment="false" applyProtection="true">
      <alignment horizontal="general" vertical="bottom" textRotation="0" wrapText="false" indent="0" shrinkToFit="false"/>
      <protection locked="true" hidden="false"/>
    </xf>
    <xf numFmtId="171" fontId="11" fillId="0" borderId="9" xfId="0" applyFont="true" applyBorder="true" applyAlignment="false" applyProtection="true">
      <alignment horizontal="general" vertical="bottom" textRotation="0" wrapText="false" indent="0" shrinkToFit="false"/>
      <protection locked="true" hidden="false"/>
    </xf>
    <xf numFmtId="171" fontId="4" fillId="0" borderId="0" xfId="15" applyFont="true" applyBorder="true" applyAlignment="true" applyProtection="true">
      <alignment horizontal="general" vertical="bottom" textRotation="0" wrapText="false" indent="0" shrinkToFit="false"/>
      <protection locked="true" hidden="false"/>
    </xf>
    <xf numFmtId="171" fontId="4" fillId="0" borderId="0" xfId="0" applyFont="true" applyBorder="true" applyAlignment="false" applyProtection="true">
      <alignment horizontal="general" vertical="bottom" textRotation="0" wrapText="false" indent="0" shrinkToFit="false"/>
      <protection locked="true" hidden="false"/>
    </xf>
    <xf numFmtId="170" fontId="4" fillId="0" borderId="8" xfId="15" applyFont="true" applyBorder="true" applyAlignment="true" applyProtection="true">
      <alignment horizontal="general" vertical="bottom" textRotation="0" wrapText="false" indent="0" shrinkToFit="false"/>
      <protection locked="true" hidden="false"/>
    </xf>
    <xf numFmtId="171" fontId="4" fillId="0" borderId="9" xfId="0" applyFont="true" applyBorder="true" applyAlignment="false" applyProtection="true">
      <alignment horizontal="general" vertical="bottom" textRotation="0" wrapText="false" indent="0" shrinkToFit="false"/>
      <protection locked="true" hidden="false"/>
    </xf>
    <xf numFmtId="171" fontId="4" fillId="0" borderId="13" xfId="0" applyFont="true" applyBorder="true" applyAlignment="false" applyProtection="true">
      <alignment horizontal="general" vertical="bottom" textRotation="0" wrapText="fals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71" fontId="12" fillId="0" borderId="8" xfId="0" applyFont="true" applyBorder="true" applyAlignment="false" applyProtection="true">
      <alignment horizontal="general" vertical="bottom" textRotation="0" wrapText="false" indent="0" shrinkToFit="false"/>
      <protection locked="true" hidden="false"/>
    </xf>
    <xf numFmtId="171" fontId="12" fillId="0" borderId="9" xfId="0" applyFont="true" applyBorder="true" applyAlignment="false" applyProtection="true">
      <alignment horizontal="general" vertical="bottom" textRotation="0" wrapText="false" indent="0" shrinkToFit="false"/>
      <protection locked="true" hidden="false"/>
    </xf>
    <xf numFmtId="171" fontId="13" fillId="0" borderId="0" xfId="15" applyFont="true" applyBorder="true" applyAlignment="true" applyProtection="true">
      <alignment horizontal="general" vertical="bottom" textRotation="0" wrapText="false" indent="0" shrinkToFit="false"/>
      <protection locked="true" hidden="false"/>
    </xf>
    <xf numFmtId="171" fontId="12" fillId="0" borderId="0" xfId="15" applyFont="true" applyBorder="true" applyAlignment="true" applyProtection="true">
      <alignment horizontal="general" vertical="bottom" textRotation="0" wrapText="false" indent="0" shrinkToFit="false"/>
      <protection locked="true" hidden="false"/>
    </xf>
    <xf numFmtId="171" fontId="13" fillId="0" borderId="8" xfId="15" applyFont="true" applyBorder="true" applyAlignment="true" applyProtection="true">
      <alignment horizontal="general" vertical="bottom" textRotation="0" wrapText="false" indent="0" shrinkToFit="false"/>
      <protection locked="true" hidden="false"/>
    </xf>
    <xf numFmtId="171" fontId="12" fillId="0" borderId="9" xfId="15" applyFont="true" applyBorder="true" applyAlignment="true" applyProtection="true">
      <alignment horizontal="general" vertical="bottom" textRotation="0" wrapText="false" indent="0" shrinkToFit="false"/>
      <protection locked="true" hidden="false"/>
    </xf>
    <xf numFmtId="171" fontId="12" fillId="0" borderId="13" xfId="15" applyFont="true" applyBorder="true" applyAlignment="true" applyProtection="true">
      <alignment horizontal="general" vertical="bottom" textRotation="0" wrapText="false" indent="0" shrinkToFit="false"/>
      <protection locked="true" hidden="false"/>
    </xf>
    <xf numFmtId="171" fontId="12" fillId="0" borderId="8" xfId="15" applyFont="true" applyBorder="true" applyAlignment="true" applyProtection="true">
      <alignment horizontal="general" vertical="bottom" textRotation="0" wrapText="false" indent="0" shrinkToFit="false"/>
      <protection locked="true" hidden="false"/>
    </xf>
    <xf numFmtId="171" fontId="14" fillId="0" borderId="0" xfId="15" applyFont="true" applyBorder="true" applyAlignment="true" applyProtection="true">
      <alignment horizontal="general" vertical="bottom" textRotation="0" wrapText="false" indent="0" shrinkToFit="false"/>
      <protection locked="true" hidden="false"/>
    </xf>
    <xf numFmtId="171" fontId="4" fillId="0" borderId="8" xfId="0" applyFont="true" applyBorder="true" applyAlignment="false" applyProtection="true">
      <alignment horizontal="general" vertical="bottom" textRotation="0" wrapText="false" indent="0" shrinkToFit="false"/>
      <protection locked="true" hidden="false"/>
    </xf>
    <xf numFmtId="171" fontId="15" fillId="0" borderId="0" xfId="15" applyFont="true" applyBorder="true" applyAlignment="true" applyProtection="true">
      <alignment horizontal="general" vertical="bottom" textRotation="0" wrapText="false" indent="0" shrinkToFit="false"/>
      <protection locked="true" hidden="false"/>
    </xf>
    <xf numFmtId="171" fontId="15" fillId="0" borderId="8" xfId="15" applyFont="true" applyBorder="true" applyAlignment="true" applyProtection="true">
      <alignment horizontal="general" vertical="bottom" textRotation="0" wrapText="false" indent="0" shrinkToFit="false"/>
      <protection locked="true" hidden="false"/>
    </xf>
    <xf numFmtId="171" fontId="4" fillId="0" borderId="9" xfId="15" applyFont="true" applyBorder="true" applyAlignment="true" applyProtection="true">
      <alignment horizontal="general" vertical="bottom" textRotation="0" wrapText="false" indent="0" shrinkToFit="false"/>
      <protection locked="true" hidden="false"/>
    </xf>
    <xf numFmtId="171" fontId="4" fillId="0" borderId="13" xfId="15" applyFont="true" applyBorder="true" applyAlignment="true" applyProtection="true">
      <alignment horizontal="general" vertical="bottom" textRotation="0" wrapText="false" indent="0" shrinkToFit="false"/>
      <protection locked="true" hidden="false"/>
    </xf>
    <xf numFmtId="171" fontId="12" fillId="0" borderId="0" xfId="0" applyFont="true" applyBorder="tru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71" fontId="11" fillId="0" borderId="5" xfId="0" applyFont="true" applyBorder="true" applyAlignment="false" applyProtection="true">
      <alignment horizontal="general" vertical="bottom" textRotation="0" wrapText="false" indent="0" shrinkToFit="false"/>
      <protection locked="true" hidden="false"/>
    </xf>
    <xf numFmtId="171" fontId="4" fillId="0" borderId="6" xfId="15" applyFont="true" applyBorder="true" applyAlignment="true" applyProtection="true">
      <alignment horizontal="general" vertical="bottom" textRotation="0" wrapText="false" indent="0" shrinkToFit="false"/>
      <protection locked="true" hidden="false"/>
    </xf>
    <xf numFmtId="171" fontId="4" fillId="0" borderId="6" xfId="0" applyFont="true" applyBorder="true" applyAlignment="false" applyProtection="true">
      <alignment horizontal="general" vertical="bottom" textRotation="0" wrapText="false" indent="0" shrinkToFit="false"/>
      <protection locked="true" hidden="false"/>
    </xf>
    <xf numFmtId="171" fontId="4" fillId="0" borderId="8" xfId="15" applyFont="true" applyBorder="true" applyAlignment="true" applyProtection="true">
      <alignment horizontal="general" vertical="bottom" textRotation="0" wrapText="false" indent="0" shrinkToFit="false"/>
      <protection locked="true" hidden="false"/>
    </xf>
    <xf numFmtId="171" fontId="4" fillId="0" borderId="14" xfId="0" applyFont="true" applyBorder="true" applyAlignment="false" applyProtection="true">
      <alignment horizontal="general" vertical="bottom" textRotation="0" wrapText="false" indent="0" shrinkToFit="false"/>
      <protection locked="true" hidden="false"/>
    </xf>
    <xf numFmtId="171" fontId="11" fillId="0" borderId="11" xfId="0" applyFont="true" applyBorder="true" applyAlignment="false" applyProtection="true">
      <alignment horizontal="general" vertical="bottom" textRotation="0" wrapText="false" indent="0" shrinkToFit="false"/>
      <protection locked="true" hidden="false"/>
    </xf>
    <xf numFmtId="171" fontId="12" fillId="0" borderId="15" xfId="0" applyFont="true" applyBorder="true" applyAlignment="true" applyProtection="true">
      <alignment horizontal="left" vertical="bottom" textRotation="0" wrapText="false" indent="0" shrinkToFit="false"/>
      <protection locked="true" hidden="false"/>
    </xf>
    <xf numFmtId="171" fontId="12" fillId="0" borderId="11" xfId="0" applyFont="true" applyBorder="true" applyAlignment="false" applyProtection="true">
      <alignment horizontal="general" vertical="bottom" textRotation="0" wrapText="false" indent="0" shrinkToFit="false"/>
      <protection locked="true" hidden="false"/>
    </xf>
    <xf numFmtId="171" fontId="12" fillId="0" borderId="15" xfId="17" applyFont="true" applyBorder="true" applyAlignment="true" applyProtection="true">
      <alignment horizontal="general" vertical="bottom" textRotation="0" wrapText="false" indent="0" shrinkToFit="false"/>
      <protection locked="true" hidden="false"/>
    </xf>
    <xf numFmtId="171" fontId="12" fillId="0" borderId="15" xfId="0" applyFont="true" applyBorder="true" applyAlignment="false" applyProtection="true">
      <alignment horizontal="general" vertical="bottom" textRotation="0" wrapText="false" indent="0" shrinkToFit="false"/>
      <protection locked="true" hidden="false"/>
    </xf>
    <xf numFmtId="171" fontId="12" fillId="0" borderId="11" xfId="17" applyFont="true" applyBorder="true" applyAlignment="true" applyProtection="true">
      <alignment horizontal="general" vertical="bottom" textRotation="0" wrapText="false" indent="0" shrinkToFit="false"/>
      <protection locked="true" hidden="false"/>
    </xf>
    <xf numFmtId="171" fontId="12" fillId="0" borderId="12" xfId="0" applyFont="true" applyBorder="true" applyAlignment="false" applyProtection="true">
      <alignment horizontal="general" vertical="bottom" textRotation="0" wrapText="false" indent="0" shrinkToFit="false"/>
      <protection locked="true" hidden="false"/>
    </xf>
    <xf numFmtId="171" fontId="12" fillId="0" borderId="2" xfId="17" applyFont="true" applyBorder="true" applyAlignment="true" applyProtection="true">
      <alignment horizontal="general" vertical="bottom" textRotation="0" wrapText="false" indent="0" shrinkToFit="false"/>
      <protection locked="true" hidden="false"/>
    </xf>
    <xf numFmtId="171" fontId="12" fillId="0" borderId="4" xfId="17" applyFont="true" applyBorder="true" applyAlignment="true" applyProtection="true">
      <alignment horizontal="general" vertical="bottom" textRotation="0" wrapText="false" indent="0" shrinkToFit="false"/>
      <protection locked="true" hidden="false"/>
    </xf>
    <xf numFmtId="171" fontId="11" fillId="0" borderId="8" xfId="0" applyFont="true" applyBorder="true" applyAlignment="false" applyProtection="true">
      <alignment horizontal="general" vertical="bottom" textRotation="0" wrapText="false" indent="0" shrinkToFit="false"/>
      <protection locked="true" hidden="false"/>
    </xf>
    <xf numFmtId="171" fontId="12" fillId="0" borderId="0" xfId="0" applyFont="true" applyBorder="true" applyAlignment="true" applyProtection="true">
      <alignment horizontal="left" vertical="bottom" textRotation="0" wrapText="false" indent="0" shrinkToFit="false"/>
      <protection locked="true" hidden="false"/>
    </xf>
    <xf numFmtId="171" fontId="8" fillId="0" borderId="0" xfId="17" applyFont="true" applyBorder="true" applyAlignment="true" applyProtection="true">
      <alignment horizontal="general" vertical="bottom" textRotation="0" wrapText="false" indent="0" shrinkToFit="false"/>
      <protection locked="true" hidden="false"/>
    </xf>
    <xf numFmtId="171" fontId="8" fillId="0" borderId="0" xfId="0" applyFont="true" applyBorder="true" applyAlignment="false" applyProtection="true">
      <alignment horizontal="general" vertical="bottom" textRotation="0" wrapText="false" indent="0" shrinkToFit="false"/>
      <protection locked="true" hidden="false"/>
    </xf>
    <xf numFmtId="171" fontId="8" fillId="0" borderId="2" xfId="17" applyFont="true" applyBorder="true" applyAlignment="true" applyProtection="true">
      <alignment horizontal="general" vertical="bottom" textRotation="0" wrapText="false" indent="0" shrinkToFit="false"/>
      <protection locked="true" hidden="false"/>
    </xf>
    <xf numFmtId="171" fontId="12" fillId="0" borderId="0" xfId="17" applyFont="true" applyBorder="true" applyAlignment="true" applyProtection="true">
      <alignment horizontal="general" vertical="bottom" textRotation="0" wrapText="false" indent="0" shrinkToFit="false"/>
      <protection locked="true" hidden="false"/>
    </xf>
    <xf numFmtId="171" fontId="12" fillId="0" borderId="0" xfId="0" applyFont="true" applyBorder="true" applyAlignment="false" applyProtection="true">
      <alignment horizontal="general" vertical="bottom" textRotation="0" wrapText="false" indent="0" shrinkToFit="false"/>
      <protection locked="true" hidden="false"/>
    </xf>
    <xf numFmtId="166" fontId="11" fillId="0" borderId="0" xfId="19" applyFont="true" applyBorder="true" applyAlignment="true" applyProtection="true">
      <alignment horizontal="general" vertical="bottom" textRotation="0" wrapText="false" indent="0" shrinkToFit="false"/>
      <protection locked="true" hidden="false"/>
    </xf>
    <xf numFmtId="171" fontId="12" fillId="0" borderId="8" xfId="0" applyFont="true" applyBorder="true" applyAlignment="false" applyProtection="true">
      <alignment horizontal="general" vertical="bottom" textRotation="0" wrapText="false" indent="0" shrinkToFit="false"/>
      <protection locked="true" hidden="false"/>
    </xf>
    <xf numFmtId="166" fontId="16" fillId="0" borderId="0" xfId="19"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71" fontId="12" fillId="0" borderId="5" xfId="0" applyFont="true" applyBorder="true" applyAlignment="false" applyProtection="true">
      <alignment horizontal="general" vertical="bottom" textRotation="0" wrapText="false" indent="0" shrinkToFit="false"/>
      <protection locked="true" hidden="false"/>
    </xf>
    <xf numFmtId="171" fontId="12" fillId="0" borderId="6" xfId="0" applyFont="true" applyBorder="true" applyAlignment="true" applyProtection="true">
      <alignment horizontal="center" vertical="bottom" textRotation="0" wrapText="false" indent="0" shrinkToFit="false"/>
      <protection locked="true" hidden="false"/>
    </xf>
    <xf numFmtId="171" fontId="8" fillId="0" borderId="6" xfId="17" applyFont="true" applyBorder="true" applyAlignment="true" applyProtection="true">
      <alignment horizontal="general" vertical="bottom" textRotation="0" wrapText="false" indent="0" shrinkToFit="false"/>
      <protection locked="true" hidden="false"/>
    </xf>
    <xf numFmtId="171" fontId="8" fillId="0" borderId="6" xfId="0" applyFont="true" applyBorder="true" applyAlignment="false" applyProtection="true">
      <alignment horizontal="general" vertical="bottom" textRotation="0" wrapText="false" indent="0" shrinkToFit="false"/>
      <protection locked="true" hidden="false"/>
    </xf>
    <xf numFmtId="171" fontId="12" fillId="0" borderId="6" xfId="0" applyFont="true" applyBorder="true" applyAlignment="true" applyProtection="true">
      <alignment horizontal="left" vertical="bottom" textRotation="0" wrapText="false" indent="0" shrinkToFit="false"/>
      <protection locked="true" hidden="false"/>
    </xf>
    <xf numFmtId="164" fontId="11" fillId="0" borderId="0" xfId="0" applyFont="true" applyBorder="true" applyAlignment="false" applyProtection="true">
      <alignment horizontal="general" vertical="bottom" textRotation="0" wrapText="false" indent="0" shrinkToFit="false"/>
      <protection locked="true" hidden="false"/>
    </xf>
    <xf numFmtId="171" fontId="12" fillId="2" borderId="11" xfId="0" applyFont="true" applyBorder="true" applyAlignment="false" applyProtection="true">
      <alignment horizontal="general" vertical="bottom" textRotation="0" wrapText="false" indent="0" shrinkToFit="false"/>
      <protection locked="true" hidden="false"/>
    </xf>
    <xf numFmtId="171" fontId="12" fillId="2" borderId="4" xfId="0" applyFont="true" applyBorder="true" applyAlignment="true" applyProtection="true">
      <alignment horizontal="center" vertical="bottom" textRotation="0" wrapText="false" indent="0" shrinkToFit="false"/>
      <protection locked="true" hidden="false"/>
    </xf>
    <xf numFmtId="171" fontId="12" fillId="0" borderId="11" xfId="0" applyFont="true" applyBorder="true" applyAlignment="false" applyProtection="true">
      <alignment horizontal="general" vertical="bottom" textRotation="0" wrapText="false" indent="0" shrinkToFit="false"/>
      <protection locked="true" hidden="false"/>
    </xf>
    <xf numFmtId="171" fontId="13" fillId="0" borderId="15" xfId="0" applyFont="true" applyBorder="true" applyAlignment="false" applyProtection="true">
      <alignment horizontal="general" vertical="bottom" textRotation="0" wrapText="false" indent="0" shrinkToFit="false"/>
      <protection locked="true" hidden="false"/>
    </xf>
    <xf numFmtId="171" fontId="12" fillId="0" borderId="15" xfId="0" applyFont="true" applyBorder="true" applyAlignment="false" applyProtection="true">
      <alignment horizontal="general" vertical="bottom" textRotation="0" wrapText="false" indent="0" shrinkToFit="false"/>
      <protection locked="true" hidden="false"/>
    </xf>
    <xf numFmtId="164" fontId="13" fillId="0" borderId="15" xfId="0" applyFont="true" applyBorder="true" applyAlignment="false" applyProtection="true">
      <alignment horizontal="general" vertical="bottom" textRotation="0" wrapText="false" indent="0" shrinkToFit="false"/>
      <protection locked="true" hidden="false"/>
    </xf>
    <xf numFmtId="164" fontId="13" fillId="0" borderId="11" xfId="0" applyFont="true" applyBorder="true" applyAlignment="false" applyProtection="true">
      <alignment horizontal="general" vertical="bottom" textRotation="0" wrapText="false" indent="0" shrinkToFit="false"/>
      <protection locked="true" hidden="false"/>
    </xf>
    <xf numFmtId="164" fontId="12" fillId="0" borderId="12" xfId="0" applyFont="true" applyBorder="true" applyAlignment="false" applyProtection="true">
      <alignment horizontal="general" vertical="bottom" textRotation="0" wrapText="false" indent="0" shrinkToFit="false"/>
      <protection locked="true" hidden="false"/>
    </xf>
    <xf numFmtId="172" fontId="12" fillId="0" borderId="15" xfId="15" applyFont="true" applyBorder="true" applyAlignment="true" applyProtection="true">
      <alignment horizontal="general" vertical="bottom" textRotation="0" wrapText="false" indent="0" shrinkToFit="false"/>
      <protection locked="true" hidden="false"/>
    </xf>
    <xf numFmtId="171" fontId="12" fillId="0" borderId="12" xfId="0" applyFont="true" applyBorder="true" applyAlignment="false" applyProtection="true">
      <alignment horizontal="general" vertical="bottom" textRotation="0" wrapText="false" indent="0" shrinkToFit="false"/>
      <protection locked="true" hidden="false"/>
    </xf>
    <xf numFmtId="171" fontId="12" fillId="0" borderId="12"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true" applyAlignment="false" applyProtection="tru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3" fontId="5" fillId="0" borderId="0" xfId="15" applyFont="true" applyBorder="true" applyAlignment="true" applyProtection="true">
      <alignment horizontal="general" vertical="bottom" textRotation="0" wrapText="false" indent="0" shrinkToFit="false"/>
      <protection locked="true" hidden="false"/>
    </xf>
    <xf numFmtId="172" fontId="20" fillId="0"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73" fontId="0" fillId="2" borderId="0" xfId="15" applyFont="true" applyBorder="true" applyAlignment="true" applyProtection="true">
      <alignment horizontal="general" vertical="bottom" textRotation="0" wrapText="false" indent="0" shrinkToFit="false"/>
      <protection locked="true" hidden="false"/>
    </xf>
    <xf numFmtId="165" fontId="20" fillId="2" borderId="0" xfId="19" applyFont="true" applyBorder="true" applyAlignment="true" applyProtection="true">
      <alignment horizontal="general" vertical="bottom" textRotation="0" wrapText="false" indent="0" shrinkToFit="false"/>
      <protection locked="true" hidden="false"/>
    </xf>
    <xf numFmtId="172" fontId="5" fillId="2" borderId="0" xfId="0" applyFont="true" applyBorder="true" applyAlignment="false" applyProtection="false">
      <alignment horizontal="general" vertical="bottom" textRotation="0" wrapText="false" indent="0" shrinkToFit="false"/>
      <protection locked="true" hidden="false"/>
    </xf>
    <xf numFmtId="165" fontId="0" fillId="2" borderId="0" xfId="19" applyFont="true" applyBorder="true" applyAlignment="true" applyProtection="true">
      <alignment horizontal="general" vertical="bottom" textRotation="0" wrapText="false" indent="0" shrinkToFit="false"/>
      <protection locked="true" hidden="false"/>
    </xf>
    <xf numFmtId="172" fontId="0" fillId="2" borderId="0" xfId="0" applyFont="false" applyBorder="true" applyAlignment="false" applyProtection="false">
      <alignment horizontal="general" vertical="bottom" textRotation="0" wrapText="false" indent="0" shrinkToFit="false"/>
      <protection locked="true" hidden="false"/>
    </xf>
    <xf numFmtId="173" fontId="0" fillId="0" borderId="16" xfId="15" applyFont="true" applyBorder="true" applyAlignment="true" applyProtection="true">
      <alignment horizontal="general" vertical="bottom" textRotation="0" wrapText="false" indent="0" shrinkToFit="false"/>
      <protection locked="true" hidden="false"/>
    </xf>
    <xf numFmtId="165" fontId="0" fillId="0" borderId="16" xfId="19" applyFont="true" applyBorder="true" applyAlignment="true" applyProtection="true">
      <alignment horizontal="general" vertical="bottom" textRotation="0" wrapText="false" indent="0" shrinkToFit="false"/>
      <protection locked="true" hidden="false"/>
    </xf>
    <xf numFmtId="172" fontId="0" fillId="0" borderId="16" xfId="0" applyFont="false" applyBorder="tru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4" fontId="12"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19" applyFont="true" applyBorder="true" applyAlignment="true" applyProtection="true">
      <alignment horizontal="general" vertical="bottom" textRotation="0" wrapText="false" indent="0" shrinkToFit="false"/>
      <protection locked="true" hidden="false"/>
    </xf>
    <xf numFmtId="174" fontId="12" fillId="2" borderId="17" xfId="0" applyFont="true" applyBorder="true" applyAlignment="true" applyProtection="false">
      <alignment horizontal="center" vertical="center" textRotation="0" wrapText="true" indent="0" shrinkToFit="false"/>
      <protection locked="true" hidden="false"/>
    </xf>
    <xf numFmtId="174" fontId="12" fillId="2" borderId="18" xfId="0" applyFont="true" applyBorder="true" applyAlignment="true" applyProtection="false">
      <alignment horizontal="center" vertical="center" textRotation="0" wrapText="true" indent="0" shrinkToFit="false"/>
      <protection locked="true" hidden="false"/>
    </xf>
    <xf numFmtId="174" fontId="12" fillId="2" borderId="19" xfId="0" applyFont="true" applyBorder="true" applyAlignment="true" applyProtection="false">
      <alignment horizontal="center" vertical="center" textRotation="0" wrapText="true" indent="0" shrinkToFit="false"/>
      <protection locked="true" hidden="false"/>
    </xf>
    <xf numFmtId="174" fontId="12" fillId="0" borderId="0" xfId="0" applyFont="true" applyBorder="false" applyAlignment="true" applyProtection="false">
      <alignment horizontal="center" vertical="center" textRotation="0" wrapText="true" indent="0" shrinkToFit="false"/>
      <protection locked="true" hidden="false"/>
    </xf>
    <xf numFmtId="175" fontId="12" fillId="0" borderId="0" xfId="19" applyFont="true" applyBorder="true" applyAlignment="true" applyProtection="true">
      <alignment horizontal="center" vertical="center" textRotation="0" wrapText="true" indent="0" shrinkToFit="false"/>
      <protection locked="true" hidden="false"/>
    </xf>
    <xf numFmtId="174" fontId="12" fillId="0" borderId="17" xfId="0" applyFont="true" applyBorder="true" applyAlignment="false" applyProtection="false">
      <alignment horizontal="general" vertical="bottom" textRotation="0" wrapText="false" indent="0" shrinkToFit="false"/>
      <protection locked="true" hidden="false"/>
    </xf>
    <xf numFmtId="176" fontId="11" fillId="3" borderId="17" xfId="0" applyFont="true" applyBorder="true" applyAlignment="false" applyProtection="false">
      <alignment horizontal="general" vertical="bottom" textRotation="0" wrapText="false" indent="0" shrinkToFit="false"/>
      <protection locked="true" hidden="false"/>
    </xf>
    <xf numFmtId="174" fontId="0" fillId="0" borderId="17" xfId="0" applyFont="false" applyBorder="true" applyAlignment="false" applyProtection="false">
      <alignment horizontal="general" vertical="bottom" textRotation="0" wrapText="false" indent="0" shrinkToFit="false"/>
      <protection locked="true" hidden="false"/>
    </xf>
    <xf numFmtId="174" fontId="0" fillId="0" borderId="18" xfId="0" applyFont="false" applyBorder="true" applyAlignment="false" applyProtection="false">
      <alignment horizontal="general" vertical="bottom" textRotation="0" wrapText="false" indent="0" shrinkToFit="false"/>
      <protection locked="true" hidden="false"/>
    </xf>
    <xf numFmtId="174" fontId="0" fillId="2" borderId="20" xfId="0" applyFont="false" applyBorder="true" applyAlignment="false" applyProtection="false">
      <alignment horizontal="general" vertical="bottom" textRotation="0" wrapText="false" indent="0" shrinkToFit="false"/>
      <protection locked="true" hidden="false"/>
    </xf>
    <xf numFmtId="174" fontId="13" fillId="0" borderId="17" xfId="0" applyFont="true" applyBorder="true" applyAlignment="false" applyProtection="false">
      <alignment horizontal="general" vertical="bottom" textRotation="0" wrapText="false" indent="0" shrinkToFit="false"/>
      <protection locked="true" hidden="false"/>
    </xf>
    <xf numFmtId="174" fontId="0" fillId="0" borderId="17" xfId="0" applyFont="false" applyBorder="true" applyAlignment="true" applyProtection="false">
      <alignment horizontal="right" vertical="bottom" textRotation="0" wrapText="false" indent="0" shrinkToFit="false"/>
      <protection locked="true" hidden="false"/>
    </xf>
    <xf numFmtId="174" fontId="12" fillId="0" borderId="21" xfId="0" applyFont="true" applyBorder="true" applyAlignment="false" applyProtection="false">
      <alignment horizontal="general" vertical="bottom" textRotation="0" wrapText="false" indent="0" shrinkToFit="false"/>
      <protection locked="true" hidden="false"/>
    </xf>
    <xf numFmtId="176" fontId="11" fillId="3" borderId="21" xfId="0" applyFont="true" applyBorder="true" applyAlignment="false" applyProtection="false">
      <alignment horizontal="general" vertical="bottom" textRotation="0" wrapText="false" indent="0" shrinkToFit="false"/>
      <protection locked="true" hidden="false"/>
    </xf>
    <xf numFmtId="174" fontId="0" fillId="0" borderId="21" xfId="0" applyFont="false" applyBorder="true" applyAlignment="false" applyProtection="false">
      <alignment horizontal="general" vertical="bottom" textRotation="0" wrapText="false" indent="0" shrinkToFit="false"/>
      <protection locked="true" hidden="false"/>
    </xf>
    <xf numFmtId="174" fontId="12" fillId="2" borderId="22" xfId="0" applyFont="true" applyBorder="true" applyAlignment="true" applyProtection="false">
      <alignment horizontal="general" vertical="center" textRotation="0" wrapText="false" indent="0" shrinkToFit="false"/>
      <protection locked="true" hidden="false"/>
    </xf>
    <xf numFmtId="176" fontId="12" fillId="2" borderId="23" xfId="0" applyFont="true" applyBorder="true" applyAlignment="true" applyProtection="false">
      <alignment horizontal="center" vertical="center" textRotation="0" wrapText="false" indent="0" shrinkToFit="false"/>
      <protection locked="true" hidden="false"/>
    </xf>
    <xf numFmtId="174" fontId="16" fillId="2" borderId="24" xfId="0" applyFont="true" applyBorder="true" applyAlignment="true" applyProtection="false">
      <alignment horizontal="center" vertical="center" textRotation="0" wrapText="false" indent="0" shrinkToFit="false"/>
      <protection locked="true" hidden="false"/>
    </xf>
    <xf numFmtId="174" fontId="16" fillId="2" borderId="25" xfId="0" applyFont="true" applyBorder="true" applyAlignment="true" applyProtection="false">
      <alignment horizontal="center" vertical="center" textRotation="0" wrapText="false" indent="0" shrinkToFit="false"/>
      <protection locked="true" hidden="false"/>
    </xf>
    <xf numFmtId="174" fontId="16" fillId="2" borderId="4"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general" vertical="center" textRotation="0" wrapText="false" indent="0" shrinkToFit="false"/>
      <protection locked="true" hidden="false"/>
    </xf>
    <xf numFmtId="174" fontId="16" fillId="0" borderId="0" xfId="0" applyFont="true" applyBorder="false" applyAlignment="false" applyProtection="false">
      <alignment horizontal="general" vertical="bottom" textRotation="0" wrapText="false" indent="0" shrinkToFit="false"/>
      <protection locked="true" hidden="false"/>
    </xf>
    <xf numFmtId="174" fontId="0" fillId="0" borderId="26" xfId="0" applyFont="false" applyBorder="true" applyAlignment="false" applyProtection="false">
      <alignment horizontal="general" vertical="bottom" textRotation="0" wrapText="false" indent="0" shrinkToFit="false"/>
      <protection locked="true" hidden="false"/>
    </xf>
    <xf numFmtId="176" fontId="12" fillId="0" borderId="0" xfId="0" applyFont="true" applyBorder="false" applyAlignment="false" applyProtection="false">
      <alignment horizontal="general" vertical="bottom" textRotation="0" wrapText="false" indent="0" shrinkToFit="false"/>
      <protection locked="true" hidden="false"/>
    </xf>
    <xf numFmtId="174" fontId="0" fillId="0" borderId="16" xfId="0" applyFont="false" applyBorder="true" applyAlignment="false" applyProtection="false">
      <alignment horizontal="general" vertical="bottom" textRotation="0" wrapText="false" indent="0" shrinkToFit="false"/>
      <protection locked="true" hidden="false"/>
    </xf>
    <xf numFmtId="174" fontId="5" fillId="0" borderId="1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12" fillId="0" borderId="22" xfId="0" applyFont="true" applyBorder="true" applyAlignment="false" applyProtection="false">
      <alignment horizontal="general" vertical="bottom" textRotation="0" wrapText="false" indent="0" shrinkToFit="false"/>
      <protection locked="true" hidden="false"/>
    </xf>
    <xf numFmtId="176" fontId="11" fillId="3" borderId="24" xfId="0" applyFont="true" applyBorder="true" applyAlignment="false" applyProtection="false">
      <alignment horizontal="general" vertical="bottom" textRotation="0" wrapText="false" indent="0" shrinkToFit="false"/>
      <protection locked="true" hidden="false"/>
    </xf>
    <xf numFmtId="174" fontId="5" fillId="0" borderId="24" xfId="0" applyFont="true" applyBorder="true" applyAlignment="false" applyProtection="false">
      <alignment horizontal="general" vertical="bottom" textRotation="0" wrapText="false" indent="0" shrinkToFit="false"/>
      <protection locked="true" hidden="false"/>
    </xf>
    <xf numFmtId="174" fontId="0" fillId="0" borderId="24" xfId="0" applyFont="false" applyBorder="true" applyAlignment="false" applyProtection="false">
      <alignment horizontal="general" vertical="bottom" textRotation="0" wrapText="false" indent="0" shrinkToFit="false"/>
      <protection locked="true" hidden="false"/>
    </xf>
    <xf numFmtId="174" fontId="0" fillId="0" borderId="25" xfId="0" applyFont="false" applyBorder="true" applyAlignment="false" applyProtection="false">
      <alignment horizontal="general" vertical="bottom" textRotation="0" wrapText="false" indent="0" shrinkToFit="false"/>
      <protection locked="true" hidden="false"/>
    </xf>
    <xf numFmtId="174" fontId="16" fillId="0" borderId="4"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xls/Support%20Detail%20Presentation-HR%20092001.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Allocations%20to%20BUs%20091901v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HR Consolidated"/>
      <sheetName val="HR Allocations"/>
      <sheetName val="CORP"/>
      <sheetName val="CORP Alloc"/>
      <sheetName val="EES"/>
      <sheetName val="ENA"/>
      <sheetName val="ENA Alloc"/>
      <sheetName val="ENW"/>
      <sheetName val="ENW Alloc"/>
      <sheetName val="Template"/>
    </sheetNames>
    <sheetDataSet>
      <sheetData sheetId="0"/>
      <sheetData sheetId="1"/>
      <sheetData sheetId="2">
        <row r="11">
          <cell r="E11">
            <v>406119</v>
          </cell>
        </row>
        <row r="11">
          <cell r="G11">
            <v>290085</v>
          </cell>
        </row>
        <row r="11">
          <cell r="I11">
            <v>193046</v>
          </cell>
        </row>
        <row r="11">
          <cell r="M11">
            <v>650077</v>
          </cell>
        </row>
        <row r="13">
          <cell r="E13">
            <v>0</v>
          </cell>
        </row>
        <row r="13">
          <cell r="G13">
            <v>0</v>
          </cell>
        </row>
        <row r="13">
          <cell r="I13">
            <v>0</v>
          </cell>
        </row>
        <row r="13">
          <cell r="M13">
            <v>0</v>
          </cell>
        </row>
        <row r="14">
          <cell r="E14">
            <v>0</v>
          </cell>
        </row>
        <row r="14">
          <cell r="G14">
            <v>0</v>
          </cell>
        </row>
        <row r="14">
          <cell r="I14">
            <v>0</v>
          </cell>
        </row>
        <row r="14">
          <cell r="M14">
            <v>8400</v>
          </cell>
        </row>
        <row r="15">
          <cell r="E15">
            <v>0</v>
          </cell>
        </row>
        <row r="15">
          <cell r="G15">
            <v>0</v>
          </cell>
        </row>
        <row r="15">
          <cell r="I15">
            <v>0</v>
          </cell>
        </row>
        <row r="15">
          <cell r="M15">
            <v>3000</v>
          </cell>
        </row>
        <row r="16">
          <cell r="E16">
            <v>0</v>
          </cell>
        </row>
        <row r="16">
          <cell r="G16">
            <v>0</v>
          </cell>
        </row>
        <row r="16">
          <cell r="I16">
            <v>0</v>
          </cell>
        </row>
        <row r="16">
          <cell r="M16">
            <v>0</v>
          </cell>
        </row>
        <row r="17">
          <cell r="E17">
            <v>0</v>
          </cell>
        </row>
        <row r="17">
          <cell r="G17">
            <v>0</v>
          </cell>
        </row>
        <row r="17">
          <cell r="I17">
            <v>0</v>
          </cell>
        </row>
        <row r="17">
          <cell r="M17">
            <v>600</v>
          </cell>
        </row>
        <row r="18">
          <cell r="E18">
            <v>0</v>
          </cell>
        </row>
        <row r="18">
          <cell r="G18">
            <v>0</v>
          </cell>
        </row>
        <row r="18">
          <cell r="I18">
            <v>0</v>
          </cell>
        </row>
        <row r="18">
          <cell r="M18">
            <v>3000</v>
          </cell>
        </row>
        <row r="19">
          <cell r="E19">
            <v>0</v>
          </cell>
        </row>
        <row r="19">
          <cell r="G19">
            <v>0</v>
          </cell>
        </row>
        <row r="19">
          <cell r="I19">
            <v>0</v>
          </cell>
        </row>
        <row r="19">
          <cell r="M19">
            <v>0</v>
          </cell>
        </row>
        <row r="20">
          <cell r="E20">
            <v>0</v>
          </cell>
        </row>
        <row r="20">
          <cell r="G20">
            <v>0</v>
          </cell>
        </row>
        <row r="20">
          <cell r="I20">
            <v>0</v>
          </cell>
        </row>
        <row r="20">
          <cell r="M20">
            <v>7000</v>
          </cell>
        </row>
        <row r="21">
          <cell r="E21">
            <v>39550</v>
          </cell>
        </row>
        <row r="21">
          <cell r="G21">
            <v>28250</v>
          </cell>
        </row>
        <row r="21">
          <cell r="I21">
            <v>11808</v>
          </cell>
        </row>
        <row r="21">
          <cell r="M21">
            <v>1200</v>
          </cell>
        </row>
        <row r="23">
          <cell r="E23">
            <v>0</v>
          </cell>
        </row>
        <row r="23">
          <cell r="G23">
            <v>0</v>
          </cell>
        </row>
        <row r="23">
          <cell r="I23">
            <v>0</v>
          </cell>
        </row>
        <row r="23">
          <cell r="M23">
            <v>7000</v>
          </cell>
        </row>
        <row r="24">
          <cell r="E24">
            <v>0</v>
          </cell>
        </row>
        <row r="24">
          <cell r="G24">
            <v>0</v>
          </cell>
        </row>
        <row r="24">
          <cell r="I24">
            <v>0</v>
          </cell>
        </row>
        <row r="24">
          <cell r="M24">
            <v>1000</v>
          </cell>
        </row>
        <row r="25">
          <cell r="E25">
            <v>0</v>
          </cell>
        </row>
        <row r="25">
          <cell r="G25">
            <v>0</v>
          </cell>
        </row>
        <row r="25">
          <cell r="I25">
            <v>0</v>
          </cell>
        </row>
        <row r="25">
          <cell r="M25">
            <v>1000</v>
          </cell>
        </row>
        <row r="26">
          <cell r="E26">
            <v>0</v>
          </cell>
        </row>
        <row r="26">
          <cell r="G26">
            <v>0</v>
          </cell>
        </row>
        <row r="26">
          <cell r="I26">
            <v>0</v>
          </cell>
        </row>
        <row r="26">
          <cell r="M26">
            <v>0</v>
          </cell>
        </row>
        <row r="27">
          <cell r="E27">
            <v>0</v>
          </cell>
        </row>
        <row r="27">
          <cell r="G27">
            <v>0</v>
          </cell>
        </row>
        <row r="27">
          <cell r="I27">
            <v>0</v>
          </cell>
        </row>
        <row r="27">
          <cell r="M27">
            <v>0</v>
          </cell>
        </row>
        <row r="28">
          <cell r="E28">
            <v>0</v>
          </cell>
        </row>
        <row r="28">
          <cell r="G28">
            <v>0</v>
          </cell>
        </row>
        <row r="28">
          <cell r="I28">
            <v>0</v>
          </cell>
        </row>
        <row r="28">
          <cell r="M28">
            <v>0</v>
          </cell>
        </row>
        <row r="30">
          <cell r="E30">
            <v>0</v>
          </cell>
        </row>
        <row r="30">
          <cell r="G30">
            <v>0</v>
          </cell>
        </row>
        <row r="30">
          <cell r="I30">
            <v>0</v>
          </cell>
        </row>
        <row r="30">
          <cell r="M30">
            <v>20000</v>
          </cell>
        </row>
        <row r="31">
          <cell r="E31">
            <v>268132</v>
          </cell>
        </row>
        <row r="31">
          <cell r="G31">
            <v>191522.857142857</v>
          </cell>
        </row>
        <row r="31">
          <cell r="I31">
            <v>0</v>
          </cell>
        </row>
        <row r="31">
          <cell r="M31">
            <v>149100</v>
          </cell>
        </row>
        <row r="33">
          <cell r="E33">
            <v>126</v>
          </cell>
        </row>
        <row r="33">
          <cell r="G33">
            <v>90</v>
          </cell>
        </row>
        <row r="33">
          <cell r="I33">
            <v>0</v>
          </cell>
        </row>
        <row r="33">
          <cell r="M33">
            <v>0</v>
          </cell>
        </row>
        <row r="34">
          <cell r="E34">
            <v>28896</v>
          </cell>
        </row>
        <row r="34">
          <cell r="G34">
            <v>20640</v>
          </cell>
        </row>
        <row r="34">
          <cell r="I34">
            <v>2004</v>
          </cell>
        </row>
        <row r="34">
          <cell r="M34">
            <v>6900</v>
          </cell>
        </row>
        <row r="35">
          <cell r="E35">
            <v>0</v>
          </cell>
        </row>
        <row r="35">
          <cell r="G35">
            <v>0</v>
          </cell>
        </row>
        <row r="35">
          <cell r="I35">
            <v>0</v>
          </cell>
        </row>
        <row r="35">
          <cell r="M35">
            <v>0</v>
          </cell>
        </row>
        <row r="36">
          <cell r="E36">
            <v>0</v>
          </cell>
        </row>
        <row r="36">
          <cell r="G36">
            <v>0</v>
          </cell>
        </row>
        <row r="36">
          <cell r="I36">
            <v>0</v>
          </cell>
        </row>
        <row r="36">
          <cell r="M36">
            <v>3000</v>
          </cell>
        </row>
        <row r="37">
          <cell r="E37">
            <v>112998</v>
          </cell>
        </row>
        <row r="37">
          <cell r="G37">
            <v>10712.8571428571</v>
          </cell>
        </row>
        <row r="37">
          <cell r="I37">
            <v>26400</v>
          </cell>
        </row>
        <row r="37">
          <cell r="M37">
            <v>70000</v>
          </cell>
        </row>
        <row r="38">
          <cell r="E38">
            <v>11760</v>
          </cell>
        </row>
        <row r="38">
          <cell r="G38">
            <v>8400</v>
          </cell>
        </row>
        <row r="38">
          <cell r="I38">
            <v>1200</v>
          </cell>
        </row>
        <row r="38">
          <cell r="M38">
            <v>0</v>
          </cell>
        </row>
        <row r="39">
          <cell r="E39">
            <v>5340</v>
          </cell>
        </row>
        <row r="39">
          <cell r="G39">
            <v>3814.28571428571</v>
          </cell>
        </row>
        <row r="39">
          <cell r="I39">
            <v>6000</v>
          </cell>
        </row>
        <row r="39">
          <cell r="M39">
            <v>3600</v>
          </cell>
        </row>
        <row r="40">
          <cell r="E40">
            <v>0</v>
          </cell>
        </row>
        <row r="40">
          <cell r="G40">
            <v>0</v>
          </cell>
        </row>
        <row r="40">
          <cell r="I40">
            <v>0</v>
          </cell>
        </row>
        <row r="40">
          <cell r="M40">
            <v>0</v>
          </cell>
        </row>
        <row r="41">
          <cell r="E41">
            <v>0</v>
          </cell>
        </row>
        <row r="41">
          <cell r="G41">
            <v>0</v>
          </cell>
        </row>
        <row r="41">
          <cell r="I41">
            <v>0</v>
          </cell>
        </row>
        <row r="41">
          <cell r="M41">
            <v>0</v>
          </cell>
        </row>
        <row r="42">
          <cell r="E42">
            <v>0</v>
          </cell>
        </row>
        <row r="42">
          <cell r="G42">
            <v>0</v>
          </cell>
        </row>
        <row r="42">
          <cell r="I42">
            <v>0</v>
          </cell>
        </row>
        <row r="42">
          <cell r="M42">
            <v>0</v>
          </cell>
        </row>
        <row r="44">
          <cell r="E44">
            <v>0</v>
          </cell>
        </row>
        <row r="44">
          <cell r="G44">
            <v>0</v>
          </cell>
        </row>
        <row r="44">
          <cell r="I44">
            <v>0</v>
          </cell>
        </row>
        <row r="44">
          <cell r="M44">
            <v>0</v>
          </cell>
        </row>
        <row r="45">
          <cell r="E45">
            <v>0</v>
          </cell>
        </row>
        <row r="45">
          <cell r="G45">
            <v>0</v>
          </cell>
        </row>
        <row r="45">
          <cell r="I45">
            <v>0</v>
          </cell>
        </row>
        <row r="45">
          <cell r="M45">
            <v>0</v>
          </cell>
        </row>
        <row r="46">
          <cell r="E46">
            <v>0</v>
          </cell>
        </row>
        <row r="46">
          <cell r="G46">
            <v>0</v>
          </cell>
        </row>
        <row r="46">
          <cell r="I46">
            <v>0</v>
          </cell>
        </row>
        <row r="46">
          <cell r="M46">
            <v>0</v>
          </cell>
        </row>
        <row r="47">
          <cell r="E47">
            <v>29853</v>
          </cell>
        </row>
        <row r="47">
          <cell r="G47">
            <v>21323.5714285714</v>
          </cell>
        </row>
        <row r="47">
          <cell r="I47">
            <v>292008</v>
          </cell>
        </row>
        <row r="47">
          <cell r="M47">
            <v>0</v>
          </cell>
        </row>
        <row r="48">
          <cell r="E48">
            <v>0</v>
          </cell>
        </row>
        <row r="48">
          <cell r="G48">
            <v>0</v>
          </cell>
        </row>
        <row r="48">
          <cell r="I48">
            <v>0</v>
          </cell>
        </row>
        <row r="48">
          <cell r="M48">
            <v>0</v>
          </cell>
        </row>
        <row r="49">
          <cell r="E49">
            <v>0</v>
          </cell>
        </row>
        <row r="49">
          <cell r="G49">
            <v>0</v>
          </cell>
        </row>
        <row r="49">
          <cell r="I49">
            <v>0</v>
          </cell>
        </row>
        <row r="49">
          <cell r="M49">
            <v>0</v>
          </cell>
        </row>
        <row r="50">
          <cell r="E50">
            <v>0</v>
          </cell>
        </row>
        <row r="50">
          <cell r="G50">
            <v>0</v>
          </cell>
        </row>
        <row r="50">
          <cell r="I50">
            <v>0</v>
          </cell>
        </row>
        <row r="50">
          <cell r="M50">
            <v>0</v>
          </cell>
        </row>
        <row r="58">
          <cell r="E58">
            <v>-285831</v>
          </cell>
        </row>
        <row r="58">
          <cell r="G58">
            <v>-1124786</v>
          </cell>
        </row>
        <row r="58">
          <cell r="I58">
            <v>-489996</v>
          </cell>
        </row>
        <row r="58">
          <cell r="M58">
            <v>-834525</v>
          </cell>
        </row>
        <row r="59">
          <cell r="E59">
            <v>0</v>
          </cell>
        </row>
        <row r="59">
          <cell r="G59">
            <v>0</v>
          </cell>
        </row>
        <row r="59">
          <cell r="I59">
            <v>0</v>
          </cell>
        </row>
        <row r="59">
          <cell r="M59">
            <v>0</v>
          </cell>
        </row>
        <row r="63">
          <cell r="E63">
            <v>0</v>
          </cell>
        </row>
        <row r="63">
          <cell r="G63">
            <v>9</v>
          </cell>
        </row>
        <row r="63">
          <cell r="I63">
            <v>0</v>
          </cell>
        </row>
        <row r="63">
          <cell r="M63">
            <v>7</v>
          </cell>
        </row>
      </sheetData>
      <sheetData sheetId="3"/>
      <sheetData sheetId="4">
        <row r="11">
          <cell r="E11">
            <v>2006526</v>
          </cell>
        </row>
        <row r="11">
          <cell r="G11">
            <v>703680</v>
          </cell>
        </row>
        <row r="11">
          <cell r="I11">
            <v>1792627</v>
          </cell>
        </row>
        <row r="11">
          <cell r="M11">
            <v>1651825</v>
          </cell>
        </row>
        <row r="13">
          <cell r="E13">
            <v>0</v>
          </cell>
        </row>
        <row r="13">
          <cell r="G13">
            <v>0</v>
          </cell>
        </row>
        <row r="13">
          <cell r="I13">
            <v>40000</v>
          </cell>
        </row>
        <row r="13">
          <cell r="M13">
            <v>0</v>
          </cell>
        </row>
        <row r="14">
          <cell r="E14">
            <v>0</v>
          </cell>
        </row>
        <row r="14">
          <cell r="G14">
            <v>0</v>
          </cell>
        </row>
        <row r="14">
          <cell r="I14">
            <v>0</v>
          </cell>
        </row>
        <row r="14">
          <cell r="M14">
            <v>0</v>
          </cell>
        </row>
        <row r="15">
          <cell r="E15">
            <v>0</v>
          </cell>
        </row>
        <row r="15">
          <cell r="G15">
            <v>0</v>
          </cell>
        </row>
        <row r="15">
          <cell r="I15">
            <v>0</v>
          </cell>
        </row>
        <row r="15">
          <cell r="M15">
            <v>0</v>
          </cell>
        </row>
        <row r="16">
          <cell r="E16">
            <v>0</v>
          </cell>
        </row>
        <row r="16">
          <cell r="G16">
            <v>0</v>
          </cell>
        </row>
        <row r="16">
          <cell r="I16">
            <v>0</v>
          </cell>
        </row>
        <row r="16">
          <cell r="M16">
            <v>0</v>
          </cell>
        </row>
        <row r="17">
          <cell r="E17">
            <v>0</v>
          </cell>
        </row>
        <row r="17">
          <cell r="G17">
            <v>0</v>
          </cell>
        </row>
        <row r="17">
          <cell r="I17">
            <v>0</v>
          </cell>
        </row>
        <row r="17">
          <cell r="M17">
            <v>0</v>
          </cell>
        </row>
        <row r="18">
          <cell r="E18">
            <v>0</v>
          </cell>
        </row>
        <row r="18">
          <cell r="G18">
            <v>0</v>
          </cell>
        </row>
        <row r="18">
          <cell r="I18">
            <v>0</v>
          </cell>
        </row>
        <row r="18">
          <cell r="M18">
            <v>0</v>
          </cell>
        </row>
        <row r="19">
          <cell r="E19">
            <v>16660</v>
          </cell>
        </row>
        <row r="19">
          <cell r="G19">
            <v>12100</v>
          </cell>
        </row>
        <row r="19">
          <cell r="I19">
            <v>36960</v>
          </cell>
        </row>
        <row r="19">
          <cell r="M19">
            <v>45000</v>
          </cell>
        </row>
        <row r="20">
          <cell r="E20">
            <v>0</v>
          </cell>
        </row>
        <row r="20">
          <cell r="G20">
            <v>0</v>
          </cell>
        </row>
        <row r="20">
          <cell r="I20">
            <v>0</v>
          </cell>
        </row>
        <row r="20">
          <cell r="M20">
            <v>0</v>
          </cell>
        </row>
        <row r="21">
          <cell r="E21">
            <v>121141</v>
          </cell>
        </row>
        <row r="21">
          <cell r="G21">
            <v>5000</v>
          </cell>
        </row>
        <row r="21">
          <cell r="I21">
            <v>12000</v>
          </cell>
        </row>
        <row r="21">
          <cell r="M21">
            <v>0</v>
          </cell>
        </row>
        <row r="23">
          <cell r="E23">
            <v>0</v>
          </cell>
        </row>
        <row r="23">
          <cell r="G23">
            <v>0</v>
          </cell>
        </row>
        <row r="23">
          <cell r="I23">
            <v>0</v>
          </cell>
        </row>
        <row r="23">
          <cell r="M23">
            <v>0</v>
          </cell>
        </row>
        <row r="24">
          <cell r="E24">
            <v>0</v>
          </cell>
        </row>
        <row r="24">
          <cell r="G24">
            <v>0</v>
          </cell>
        </row>
        <row r="24">
          <cell r="I24">
            <v>0</v>
          </cell>
        </row>
        <row r="24">
          <cell r="M24">
            <v>0</v>
          </cell>
        </row>
        <row r="25">
          <cell r="E25">
            <v>0</v>
          </cell>
        </row>
        <row r="25">
          <cell r="G25">
            <v>0</v>
          </cell>
        </row>
        <row r="25">
          <cell r="I25">
            <v>0</v>
          </cell>
        </row>
        <row r="25">
          <cell r="M25">
            <v>0</v>
          </cell>
        </row>
        <row r="26">
          <cell r="E26">
            <v>17872</v>
          </cell>
        </row>
        <row r="26">
          <cell r="G26">
            <v>11958</v>
          </cell>
        </row>
        <row r="26">
          <cell r="I26">
            <v>50750</v>
          </cell>
        </row>
        <row r="26">
          <cell r="M26">
            <v>75000</v>
          </cell>
        </row>
        <row r="27">
          <cell r="E27">
            <v>0</v>
          </cell>
        </row>
        <row r="27">
          <cell r="G27">
            <v>0</v>
          </cell>
        </row>
        <row r="27">
          <cell r="I27">
            <v>0</v>
          </cell>
        </row>
        <row r="27">
          <cell r="M27">
            <v>0</v>
          </cell>
        </row>
        <row r="28">
          <cell r="E28">
            <v>0</v>
          </cell>
        </row>
        <row r="28">
          <cell r="G28">
            <v>0</v>
          </cell>
        </row>
        <row r="28">
          <cell r="I28">
            <v>0</v>
          </cell>
        </row>
        <row r="28">
          <cell r="M28">
            <v>0</v>
          </cell>
        </row>
        <row r="30">
          <cell r="E30">
            <v>2780</v>
          </cell>
        </row>
        <row r="30">
          <cell r="G30">
            <v>0</v>
          </cell>
        </row>
        <row r="30">
          <cell r="I30">
            <v>0</v>
          </cell>
        </row>
        <row r="30">
          <cell r="M30">
            <v>0</v>
          </cell>
        </row>
        <row r="31">
          <cell r="E31">
            <v>370297</v>
          </cell>
        </row>
        <row r="31">
          <cell r="G31">
            <v>131665</v>
          </cell>
        </row>
        <row r="31">
          <cell r="I31">
            <v>403657</v>
          </cell>
        </row>
        <row r="31">
          <cell r="M31">
            <v>296000</v>
          </cell>
        </row>
        <row r="33">
          <cell r="E33">
            <v>0</v>
          </cell>
        </row>
        <row r="33">
          <cell r="G33">
            <v>0</v>
          </cell>
        </row>
        <row r="33">
          <cell r="I33">
            <v>0</v>
          </cell>
        </row>
        <row r="33">
          <cell r="M33">
            <v>0</v>
          </cell>
        </row>
        <row r="34">
          <cell r="E34">
            <v>69054</v>
          </cell>
        </row>
        <row r="34">
          <cell r="G34">
            <v>14000</v>
          </cell>
        </row>
        <row r="34">
          <cell r="I34">
            <v>34100</v>
          </cell>
        </row>
        <row r="34">
          <cell r="M34">
            <v>33600</v>
          </cell>
        </row>
        <row r="35">
          <cell r="E35">
            <v>0</v>
          </cell>
        </row>
        <row r="35">
          <cell r="G35">
            <v>0</v>
          </cell>
        </row>
        <row r="35">
          <cell r="I35">
            <v>0</v>
          </cell>
        </row>
        <row r="35">
          <cell r="M35">
            <v>0</v>
          </cell>
        </row>
        <row r="36">
          <cell r="E36">
            <v>0</v>
          </cell>
        </row>
        <row r="36">
          <cell r="G36">
            <v>0</v>
          </cell>
        </row>
        <row r="36">
          <cell r="I36">
            <v>0</v>
          </cell>
        </row>
        <row r="36">
          <cell r="M36">
            <v>0</v>
          </cell>
        </row>
        <row r="37">
          <cell r="E37">
            <v>56875</v>
          </cell>
        </row>
        <row r="37">
          <cell r="G37">
            <v>40488</v>
          </cell>
        </row>
        <row r="37">
          <cell r="I37">
            <v>99220</v>
          </cell>
        </row>
        <row r="37">
          <cell r="M37">
            <v>222336</v>
          </cell>
        </row>
        <row r="38">
          <cell r="E38">
            <v>24836</v>
          </cell>
        </row>
        <row r="38">
          <cell r="G38">
            <v>17120</v>
          </cell>
        </row>
        <row r="38">
          <cell r="I38">
            <v>42080</v>
          </cell>
        </row>
        <row r="38">
          <cell r="M38">
            <v>19200</v>
          </cell>
        </row>
        <row r="39">
          <cell r="E39">
            <v>0</v>
          </cell>
        </row>
        <row r="39">
          <cell r="G39">
            <v>0</v>
          </cell>
        </row>
        <row r="39">
          <cell r="I39">
            <v>0</v>
          </cell>
        </row>
        <row r="39">
          <cell r="M39">
            <v>0</v>
          </cell>
        </row>
        <row r="40">
          <cell r="E40">
            <v>0</v>
          </cell>
        </row>
        <row r="40">
          <cell r="G40">
            <v>0</v>
          </cell>
        </row>
        <row r="40">
          <cell r="I40">
            <v>0</v>
          </cell>
        </row>
        <row r="40">
          <cell r="M40">
            <v>0</v>
          </cell>
        </row>
        <row r="41">
          <cell r="E41">
            <v>0</v>
          </cell>
        </row>
        <row r="41">
          <cell r="G41">
            <v>0</v>
          </cell>
        </row>
        <row r="41">
          <cell r="I41">
            <v>0</v>
          </cell>
        </row>
        <row r="41">
          <cell r="M41">
            <v>0</v>
          </cell>
        </row>
        <row r="42">
          <cell r="E42">
            <v>125650</v>
          </cell>
        </row>
        <row r="42">
          <cell r="G42">
            <v>89750</v>
          </cell>
        </row>
        <row r="42">
          <cell r="I42">
            <v>215400</v>
          </cell>
        </row>
        <row r="42">
          <cell r="M42">
            <v>0</v>
          </cell>
        </row>
        <row r="44">
          <cell r="E44">
            <v>0</v>
          </cell>
        </row>
        <row r="44">
          <cell r="G44">
            <v>0</v>
          </cell>
        </row>
        <row r="44">
          <cell r="I44">
            <v>0</v>
          </cell>
        </row>
        <row r="44">
          <cell r="M44">
            <v>0</v>
          </cell>
        </row>
        <row r="45">
          <cell r="E45">
            <v>0</v>
          </cell>
        </row>
        <row r="45">
          <cell r="G45">
            <v>0</v>
          </cell>
        </row>
        <row r="45">
          <cell r="I45">
            <v>0</v>
          </cell>
        </row>
        <row r="45">
          <cell r="M45">
            <v>0</v>
          </cell>
        </row>
        <row r="46">
          <cell r="E46">
            <v>0</v>
          </cell>
        </row>
        <row r="46">
          <cell r="G46">
            <v>0</v>
          </cell>
        </row>
        <row r="46">
          <cell r="I46">
            <v>0</v>
          </cell>
        </row>
        <row r="46">
          <cell r="M46">
            <v>0</v>
          </cell>
        </row>
        <row r="47">
          <cell r="E47">
            <v>48067</v>
          </cell>
        </row>
        <row r="47">
          <cell r="G47">
            <v>68000</v>
          </cell>
        </row>
        <row r="47">
          <cell r="I47">
            <v>155500</v>
          </cell>
        </row>
        <row r="47">
          <cell r="M47">
            <v>0</v>
          </cell>
        </row>
        <row r="48">
          <cell r="E48">
            <v>0</v>
          </cell>
        </row>
        <row r="48">
          <cell r="G48">
            <v>0</v>
          </cell>
        </row>
        <row r="48">
          <cell r="I48">
            <v>0</v>
          </cell>
        </row>
        <row r="48">
          <cell r="M48">
            <v>0</v>
          </cell>
        </row>
        <row r="49">
          <cell r="E49">
            <v>0</v>
          </cell>
        </row>
        <row r="49">
          <cell r="G49">
            <v>0</v>
          </cell>
        </row>
        <row r="49">
          <cell r="I49">
            <v>0</v>
          </cell>
        </row>
        <row r="49">
          <cell r="M49">
            <v>0</v>
          </cell>
        </row>
        <row r="50">
          <cell r="E50">
            <v>0</v>
          </cell>
        </row>
        <row r="50">
          <cell r="G50">
            <v>0</v>
          </cell>
        </row>
        <row r="50">
          <cell r="I50">
            <v>0</v>
          </cell>
        </row>
        <row r="50">
          <cell r="M50">
            <v>0</v>
          </cell>
        </row>
        <row r="58">
          <cell r="E58">
            <v>0</v>
          </cell>
        </row>
        <row r="58">
          <cell r="G58">
            <v>-3953519</v>
          </cell>
        </row>
        <row r="58">
          <cell r="I58">
            <v>0</v>
          </cell>
        </row>
        <row r="58">
          <cell r="M58">
            <v>-2342961</v>
          </cell>
        </row>
        <row r="59">
          <cell r="E59">
            <v>0</v>
          </cell>
        </row>
        <row r="59">
          <cell r="G59">
            <v>0</v>
          </cell>
        </row>
        <row r="59">
          <cell r="I59">
            <v>0</v>
          </cell>
        </row>
        <row r="59">
          <cell r="M59">
            <v>0</v>
          </cell>
        </row>
        <row r="63">
          <cell r="E63">
            <v>0</v>
          </cell>
        </row>
        <row r="63">
          <cell r="G63">
            <v>19</v>
          </cell>
        </row>
        <row r="63">
          <cell r="I63">
            <v>20</v>
          </cell>
        </row>
        <row r="63">
          <cell r="M63">
            <v>16</v>
          </cell>
        </row>
      </sheetData>
      <sheetData sheetId="5">
        <row r="11">
          <cell r="E11">
            <v>3431574</v>
          </cell>
        </row>
        <row r="11">
          <cell r="G11">
            <v>2448513</v>
          </cell>
        </row>
        <row r="11">
          <cell r="I11">
            <v>5785787</v>
          </cell>
        </row>
        <row r="11">
          <cell r="M11">
            <v>7002014</v>
          </cell>
        </row>
        <row r="13">
          <cell r="E13">
            <v>0</v>
          </cell>
        </row>
        <row r="13">
          <cell r="G13">
            <v>0</v>
          </cell>
        </row>
        <row r="13">
          <cell r="I13">
            <v>0</v>
          </cell>
        </row>
        <row r="13">
          <cell r="M13">
            <v>8000</v>
          </cell>
        </row>
        <row r="14">
          <cell r="E14">
            <v>35688</v>
          </cell>
        </row>
        <row r="14">
          <cell r="G14">
            <v>25492</v>
          </cell>
        </row>
        <row r="14">
          <cell r="I14">
            <v>50100</v>
          </cell>
        </row>
        <row r="14">
          <cell r="M14">
            <v>29776</v>
          </cell>
        </row>
        <row r="15">
          <cell r="E15">
            <v>0</v>
          </cell>
        </row>
        <row r="15">
          <cell r="G15">
            <v>0</v>
          </cell>
        </row>
        <row r="15">
          <cell r="I15">
            <v>0</v>
          </cell>
        </row>
        <row r="15">
          <cell r="M15">
            <v>32796</v>
          </cell>
        </row>
        <row r="16">
          <cell r="E16">
            <v>1725</v>
          </cell>
        </row>
        <row r="16">
          <cell r="G16">
            <v>1232</v>
          </cell>
        </row>
        <row r="16">
          <cell r="I16">
            <v>0</v>
          </cell>
        </row>
        <row r="16">
          <cell r="M16">
            <v>0</v>
          </cell>
        </row>
        <row r="17">
          <cell r="E17">
            <v>7487</v>
          </cell>
        </row>
        <row r="17">
          <cell r="G17">
            <v>5348</v>
          </cell>
        </row>
        <row r="17">
          <cell r="I17">
            <v>37000</v>
          </cell>
        </row>
        <row r="17">
          <cell r="M17">
            <v>8460</v>
          </cell>
        </row>
        <row r="18">
          <cell r="E18">
            <v>0</v>
          </cell>
        </row>
        <row r="18">
          <cell r="G18">
            <v>0</v>
          </cell>
        </row>
        <row r="18">
          <cell r="I18">
            <v>0</v>
          </cell>
        </row>
        <row r="18">
          <cell r="M18">
            <v>19908</v>
          </cell>
        </row>
        <row r="19">
          <cell r="E19">
            <v>2000</v>
          </cell>
        </row>
        <row r="19">
          <cell r="G19">
            <v>0</v>
          </cell>
        </row>
        <row r="19">
          <cell r="I19">
            <v>155704</v>
          </cell>
        </row>
        <row r="19">
          <cell r="M19">
            <v>0</v>
          </cell>
        </row>
        <row r="20">
          <cell r="E20">
            <v>58544</v>
          </cell>
        </row>
        <row r="20">
          <cell r="G20">
            <v>43245</v>
          </cell>
        </row>
        <row r="20">
          <cell r="I20">
            <v>0</v>
          </cell>
        </row>
        <row r="20">
          <cell r="M20">
            <v>53540</v>
          </cell>
        </row>
        <row r="21">
          <cell r="E21">
            <v>-29909</v>
          </cell>
        </row>
        <row r="21">
          <cell r="G21">
            <v>0</v>
          </cell>
        </row>
        <row r="21">
          <cell r="I21">
            <v>21160</v>
          </cell>
        </row>
        <row r="21">
          <cell r="M21">
            <v>6400</v>
          </cell>
        </row>
        <row r="23">
          <cell r="E23">
            <v>0</v>
          </cell>
        </row>
        <row r="23">
          <cell r="G23">
            <v>0</v>
          </cell>
        </row>
        <row r="23">
          <cell r="I23">
            <v>204268</v>
          </cell>
        </row>
        <row r="23">
          <cell r="M23">
            <v>58660</v>
          </cell>
        </row>
        <row r="24">
          <cell r="E24">
            <v>0</v>
          </cell>
        </row>
        <row r="24">
          <cell r="G24">
            <v>0</v>
          </cell>
        </row>
        <row r="24">
          <cell r="I24">
            <v>0</v>
          </cell>
        </row>
        <row r="24">
          <cell r="M24">
            <v>23356</v>
          </cell>
        </row>
        <row r="25">
          <cell r="E25">
            <v>0</v>
          </cell>
        </row>
        <row r="25">
          <cell r="G25">
            <v>0</v>
          </cell>
        </row>
        <row r="25">
          <cell r="I25">
            <v>0</v>
          </cell>
        </row>
        <row r="25">
          <cell r="M25">
            <v>4176</v>
          </cell>
        </row>
        <row r="26">
          <cell r="E26">
            <v>138341</v>
          </cell>
        </row>
        <row r="26">
          <cell r="G26">
            <v>98815</v>
          </cell>
        </row>
        <row r="26">
          <cell r="I26">
            <v>0</v>
          </cell>
        </row>
        <row r="26">
          <cell r="M26">
            <v>56884</v>
          </cell>
        </row>
        <row r="27">
          <cell r="E27">
            <v>42559</v>
          </cell>
        </row>
        <row r="27">
          <cell r="G27">
            <v>30400</v>
          </cell>
        </row>
        <row r="27">
          <cell r="I27">
            <v>0</v>
          </cell>
        </row>
        <row r="27">
          <cell r="M27">
            <v>8648</v>
          </cell>
        </row>
        <row r="28">
          <cell r="E28">
            <v>0</v>
          </cell>
        </row>
        <row r="28">
          <cell r="G28">
            <v>0</v>
          </cell>
        </row>
        <row r="28">
          <cell r="I28">
            <v>0</v>
          </cell>
        </row>
        <row r="28">
          <cell r="M28">
            <v>5700</v>
          </cell>
        </row>
        <row r="30">
          <cell r="E30">
            <v>967</v>
          </cell>
        </row>
        <row r="30">
          <cell r="G30">
            <v>691</v>
          </cell>
        </row>
        <row r="30">
          <cell r="I30">
            <v>0</v>
          </cell>
        </row>
        <row r="30">
          <cell r="M30">
            <v>1984</v>
          </cell>
        </row>
        <row r="31">
          <cell r="E31">
            <v>-30241</v>
          </cell>
        </row>
        <row r="31">
          <cell r="G31">
            <v>223178</v>
          </cell>
        </row>
        <row r="31">
          <cell r="I31">
            <v>692293</v>
          </cell>
        </row>
        <row r="31">
          <cell r="M31">
            <v>172452</v>
          </cell>
        </row>
        <row r="33">
          <cell r="E33">
            <v>3031</v>
          </cell>
        </row>
        <row r="33">
          <cell r="G33">
            <v>2165</v>
          </cell>
        </row>
        <row r="33">
          <cell r="I33">
            <v>0</v>
          </cell>
        </row>
        <row r="33">
          <cell r="M33">
            <v>11200</v>
          </cell>
        </row>
        <row r="34">
          <cell r="E34">
            <v>78970</v>
          </cell>
        </row>
        <row r="34">
          <cell r="G34">
            <v>56407</v>
          </cell>
        </row>
        <row r="34">
          <cell r="I34">
            <v>220330</v>
          </cell>
        </row>
        <row r="34">
          <cell r="M34">
            <v>117972</v>
          </cell>
        </row>
        <row r="35">
          <cell r="E35">
            <v>15175</v>
          </cell>
        </row>
        <row r="35">
          <cell r="G35">
            <v>10839</v>
          </cell>
        </row>
        <row r="35">
          <cell r="I35">
            <v>4500</v>
          </cell>
        </row>
        <row r="35">
          <cell r="M35">
            <v>23254</v>
          </cell>
        </row>
        <row r="36">
          <cell r="E36">
            <v>2050</v>
          </cell>
        </row>
        <row r="36">
          <cell r="G36">
            <v>1465</v>
          </cell>
        </row>
        <row r="36">
          <cell r="I36">
            <v>2996</v>
          </cell>
        </row>
        <row r="36">
          <cell r="M36">
            <v>4640</v>
          </cell>
        </row>
        <row r="37">
          <cell r="E37">
            <v>513350</v>
          </cell>
        </row>
        <row r="37">
          <cell r="G37">
            <v>366678</v>
          </cell>
        </row>
        <row r="37">
          <cell r="I37">
            <v>469252</v>
          </cell>
        </row>
        <row r="37">
          <cell r="M37">
            <v>951914</v>
          </cell>
        </row>
        <row r="38">
          <cell r="E38">
            <v>100413</v>
          </cell>
        </row>
        <row r="38">
          <cell r="G38">
            <v>71723</v>
          </cell>
        </row>
        <row r="38">
          <cell r="I38">
            <v>5000</v>
          </cell>
        </row>
        <row r="38">
          <cell r="M38">
            <v>32964</v>
          </cell>
        </row>
        <row r="39">
          <cell r="E39">
            <v>72166</v>
          </cell>
        </row>
        <row r="39">
          <cell r="G39">
            <v>51547</v>
          </cell>
        </row>
        <row r="39">
          <cell r="I39">
            <v>97992</v>
          </cell>
        </row>
        <row r="39">
          <cell r="M39">
            <v>75432</v>
          </cell>
        </row>
        <row r="40">
          <cell r="E40">
            <v>0</v>
          </cell>
        </row>
        <row r="40">
          <cell r="G40">
            <v>0</v>
          </cell>
        </row>
        <row r="40">
          <cell r="I40">
            <v>0</v>
          </cell>
        </row>
        <row r="40">
          <cell r="M40">
            <v>0</v>
          </cell>
        </row>
        <row r="41">
          <cell r="E41">
            <v>0</v>
          </cell>
        </row>
        <row r="41">
          <cell r="G41">
            <v>0</v>
          </cell>
        </row>
        <row r="41">
          <cell r="I41">
            <v>0</v>
          </cell>
        </row>
        <row r="41">
          <cell r="M41">
            <v>0</v>
          </cell>
        </row>
        <row r="42">
          <cell r="E42">
            <v>28160</v>
          </cell>
        </row>
        <row r="42">
          <cell r="G42">
            <v>22725</v>
          </cell>
        </row>
        <row r="42">
          <cell r="I42">
            <v>0</v>
          </cell>
        </row>
        <row r="42">
          <cell r="M42">
            <v>0</v>
          </cell>
        </row>
        <row r="44">
          <cell r="E44">
            <v>1488</v>
          </cell>
        </row>
        <row r="44">
          <cell r="G44">
            <v>1063</v>
          </cell>
        </row>
        <row r="44">
          <cell r="I44">
            <v>0</v>
          </cell>
        </row>
        <row r="44">
          <cell r="M44">
            <v>0</v>
          </cell>
        </row>
        <row r="45">
          <cell r="E45">
            <v>0</v>
          </cell>
        </row>
        <row r="45">
          <cell r="G45">
            <v>0</v>
          </cell>
        </row>
        <row r="45">
          <cell r="I45">
            <v>0</v>
          </cell>
        </row>
        <row r="45">
          <cell r="M45">
            <v>3000</v>
          </cell>
        </row>
        <row r="46">
          <cell r="E46">
            <v>107</v>
          </cell>
        </row>
        <row r="46">
          <cell r="G46">
            <v>77</v>
          </cell>
        </row>
        <row r="46">
          <cell r="I46">
            <v>6200</v>
          </cell>
        </row>
        <row r="46">
          <cell r="M46">
            <v>0</v>
          </cell>
        </row>
        <row r="47">
          <cell r="E47">
            <v>61226</v>
          </cell>
        </row>
        <row r="47">
          <cell r="G47">
            <v>43733</v>
          </cell>
        </row>
        <row r="47">
          <cell r="I47">
            <v>0</v>
          </cell>
        </row>
        <row r="47">
          <cell r="M47">
            <v>34396</v>
          </cell>
        </row>
        <row r="48">
          <cell r="E48">
            <v>0</v>
          </cell>
        </row>
        <row r="48">
          <cell r="G48">
            <v>0</v>
          </cell>
        </row>
        <row r="48">
          <cell r="I48">
            <v>0</v>
          </cell>
        </row>
        <row r="48">
          <cell r="M48">
            <v>0</v>
          </cell>
        </row>
        <row r="49">
          <cell r="E49">
            <v>0</v>
          </cell>
        </row>
        <row r="49">
          <cell r="G49">
            <v>0</v>
          </cell>
        </row>
        <row r="49">
          <cell r="I49">
            <v>0</v>
          </cell>
        </row>
        <row r="49">
          <cell r="M49">
            <v>0</v>
          </cell>
        </row>
        <row r="50">
          <cell r="E50">
            <v>15745</v>
          </cell>
        </row>
        <row r="50">
          <cell r="G50">
            <v>11246</v>
          </cell>
        </row>
        <row r="50">
          <cell r="I50">
            <v>106925</v>
          </cell>
        </row>
        <row r="50">
          <cell r="M50">
            <v>0</v>
          </cell>
        </row>
        <row r="58">
          <cell r="E58">
            <v>-1292084</v>
          </cell>
        </row>
        <row r="58">
          <cell r="G58">
            <v>-2222917</v>
          </cell>
        </row>
        <row r="58">
          <cell r="I58">
            <v>0</v>
          </cell>
        </row>
        <row r="58">
          <cell r="M58">
            <v>-8824500</v>
          </cell>
        </row>
        <row r="59">
          <cell r="E59">
            <v>0</v>
          </cell>
        </row>
        <row r="59">
          <cell r="G59">
            <v>0</v>
          </cell>
        </row>
        <row r="59">
          <cell r="I59">
            <v>0</v>
          </cell>
        </row>
        <row r="59">
          <cell r="M59">
            <v>0</v>
          </cell>
        </row>
        <row r="63">
          <cell r="E63">
            <v>0</v>
          </cell>
        </row>
        <row r="63">
          <cell r="G63">
            <v>68</v>
          </cell>
        </row>
        <row r="63">
          <cell r="I63">
            <v>69</v>
          </cell>
        </row>
        <row r="63">
          <cell r="M63">
            <v>81</v>
          </cell>
        </row>
      </sheetData>
      <sheetData sheetId="6"/>
      <sheetData sheetId="7">
        <row r="11">
          <cell r="E11">
            <v>1514335</v>
          </cell>
        </row>
        <row r="11">
          <cell r="G11">
            <v>1385171</v>
          </cell>
        </row>
        <row r="11">
          <cell r="I11">
            <v>2327597</v>
          </cell>
        </row>
        <row r="11">
          <cell r="M11">
            <v>5160858</v>
          </cell>
        </row>
        <row r="13">
          <cell r="E13">
            <v>0</v>
          </cell>
        </row>
        <row r="13">
          <cell r="G13">
            <v>0</v>
          </cell>
        </row>
        <row r="13">
          <cell r="I13">
            <v>0</v>
          </cell>
        </row>
        <row r="13">
          <cell r="M13">
            <v>0</v>
          </cell>
        </row>
        <row r="14">
          <cell r="E14">
            <v>25439</v>
          </cell>
        </row>
        <row r="14">
          <cell r="G14">
            <v>25625</v>
          </cell>
        </row>
        <row r="14">
          <cell r="I14">
            <v>28000</v>
          </cell>
        </row>
        <row r="14">
          <cell r="M14">
            <v>23640</v>
          </cell>
        </row>
        <row r="15">
          <cell r="E15">
            <v>0</v>
          </cell>
        </row>
        <row r="15">
          <cell r="G15">
            <v>0</v>
          </cell>
        </row>
        <row r="15">
          <cell r="I15">
            <v>0</v>
          </cell>
        </row>
        <row r="15">
          <cell r="M15">
            <v>21750</v>
          </cell>
        </row>
        <row r="16">
          <cell r="E16">
            <v>0</v>
          </cell>
        </row>
        <row r="16">
          <cell r="G16">
            <v>0</v>
          </cell>
        </row>
        <row r="16">
          <cell r="I16">
            <v>0</v>
          </cell>
        </row>
        <row r="16">
          <cell r="M16">
            <v>0</v>
          </cell>
        </row>
        <row r="17">
          <cell r="E17">
            <v>0</v>
          </cell>
        </row>
        <row r="17">
          <cell r="G17">
            <v>0</v>
          </cell>
        </row>
        <row r="17">
          <cell r="I17">
            <v>0</v>
          </cell>
        </row>
        <row r="17">
          <cell r="M17">
            <v>3500</v>
          </cell>
        </row>
        <row r="18">
          <cell r="E18">
            <v>0</v>
          </cell>
        </row>
        <row r="18">
          <cell r="G18">
            <v>0</v>
          </cell>
        </row>
        <row r="18">
          <cell r="I18">
            <v>0</v>
          </cell>
        </row>
        <row r="18">
          <cell r="M18">
            <v>3000</v>
          </cell>
        </row>
        <row r="19">
          <cell r="E19">
            <v>0</v>
          </cell>
        </row>
        <row r="19">
          <cell r="G19">
            <v>0</v>
          </cell>
        </row>
        <row r="19">
          <cell r="I19">
            <v>0</v>
          </cell>
        </row>
        <row r="19">
          <cell r="M19">
            <v>30200</v>
          </cell>
        </row>
        <row r="20">
          <cell r="E20">
            <v>0</v>
          </cell>
        </row>
        <row r="20">
          <cell r="G20">
            <v>0</v>
          </cell>
        </row>
        <row r="20">
          <cell r="I20">
            <v>0</v>
          </cell>
        </row>
        <row r="20">
          <cell r="M20">
            <v>17400</v>
          </cell>
        </row>
        <row r="21">
          <cell r="E21">
            <v>77008</v>
          </cell>
        </row>
        <row r="21">
          <cell r="G21">
            <v>113225</v>
          </cell>
        </row>
        <row r="21">
          <cell r="I21">
            <v>210117</v>
          </cell>
        </row>
        <row r="21">
          <cell r="M21">
            <v>12600</v>
          </cell>
        </row>
        <row r="23">
          <cell r="E23">
            <v>0</v>
          </cell>
        </row>
        <row r="23">
          <cell r="G23">
            <v>0</v>
          </cell>
        </row>
        <row r="23">
          <cell r="I23">
            <v>0</v>
          </cell>
        </row>
        <row r="23">
          <cell r="M23">
            <v>50300</v>
          </cell>
        </row>
        <row r="24">
          <cell r="E24">
            <v>0</v>
          </cell>
        </row>
        <row r="24">
          <cell r="G24">
            <v>0</v>
          </cell>
        </row>
        <row r="24">
          <cell r="I24">
            <v>0</v>
          </cell>
        </row>
        <row r="24">
          <cell r="M24">
            <v>14600</v>
          </cell>
        </row>
        <row r="25">
          <cell r="E25">
            <v>0</v>
          </cell>
        </row>
        <row r="25">
          <cell r="G25">
            <v>0</v>
          </cell>
        </row>
        <row r="25">
          <cell r="I25">
            <v>0</v>
          </cell>
        </row>
        <row r="25">
          <cell r="M25">
            <v>2921</v>
          </cell>
        </row>
        <row r="26">
          <cell r="E26">
            <v>0</v>
          </cell>
        </row>
        <row r="26">
          <cell r="G26">
            <v>0</v>
          </cell>
        </row>
        <row r="26">
          <cell r="I26">
            <v>0</v>
          </cell>
        </row>
        <row r="26">
          <cell r="M26">
            <v>8119</v>
          </cell>
        </row>
        <row r="27">
          <cell r="E27">
            <v>0</v>
          </cell>
        </row>
        <row r="27">
          <cell r="G27">
            <v>0</v>
          </cell>
        </row>
        <row r="27">
          <cell r="I27">
            <v>0</v>
          </cell>
        </row>
        <row r="27">
          <cell r="M27">
            <v>1200</v>
          </cell>
        </row>
        <row r="28">
          <cell r="E28">
            <v>0</v>
          </cell>
        </row>
        <row r="28">
          <cell r="G28">
            <v>0</v>
          </cell>
        </row>
        <row r="28">
          <cell r="I28">
            <v>0</v>
          </cell>
        </row>
        <row r="28">
          <cell r="M28">
            <v>1000</v>
          </cell>
        </row>
        <row r="30">
          <cell r="E30">
            <v>652</v>
          </cell>
        </row>
        <row r="30">
          <cell r="G30">
            <v>0</v>
          </cell>
        </row>
        <row r="30">
          <cell r="I30">
            <v>45333</v>
          </cell>
        </row>
        <row r="30">
          <cell r="M30">
            <v>0</v>
          </cell>
        </row>
        <row r="31">
          <cell r="E31">
            <v>148816</v>
          </cell>
        </row>
        <row r="31">
          <cell r="G31">
            <v>125605</v>
          </cell>
        </row>
        <row r="31">
          <cell r="I31">
            <v>302435</v>
          </cell>
        </row>
        <row r="31">
          <cell r="M31">
            <v>58600</v>
          </cell>
        </row>
        <row r="33">
          <cell r="E33">
            <v>0</v>
          </cell>
        </row>
        <row r="33">
          <cell r="G33">
            <v>0</v>
          </cell>
        </row>
        <row r="33">
          <cell r="I33">
            <v>0</v>
          </cell>
        </row>
        <row r="33">
          <cell r="M33">
            <v>1200</v>
          </cell>
        </row>
        <row r="34">
          <cell r="E34">
            <v>47569</v>
          </cell>
        </row>
        <row r="34">
          <cell r="G34">
            <v>10000</v>
          </cell>
        </row>
        <row r="34">
          <cell r="I34">
            <v>5200</v>
          </cell>
        </row>
        <row r="34">
          <cell r="M34">
            <v>13200</v>
          </cell>
        </row>
        <row r="35">
          <cell r="E35">
            <v>0</v>
          </cell>
        </row>
        <row r="35">
          <cell r="G35">
            <v>0</v>
          </cell>
        </row>
        <row r="35">
          <cell r="I35">
            <v>0</v>
          </cell>
        </row>
        <row r="35">
          <cell r="M35">
            <v>1500</v>
          </cell>
        </row>
        <row r="36">
          <cell r="E36">
            <v>0</v>
          </cell>
        </row>
        <row r="36">
          <cell r="G36">
            <v>0</v>
          </cell>
        </row>
        <row r="36">
          <cell r="I36">
            <v>0</v>
          </cell>
        </row>
        <row r="36">
          <cell r="M36">
            <v>9600</v>
          </cell>
        </row>
        <row r="37">
          <cell r="E37">
            <v>147070</v>
          </cell>
        </row>
        <row r="37">
          <cell r="G37">
            <v>123000</v>
          </cell>
        </row>
        <row r="37">
          <cell r="I37">
            <v>208626</v>
          </cell>
        </row>
        <row r="37">
          <cell r="M37">
            <v>164400</v>
          </cell>
        </row>
        <row r="38">
          <cell r="E38">
            <v>15556</v>
          </cell>
        </row>
        <row r="38">
          <cell r="G38">
            <v>15134</v>
          </cell>
        </row>
        <row r="38">
          <cell r="I38">
            <v>9667</v>
          </cell>
        </row>
        <row r="38">
          <cell r="M38">
            <v>46000</v>
          </cell>
        </row>
        <row r="39">
          <cell r="E39">
            <v>21646</v>
          </cell>
        </row>
        <row r="39">
          <cell r="G39">
            <v>32750</v>
          </cell>
        </row>
        <row r="39">
          <cell r="I39">
            <v>52400</v>
          </cell>
        </row>
        <row r="39">
          <cell r="M39">
            <v>10560</v>
          </cell>
        </row>
        <row r="40">
          <cell r="E40">
            <v>0</v>
          </cell>
        </row>
        <row r="40">
          <cell r="G40">
            <v>0</v>
          </cell>
        </row>
        <row r="40">
          <cell r="I40">
            <v>0</v>
          </cell>
        </row>
        <row r="40">
          <cell r="M40">
            <v>0</v>
          </cell>
        </row>
        <row r="41">
          <cell r="E41">
            <v>0</v>
          </cell>
        </row>
        <row r="41">
          <cell r="G41">
            <v>0</v>
          </cell>
        </row>
        <row r="41">
          <cell r="I41">
            <v>0</v>
          </cell>
        </row>
        <row r="41">
          <cell r="M41">
            <v>0</v>
          </cell>
        </row>
        <row r="42">
          <cell r="E42">
            <v>0</v>
          </cell>
        </row>
        <row r="42">
          <cell r="G42">
            <v>0</v>
          </cell>
        </row>
        <row r="42">
          <cell r="I42">
            <v>0</v>
          </cell>
        </row>
        <row r="42">
          <cell r="M42">
            <v>0</v>
          </cell>
        </row>
        <row r="44">
          <cell r="E44">
            <v>0</v>
          </cell>
        </row>
        <row r="44">
          <cell r="G44">
            <v>0</v>
          </cell>
        </row>
        <row r="44">
          <cell r="I44">
            <v>0</v>
          </cell>
        </row>
        <row r="44">
          <cell r="M44">
            <v>0</v>
          </cell>
        </row>
        <row r="45">
          <cell r="E45">
            <v>0</v>
          </cell>
        </row>
        <row r="45">
          <cell r="G45">
            <v>0</v>
          </cell>
        </row>
        <row r="45">
          <cell r="I45">
            <v>0</v>
          </cell>
        </row>
        <row r="45">
          <cell r="M45">
            <v>0</v>
          </cell>
        </row>
        <row r="46">
          <cell r="E46">
            <v>0</v>
          </cell>
        </row>
        <row r="46">
          <cell r="G46">
            <v>0</v>
          </cell>
        </row>
        <row r="46">
          <cell r="I46">
            <v>0</v>
          </cell>
        </row>
        <row r="46">
          <cell r="M46">
            <v>1200</v>
          </cell>
        </row>
        <row r="47">
          <cell r="E47">
            <v>12403</v>
          </cell>
        </row>
        <row r="47">
          <cell r="G47">
            <v>471083</v>
          </cell>
        </row>
        <row r="47">
          <cell r="I47">
            <v>10000</v>
          </cell>
        </row>
        <row r="47">
          <cell r="M47">
            <v>86300</v>
          </cell>
        </row>
        <row r="48">
          <cell r="E48">
            <v>0</v>
          </cell>
        </row>
        <row r="48">
          <cell r="G48">
            <v>0</v>
          </cell>
        </row>
        <row r="48">
          <cell r="I48">
            <v>0</v>
          </cell>
        </row>
        <row r="48">
          <cell r="M48">
            <v>0</v>
          </cell>
        </row>
        <row r="49">
          <cell r="E49">
            <v>0</v>
          </cell>
        </row>
        <row r="49">
          <cell r="G49">
            <v>0</v>
          </cell>
        </row>
        <row r="49">
          <cell r="I49">
            <v>0</v>
          </cell>
        </row>
        <row r="49">
          <cell r="M49">
            <v>0</v>
          </cell>
        </row>
        <row r="50">
          <cell r="E50">
            <v>0</v>
          </cell>
        </row>
        <row r="50">
          <cell r="G50">
            <v>0</v>
          </cell>
        </row>
        <row r="50">
          <cell r="I50">
            <v>0</v>
          </cell>
        </row>
        <row r="50">
          <cell r="M50">
            <v>423711</v>
          </cell>
        </row>
        <row r="58">
          <cell r="E58">
            <v>0</v>
          </cell>
        </row>
        <row r="58">
          <cell r="G58">
            <v>-4103838</v>
          </cell>
        </row>
        <row r="58">
          <cell r="I58">
            <v>0</v>
          </cell>
        </row>
        <row r="58">
          <cell r="M58">
            <v>-5640762</v>
          </cell>
        </row>
        <row r="59">
          <cell r="E59">
            <v>0</v>
          </cell>
        </row>
        <row r="59">
          <cell r="G59">
            <v>0</v>
          </cell>
        </row>
        <row r="59">
          <cell r="I59">
            <v>0</v>
          </cell>
        </row>
        <row r="59">
          <cell r="M59">
            <v>0</v>
          </cell>
        </row>
        <row r="63">
          <cell r="E63">
            <v>0</v>
          </cell>
        </row>
        <row r="63">
          <cell r="G63">
            <v>42</v>
          </cell>
        </row>
        <row r="63">
          <cell r="I63">
            <v>39</v>
          </cell>
        </row>
        <row r="63">
          <cell r="M63">
            <v>60</v>
          </cell>
        </row>
      </sheetData>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row r="2">
          <cell r="B2">
            <v>0.212357414448669</v>
          </cell>
        </row>
        <row r="2">
          <cell r="E2">
            <v>0.226600985221675</v>
          </cell>
        </row>
        <row r="2">
          <cell r="H2">
            <v>0.0716674242477434</v>
          </cell>
        </row>
        <row r="3">
          <cell r="B3">
            <v>0.079277566539924</v>
          </cell>
        </row>
        <row r="3">
          <cell r="E3">
            <v>0.0788177339901478</v>
          </cell>
        </row>
        <row r="3">
          <cell r="H3">
            <v>0.074328472298328</v>
          </cell>
        </row>
        <row r="4">
          <cell r="B4">
            <v>0.0347275031685678</v>
          </cell>
        </row>
        <row r="4">
          <cell r="E4">
            <v>0.0394088669950739</v>
          </cell>
        </row>
        <row r="4">
          <cell r="H4">
            <v>0.0361711129909026</v>
          </cell>
        </row>
        <row r="5">
          <cell r="B5">
            <v>0.0342205323193916</v>
          </cell>
        </row>
        <row r="5">
          <cell r="E5">
            <v>0.0295566502463054</v>
          </cell>
        </row>
        <row r="5">
          <cell r="H5">
            <v>0.0659988454647554</v>
          </cell>
        </row>
        <row r="6">
          <cell r="B6">
            <v>0.248098859315589</v>
          </cell>
        </row>
        <row r="6">
          <cell r="E6">
            <v>0.305418719211823</v>
          </cell>
        </row>
        <row r="6">
          <cell r="H6">
            <v>0.358721762806198</v>
          </cell>
        </row>
        <row r="7">
          <cell r="B7">
            <v>0.0190114068441065</v>
          </cell>
        </row>
        <row r="7">
          <cell r="E7">
            <v>0.0738916256157636</v>
          </cell>
        </row>
        <row r="7">
          <cell r="H7">
            <v>0.0351728765419624</v>
          </cell>
        </row>
        <row r="8">
          <cell r="B8">
            <v>0.261406844106464</v>
          </cell>
        </row>
        <row r="8">
          <cell r="E8">
            <v>0.246305418719212</v>
          </cell>
        </row>
        <row r="8">
          <cell r="H8">
            <v>0.242344335405005</v>
          </cell>
        </row>
        <row r="10">
          <cell r="B10">
            <v>0.110899873257288</v>
          </cell>
        </row>
        <row r="10">
          <cell r="H10">
            <v>0.115595170245105</v>
          </cell>
        </row>
        <row r="11">
          <cell r="B11">
            <v>0</v>
          </cell>
        </row>
        <row r="11">
          <cell r="H11">
            <v>0</v>
          </cell>
        </row>
        <row r="12">
          <cell r="B12">
            <v>0</v>
          </cell>
        </row>
        <row r="13">
          <cell r="B13">
            <v>0</v>
          </cell>
        </row>
        <row r="13">
          <cell r="H13">
            <v>0</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1" outlineLevelCol="0"/>
  <cols>
    <col collapsed="false" customWidth="true" hidden="false" outlineLevel="0" max="1" min="1" style="1" width="3.7"/>
    <col collapsed="false" customWidth="true" hidden="false" outlineLevel="0" max="2" min="2" style="1" width="2.56"/>
    <col collapsed="false" customWidth="true" hidden="false" outlineLevel="0" max="3" min="3" style="1" width="64.99"/>
    <col collapsed="false" customWidth="true" hidden="true" outlineLevel="0" max="4" min="4" style="1" width="2.56"/>
    <col collapsed="false" customWidth="true" hidden="true" outlineLevel="0" max="5" min="5" style="1" width="16.13"/>
    <col collapsed="false" customWidth="true" hidden="true" outlineLevel="0" max="6" min="6" style="1" width="2.56"/>
    <col collapsed="false" customWidth="true" hidden="true" outlineLevel="0" max="7" min="7" style="2" width="16.13"/>
    <col collapsed="false" customWidth="true" hidden="false" outlineLevel="0" max="8" min="8" style="1" width="2.56"/>
    <col collapsed="false" customWidth="true" hidden="false" outlineLevel="0" max="9" min="9" style="2" width="16.13"/>
    <col collapsed="false" customWidth="true" hidden="false" outlineLevel="0" max="10" min="10" style="1" width="2.56"/>
    <col collapsed="false" customWidth="true" hidden="false" outlineLevel="0" max="11" min="11" style="2" width="18.56"/>
    <col collapsed="false" customWidth="true" hidden="false" outlineLevel="0" max="12" min="12" style="1" width="2.56"/>
    <col collapsed="false" customWidth="true" hidden="false" outlineLevel="0" max="13" min="13" style="2" width="18.56"/>
    <col collapsed="false" customWidth="true" hidden="false" outlineLevel="0" max="14" min="14" style="1" width="2.56"/>
    <col collapsed="false" customWidth="true" hidden="false" outlineLevel="0" max="15" min="15" style="1" width="20.85"/>
    <col collapsed="false" customWidth="true" hidden="true" outlineLevel="0" max="16" min="16" style="3" width="10.85"/>
    <col collapsed="false" customWidth="true" hidden="false" outlineLevel="0" max="17" min="17" style="4" width="24.99"/>
    <col collapsed="false" customWidth="true" hidden="false" outlineLevel="0" max="18" min="18" style="1" width="9.7"/>
    <col collapsed="false" customWidth="false" hidden="false" outlineLevel="0" max="257" min="19" style="1" width="9.14"/>
  </cols>
  <sheetData>
    <row r="1" customFormat="false" ht="9.75" hidden="false" customHeight="true" outlineLevel="0" collapsed="false">
      <c r="O1" s="5"/>
    </row>
    <row r="2" customFormat="false" ht="9" hidden="false" customHeight="true" outlineLevel="0" collapsed="false">
      <c r="B2" s="6"/>
      <c r="C2" s="7"/>
      <c r="D2" s="7"/>
      <c r="E2" s="7"/>
      <c r="F2" s="7"/>
      <c r="G2" s="8"/>
      <c r="H2" s="7"/>
      <c r="I2" s="8"/>
      <c r="J2" s="7"/>
      <c r="K2" s="8"/>
      <c r="L2" s="7"/>
      <c r="M2" s="8"/>
      <c r="N2" s="7"/>
      <c r="O2" s="9"/>
    </row>
    <row r="3" customFormat="false" ht="28.5" hidden="false" customHeight="true" outlineLevel="0" collapsed="false">
      <c r="A3" s="0"/>
      <c r="B3" s="10" t="s">
        <v>0</v>
      </c>
      <c r="C3" s="10"/>
      <c r="D3" s="10"/>
      <c r="E3" s="10"/>
      <c r="F3" s="10"/>
      <c r="G3" s="10"/>
      <c r="H3" s="10"/>
      <c r="I3" s="10"/>
      <c r="J3" s="10"/>
      <c r="K3" s="10"/>
      <c r="L3" s="10"/>
      <c r="M3" s="10"/>
      <c r="N3" s="10"/>
      <c r="O3" s="1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9" hidden="false" customHeight="true" outlineLevel="0" collapsed="false">
      <c r="A4" s="0"/>
      <c r="B4" s="11"/>
      <c r="C4" s="12"/>
      <c r="D4" s="12"/>
      <c r="E4" s="12"/>
      <c r="F4" s="12"/>
      <c r="G4" s="13"/>
      <c r="H4" s="12"/>
      <c r="I4" s="13"/>
      <c r="J4" s="12"/>
      <c r="K4" s="13"/>
      <c r="L4" s="12"/>
      <c r="M4" s="13"/>
      <c r="N4" s="12"/>
      <c r="O4" s="14"/>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15" hidden="false" customHeight="true" outlineLevel="0" collapsed="false">
      <c r="A5" s="0"/>
      <c r="B5" s="15"/>
      <c r="C5" s="15"/>
      <c r="D5" s="15"/>
      <c r="E5" s="15"/>
      <c r="F5" s="15"/>
      <c r="G5" s="16"/>
      <c r="H5" s="15"/>
      <c r="I5" s="16"/>
      <c r="J5" s="15"/>
      <c r="K5" s="16"/>
      <c r="L5" s="15"/>
      <c r="M5" s="16"/>
      <c r="N5" s="15"/>
      <c r="O5" s="15"/>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2.75" hidden="false" customHeight="false" outlineLevel="0" collapsed="false">
      <c r="B6" s="17"/>
      <c r="C6" s="18"/>
      <c r="D6" s="17"/>
      <c r="E6" s="19" t="n">
        <v>2001</v>
      </c>
      <c r="F6" s="8"/>
      <c r="G6" s="19" t="n">
        <v>2001</v>
      </c>
      <c r="H6" s="20"/>
      <c r="I6" s="19" t="n">
        <v>2001</v>
      </c>
      <c r="J6" s="21"/>
      <c r="K6" s="19" t="n">
        <v>2001</v>
      </c>
      <c r="L6" s="8"/>
      <c r="M6" s="19" t="n">
        <v>2002</v>
      </c>
      <c r="N6" s="21"/>
      <c r="O6" s="22" t="s">
        <v>1</v>
      </c>
    </row>
    <row r="7" customFormat="false" ht="13.5" hidden="false" customHeight="false" outlineLevel="0" collapsed="false">
      <c r="B7" s="23"/>
      <c r="C7" s="24"/>
      <c r="D7" s="23"/>
      <c r="E7" s="25" t="s">
        <v>2</v>
      </c>
      <c r="F7" s="26"/>
      <c r="G7" s="25" t="s">
        <v>3</v>
      </c>
      <c r="H7" s="27"/>
      <c r="I7" s="25" t="s">
        <v>4</v>
      </c>
      <c r="J7" s="28"/>
      <c r="K7" s="25" t="s">
        <v>3</v>
      </c>
      <c r="L7" s="26"/>
      <c r="M7" s="25" t="s">
        <v>4</v>
      </c>
      <c r="N7" s="28"/>
      <c r="O7" s="29" t="s">
        <v>5</v>
      </c>
    </row>
    <row r="8" customFormat="false" ht="16.5" hidden="false" customHeight="true" outlineLevel="0" collapsed="false">
      <c r="B8" s="30"/>
      <c r="C8" s="31"/>
      <c r="D8" s="32"/>
      <c r="E8" s="33" t="s">
        <v>6</v>
      </c>
      <c r="F8" s="34"/>
      <c r="G8" s="33" t="s">
        <v>7</v>
      </c>
      <c r="H8" s="35"/>
      <c r="I8" s="36"/>
      <c r="J8" s="37"/>
      <c r="K8" s="38"/>
      <c r="L8" s="34"/>
      <c r="M8" s="39"/>
      <c r="N8" s="37"/>
      <c r="O8" s="40"/>
    </row>
    <row r="9" customFormat="false" ht="15.75" hidden="false" customHeight="true" outlineLevel="0" collapsed="false">
      <c r="A9" s="41"/>
      <c r="B9" s="42" t="s">
        <v>8</v>
      </c>
      <c r="C9" s="43"/>
      <c r="D9" s="44"/>
      <c r="E9" s="45"/>
      <c r="F9" s="46"/>
      <c r="G9" s="36"/>
      <c r="H9" s="47"/>
      <c r="I9" s="36"/>
      <c r="J9" s="48"/>
      <c r="K9" s="49"/>
      <c r="L9" s="46"/>
      <c r="M9" s="45"/>
      <c r="N9" s="48"/>
      <c r="O9" s="50"/>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1"/>
    </row>
    <row r="10" customFormat="false" ht="14.25" hidden="false" customHeight="false" outlineLevel="0" collapsed="false">
      <c r="B10" s="51"/>
      <c r="C10" s="52"/>
      <c r="D10" s="51"/>
      <c r="E10" s="53"/>
      <c r="F10" s="54"/>
      <c r="G10" s="45"/>
      <c r="H10" s="55"/>
      <c r="I10" s="45"/>
      <c r="J10" s="48"/>
      <c r="K10" s="45"/>
      <c r="L10" s="54"/>
      <c r="M10" s="53"/>
      <c r="N10" s="56"/>
      <c r="O10" s="57"/>
    </row>
    <row r="11" customFormat="false" ht="15" hidden="false" customHeight="false" outlineLevel="0" collapsed="false">
      <c r="A11" s="58"/>
      <c r="B11" s="59"/>
      <c r="C11" s="60" t="s">
        <v>9</v>
      </c>
      <c r="D11" s="59"/>
      <c r="E11" s="61" t="n">
        <f aca="false">[1]CORP!E11+[1]EES!E11+[1]ENA!E11+[1]ENW!E11</f>
        <v>7358554</v>
      </c>
      <c r="F11" s="62"/>
      <c r="G11" s="61" t="n">
        <f aca="false">[1]CORP!G11+[1]EES!G11+[1]ENA!G11+[1]ENW!G11</f>
        <v>4827449</v>
      </c>
      <c r="H11" s="63"/>
      <c r="I11" s="61" t="n">
        <f aca="false">[1]CORP!I11+[1]EES!I11+[1]ENA!I11+[1]ENW!I11</f>
        <v>10099057</v>
      </c>
      <c r="J11" s="64"/>
      <c r="K11" s="62" t="n">
        <f aca="false">+E11+G11</f>
        <v>12186003</v>
      </c>
      <c r="L11" s="62"/>
      <c r="M11" s="61" t="n">
        <f aca="false">[1]CORP!M11+[1]EES!M11+[1]ENA!M11+[1]ENW!M11</f>
        <v>14464774</v>
      </c>
      <c r="N11" s="60"/>
      <c r="O11" s="65" t="n">
        <f aca="false">(-M11+K11)</f>
        <v>-2278771</v>
      </c>
      <c r="P11" s="3" t="n">
        <f aca="false">IF(O11=0,0,O11/K11)</f>
        <v>-0.186999051288597</v>
      </c>
      <c r="Q11" s="4" t="s">
        <v>10</v>
      </c>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row>
    <row r="12" customFormat="false" ht="15" hidden="false" customHeight="false" outlineLevel="0" collapsed="false">
      <c r="A12" s="58"/>
      <c r="B12" s="59"/>
      <c r="C12" s="60" t="s">
        <v>11</v>
      </c>
      <c r="D12" s="59"/>
      <c r="E12" s="62" t="n">
        <f aca="false">SUM(E13:E21)</f>
        <v>355333</v>
      </c>
      <c r="F12" s="62"/>
      <c r="G12" s="62" t="n">
        <f aca="false">SUM(G13:G21)</f>
        <v>259517</v>
      </c>
      <c r="H12" s="66"/>
      <c r="I12" s="67" t="n">
        <f aca="false">SUM(I13:I21)</f>
        <v>602849</v>
      </c>
      <c r="J12" s="64"/>
      <c r="K12" s="62" t="n">
        <f aca="false">+E12+G12</f>
        <v>614850</v>
      </c>
      <c r="L12" s="62"/>
      <c r="M12" s="62" t="n">
        <f aca="false">SUM(M13:M21)</f>
        <v>339170</v>
      </c>
      <c r="N12" s="60"/>
      <c r="O12" s="65" t="n">
        <f aca="false">(-M12+K12)</f>
        <v>275680</v>
      </c>
      <c r="P12" s="3" t="n">
        <f aca="false">IF(O12=0,0,O12/K12)</f>
        <v>0.448369521021387</v>
      </c>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row>
    <row r="13" customFormat="false" ht="14.25" hidden="true" customHeight="false" outlineLevel="1" collapsed="false">
      <c r="A13" s="2"/>
      <c r="B13" s="51"/>
      <c r="C13" s="56" t="s">
        <v>12</v>
      </c>
      <c r="D13" s="68"/>
      <c r="E13" s="69" t="n">
        <f aca="false">[1]CORP!E13+[1]EES!E13+[1]ENA!E13+[1]ENW!E13</f>
        <v>0</v>
      </c>
      <c r="F13" s="53"/>
      <c r="G13" s="69" t="n">
        <f aca="false">[1]CORP!G13+[1]EES!G13+[1]ENA!G13+[1]ENW!G13</f>
        <v>0</v>
      </c>
      <c r="H13" s="70"/>
      <c r="I13" s="69" t="n">
        <f aca="false">[1]CORP!I13+[1]EES!I13+[1]ENA!I13+[1]ENW!I13</f>
        <v>40000</v>
      </c>
      <c r="J13" s="71"/>
      <c r="K13" s="53" t="n">
        <f aca="false">+E13+G13</f>
        <v>0</v>
      </c>
      <c r="L13" s="53"/>
      <c r="M13" s="69" t="n">
        <f aca="false">[1]CORP!M13+[1]EES!M13+[1]ENA!M13+[1]ENW!M13</f>
        <v>8000</v>
      </c>
      <c r="N13" s="56"/>
      <c r="O13" s="72" t="n">
        <f aca="false">(-M13+K13)</f>
        <v>-8000</v>
      </c>
      <c r="P13" s="3" t="e">
        <f aca="false">IF(O13=0,0,O13/K13)</f>
        <v>#DIV/0!</v>
      </c>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customFormat="false" ht="14.25" hidden="true" customHeight="false" outlineLevel="1" collapsed="false">
      <c r="A14" s="2"/>
      <c r="B14" s="51"/>
      <c r="C14" s="56" t="s">
        <v>13</v>
      </c>
      <c r="D14" s="68"/>
      <c r="E14" s="69" t="n">
        <f aca="false">[1]CORP!E14+[1]EES!E14+[1]ENA!E14+[1]ENW!E14</f>
        <v>61127</v>
      </c>
      <c r="F14" s="54"/>
      <c r="G14" s="69" t="n">
        <f aca="false">[1]CORP!G14+[1]EES!G14+[1]ENA!G14+[1]ENW!G14</f>
        <v>51117</v>
      </c>
      <c r="H14" s="70"/>
      <c r="I14" s="69" t="n">
        <f aca="false">[1]CORP!I14+[1]EES!I14+[1]ENA!I14+[1]ENW!I14</f>
        <v>78100</v>
      </c>
      <c r="J14" s="56"/>
      <c r="K14" s="53" t="n">
        <f aca="false">+E14+G14</f>
        <v>112244</v>
      </c>
      <c r="L14" s="54"/>
      <c r="M14" s="69" t="n">
        <f aca="false">[1]CORP!M14+[1]EES!M14+[1]ENA!M14+[1]ENW!M14</f>
        <v>61816</v>
      </c>
      <c r="N14" s="56"/>
      <c r="O14" s="72" t="n">
        <f aca="false">(-M14+K14)</f>
        <v>50428</v>
      </c>
      <c r="P14" s="3" t="n">
        <f aca="false">IF(O14=0,0,O14/K14)</f>
        <v>0.449271230533481</v>
      </c>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customFormat="false" ht="14.25" hidden="true" customHeight="false" outlineLevel="1" collapsed="false">
      <c r="A15" s="2"/>
      <c r="B15" s="51"/>
      <c r="C15" s="56" t="s">
        <v>14</v>
      </c>
      <c r="D15" s="68"/>
      <c r="E15" s="69" t="n">
        <f aca="false">[1]CORP!E15+[1]EES!E15+[1]ENA!E15+[1]ENW!E15</f>
        <v>0</v>
      </c>
      <c r="F15" s="54"/>
      <c r="G15" s="69" t="n">
        <f aca="false">[1]CORP!G15+[1]EES!G15+[1]ENA!G15+[1]ENW!G15</f>
        <v>0</v>
      </c>
      <c r="H15" s="70"/>
      <c r="I15" s="69" t="n">
        <f aca="false">[1]CORP!I15+[1]EES!I15+[1]ENA!I15+[1]ENW!I15</f>
        <v>0</v>
      </c>
      <c r="J15" s="56"/>
      <c r="K15" s="53" t="n">
        <f aca="false">+E15+G15</f>
        <v>0</v>
      </c>
      <c r="L15" s="54"/>
      <c r="M15" s="69" t="n">
        <f aca="false">[1]CORP!M15+[1]EES!M15+[1]ENA!M15+[1]ENW!M15</f>
        <v>57546</v>
      </c>
      <c r="N15" s="56"/>
      <c r="O15" s="72" t="n">
        <f aca="false">(-M15+K15)</f>
        <v>-57546</v>
      </c>
      <c r="P15" s="3" t="e">
        <f aca="false">IF(O15=0,0,O15/K15)</f>
        <v>#DIV/0!</v>
      </c>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4.25" hidden="true" customHeight="false" outlineLevel="1" collapsed="false">
      <c r="A16" s="2"/>
      <c r="B16" s="51"/>
      <c r="C16" s="56" t="s">
        <v>15</v>
      </c>
      <c r="D16" s="68"/>
      <c r="E16" s="69" t="n">
        <f aca="false">[1]CORP!E16+[1]EES!E16+[1]ENA!E16+[1]ENW!E16</f>
        <v>1725</v>
      </c>
      <c r="F16" s="54"/>
      <c r="G16" s="69" t="n">
        <f aca="false">[1]CORP!G16+[1]EES!G16+[1]ENA!G16+[1]ENW!G16</f>
        <v>1232</v>
      </c>
      <c r="H16" s="70"/>
      <c r="I16" s="69" t="n">
        <f aca="false">[1]CORP!I16+[1]EES!I16+[1]ENA!I16+[1]ENW!I16</f>
        <v>0</v>
      </c>
      <c r="J16" s="56"/>
      <c r="K16" s="53" t="n">
        <f aca="false">+E16+G16</f>
        <v>2957</v>
      </c>
      <c r="L16" s="54"/>
      <c r="M16" s="69" t="n">
        <f aca="false">[1]CORP!M16+[1]EES!M16+[1]ENA!M16+[1]ENW!M16</f>
        <v>0</v>
      </c>
      <c r="N16" s="56"/>
      <c r="O16" s="72" t="n">
        <f aca="false">(-M16+K16)</f>
        <v>2957</v>
      </c>
      <c r="P16" s="3" t="n">
        <f aca="false">IF(O16=0,0,O16/K16)</f>
        <v>1</v>
      </c>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customFormat="false" ht="14.25" hidden="true" customHeight="false" outlineLevel="1" collapsed="false">
      <c r="A17" s="2"/>
      <c r="B17" s="51"/>
      <c r="C17" s="56" t="s">
        <v>16</v>
      </c>
      <c r="D17" s="68"/>
      <c r="E17" s="69" t="n">
        <f aca="false">[1]CORP!E17+[1]EES!E17+[1]ENA!E17+[1]ENW!E17</f>
        <v>7487</v>
      </c>
      <c r="F17" s="53"/>
      <c r="G17" s="69" t="n">
        <f aca="false">[1]CORP!G17+[1]EES!G17+[1]ENA!G17+[1]ENW!G17</f>
        <v>5348</v>
      </c>
      <c r="H17" s="70"/>
      <c r="I17" s="69" t="n">
        <f aca="false">[1]CORP!I17+[1]EES!I17+[1]ENA!I17+[1]ENW!I17</f>
        <v>37000</v>
      </c>
      <c r="J17" s="71"/>
      <c r="K17" s="53" t="n">
        <f aca="false">+E17+G17</f>
        <v>12835</v>
      </c>
      <c r="L17" s="53"/>
      <c r="M17" s="69" t="n">
        <f aca="false">[1]CORP!M17+[1]EES!M17+[1]ENA!M17+[1]ENW!M17</f>
        <v>12560</v>
      </c>
      <c r="N17" s="56"/>
      <c r="O17" s="72" t="n">
        <f aca="false">(-M17+K17)</f>
        <v>275</v>
      </c>
      <c r="P17" s="3" t="n">
        <f aca="false">IF(O17=0,0,O17/K17)</f>
        <v>0.0214257888585898</v>
      </c>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customFormat="false" ht="14.25" hidden="true" customHeight="false" outlineLevel="1" collapsed="false">
      <c r="A18" s="2"/>
      <c r="B18" s="51"/>
      <c r="C18" s="56" t="s">
        <v>17</v>
      </c>
      <c r="D18" s="68"/>
      <c r="E18" s="69" t="n">
        <f aca="false">[1]CORP!E18+[1]EES!E18+[1]ENA!E18+[1]ENW!E18</f>
        <v>0</v>
      </c>
      <c r="F18" s="53"/>
      <c r="G18" s="69" t="n">
        <f aca="false">[1]CORP!G18+[1]EES!G18+[1]ENA!G18+[1]ENW!G18</f>
        <v>0</v>
      </c>
      <c r="H18" s="70"/>
      <c r="I18" s="69" t="n">
        <f aca="false">[1]CORP!I18+[1]EES!I18+[1]ENA!I18+[1]ENW!I18</f>
        <v>0</v>
      </c>
      <c r="J18" s="71"/>
      <c r="K18" s="53" t="n">
        <f aca="false">+E18+G18</f>
        <v>0</v>
      </c>
      <c r="L18" s="53"/>
      <c r="M18" s="69" t="n">
        <f aca="false">[1]CORP!M18+[1]EES!M18+[1]ENA!M18+[1]ENW!M18</f>
        <v>25908</v>
      </c>
      <c r="N18" s="56"/>
      <c r="O18" s="72" t="n">
        <f aca="false">(-M18+K18)</f>
        <v>-25908</v>
      </c>
      <c r="P18" s="3" t="e">
        <f aca="false">IF(O18=0,0,O18/K18)</f>
        <v>#DIV/0!</v>
      </c>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customFormat="false" ht="14.25" hidden="true" customHeight="false" outlineLevel="1" collapsed="false">
      <c r="A19" s="2"/>
      <c r="B19" s="51"/>
      <c r="C19" s="56" t="s">
        <v>18</v>
      </c>
      <c r="D19" s="68"/>
      <c r="E19" s="69" t="n">
        <f aca="false">[1]CORP!E19+[1]EES!E19+[1]ENA!E19+[1]ENW!E19</f>
        <v>18660</v>
      </c>
      <c r="F19" s="53"/>
      <c r="G19" s="69" t="n">
        <f aca="false">[1]CORP!G19+[1]EES!G19+[1]ENA!G19+[1]ENW!G19</f>
        <v>12100</v>
      </c>
      <c r="H19" s="70"/>
      <c r="I19" s="69" t="n">
        <f aca="false">[1]CORP!I19+[1]EES!I19+[1]ENA!I19+[1]ENW!I19</f>
        <v>192664</v>
      </c>
      <c r="J19" s="71"/>
      <c r="K19" s="53" t="n">
        <f aca="false">+E19+G19</f>
        <v>30760</v>
      </c>
      <c r="L19" s="53"/>
      <c r="M19" s="69" t="n">
        <f aca="false">[1]CORP!M19+[1]EES!M19+[1]ENA!M19+[1]ENW!M19</f>
        <v>75200</v>
      </c>
      <c r="N19" s="56"/>
      <c r="O19" s="72" t="n">
        <f aca="false">(-M19+K19)</f>
        <v>-44440</v>
      </c>
      <c r="P19" s="3" t="n">
        <f aca="false">IF(O19=0,0,O19/K19)</f>
        <v>-1.44473342002601</v>
      </c>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customFormat="false" ht="14.25" hidden="true" customHeight="false" outlineLevel="1" collapsed="false">
      <c r="A20" s="2"/>
      <c r="B20" s="51"/>
      <c r="C20" s="56" t="s">
        <v>19</v>
      </c>
      <c r="D20" s="68"/>
      <c r="E20" s="69" t="n">
        <f aca="false">[1]CORP!E20+[1]EES!E20+[1]ENA!E20+[1]ENW!E20</f>
        <v>58544</v>
      </c>
      <c r="F20" s="53"/>
      <c r="G20" s="69" t="n">
        <f aca="false">[1]CORP!G20+[1]EES!G20+[1]ENA!G20+[1]ENW!G20</f>
        <v>43245</v>
      </c>
      <c r="H20" s="70"/>
      <c r="I20" s="69" t="n">
        <f aca="false">[1]CORP!I20+[1]EES!I20+[1]ENA!I20+[1]ENW!I20</f>
        <v>0</v>
      </c>
      <c r="J20" s="71"/>
      <c r="K20" s="53" t="n">
        <f aca="false">+E20+G20</f>
        <v>101789</v>
      </c>
      <c r="L20" s="53"/>
      <c r="M20" s="69" t="n">
        <f aca="false">[1]CORP!M20+[1]EES!M20+[1]ENA!M20+[1]ENW!M20</f>
        <v>77940</v>
      </c>
      <c r="N20" s="56"/>
      <c r="O20" s="72" t="n">
        <f aca="false">(-M20+K20)</f>
        <v>23849</v>
      </c>
      <c r="P20" s="3" t="n">
        <f aca="false">IF(O20=0,0,O20/K20)</f>
        <v>0.234298401595457</v>
      </c>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customFormat="false" ht="14.25" hidden="true" customHeight="false" outlineLevel="1" collapsed="false">
      <c r="A21" s="2"/>
      <c r="B21" s="51"/>
      <c r="C21" s="56" t="s">
        <v>20</v>
      </c>
      <c r="D21" s="68"/>
      <c r="E21" s="69" t="n">
        <f aca="false">[1]CORP!E21+[1]EES!E21+[1]ENA!E21+[1]ENW!E21</f>
        <v>207790</v>
      </c>
      <c r="F21" s="53"/>
      <c r="G21" s="69" t="n">
        <f aca="false">[1]CORP!G21+[1]EES!G21+[1]ENA!G21+[1]ENW!G21</f>
        <v>146475</v>
      </c>
      <c r="H21" s="70"/>
      <c r="I21" s="69" t="n">
        <f aca="false">[1]CORP!I21+[1]EES!I21+[1]ENA!I21+[1]ENW!I21</f>
        <v>255085</v>
      </c>
      <c r="J21" s="71"/>
      <c r="K21" s="53" t="n">
        <f aca="false">+E21+G21</f>
        <v>354265</v>
      </c>
      <c r="L21" s="53"/>
      <c r="M21" s="69" t="n">
        <f aca="false">[1]CORP!M21+[1]EES!M21+[1]ENA!M21+[1]ENW!M21</f>
        <v>20200</v>
      </c>
      <c r="N21" s="56"/>
      <c r="O21" s="72" t="n">
        <f aca="false">(-M21+K21)</f>
        <v>334065</v>
      </c>
      <c r="P21" s="3" t="n">
        <f aca="false">IF(O21=0,0,O21/K21)</f>
        <v>0.942980537168504</v>
      </c>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customFormat="false" ht="15" hidden="false" customHeight="false" outlineLevel="0" collapsed="false">
      <c r="A22" s="58"/>
      <c r="B22" s="59"/>
      <c r="C22" s="60" t="s">
        <v>21</v>
      </c>
      <c r="D22" s="59"/>
      <c r="E22" s="62" t="n">
        <f aca="false">SUM(E23:E28)</f>
        <v>198772</v>
      </c>
      <c r="F22" s="62"/>
      <c r="G22" s="62" t="n">
        <f aca="false">SUM(G23:G28)</f>
        <v>141173</v>
      </c>
      <c r="H22" s="66"/>
      <c r="I22" s="67" t="n">
        <f aca="false">SUM(I23:I28)</f>
        <v>255018</v>
      </c>
      <c r="J22" s="60"/>
      <c r="K22" s="62" t="n">
        <f aca="false">+E22+G22</f>
        <v>339945</v>
      </c>
      <c r="L22" s="73"/>
      <c r="M22" s="62" t="n">
        <f aca="false">SUM(M23:M28)</f>
        <v>319564</v>
      </c>
      <c r="N22" s="60"/>
      <c r="O22" s="65" t="n">
        <f aca="false">(-M22+K22)</f>
        <v>20381</v>
      </c>
      <c r="P22" s="3" t="n">
        <f aca="false">IF(O22=0,0,O22/K22)</f>
        <v>0.0599538160584801</v>
      </c>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c r="IW22" s="58"/>
    </row>
    <row r="23" customFormat="false" ht="14.25" hidden="true" customHeight="false" outlineLevel="1" collapsed="false">
      <c r="A23" s="2"/>
      <c r="B23" s="51"/>
      <c r="C23" s="56" t="s">
        <v>22</v>
      </c>
      <c r="D23" s="68"/>
      <c r="E23" s="69" t="n">
        <f aca="false">[1]CORP!E23+[1]EES!E23+[1]ENA!E23+[1]ENW!E23</f>
        <v>0</v>
      </c>
      <c r="F23" s="53"/>
      <c r="G23" s="69" t="n">
        <f aca="false">[1]CORP!G23+[1]EES!G23+[1]ENA!G23+[1]ENW!G23</f>
        <v>0</v>
      </c>
      <c r="H23" s="70"/>
      <c r="I23" s="69" t="n">
        <f aca="false">[1]CORP!I23+[1]EES!I23+[1]ENA!I23+[1]ENW!I23</f>
        <v>204268</v>
      </c>
      <c r="J23" s="71"/>
      <c r="K23" s="53" t="n">
        <f aca="false">+E23+G23</f>
        <v>0</v>
      </c>
      <c r="L23" s="53"/>
      <c r="M23" s="69" t="n">
        <f aca="false">[1]CORP!M23+[1]EES!M23+[1]ENA!M23+[1]ENW!M23</f>
        <v>115960</v>
      </c>
      <c r="N23" s="56"/>
      <c r="O23" s="72" t="n">
        <f aca="false">(-M23+K23)</f>
        <v>-115960</v>
      </c>
      <c r="P23" s="3" t="e">
        <f aca="false">IF(O23=0,0,O23/K23)</f>
        <v>#DIV/0!</v>
      </c>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customFormat="false" ht="14.25" hidden="true" customHeight="false" outlineLevel="1" collapsed="false">
      <c r="A24" s="2"/>
      <c r="B24" s="51"/>
      <c r="C24" s="56" t="s">
        <v>23</v>
      </c>
      <c r="D24" s="68"/>
      <c r="E24" s="69" t="n">
        <f aca="false">[1]CORP!E24+[1]EES!E24+[1]ENA!E24+[1]ENW!E24</f>
        <v>0</v>
      </c>
      <c r="F24" s="53"/>
      <c r="G24" s="69" t="n">
        <f aca="false">[1]CORP!G24+[1]EES!G24+[1]ENA!G24+[1]ENW!G24</f>
        <v>0</v>
      </c>
      <c r="H24" s="70"/>
      <c r="I24" s="69" t="n">
        <f aca="false">[1]CORP!I24+[1]EES!I24+[1]ENA!I24+[1]ENW!I24</f>
        <v>0</v>
      </c>
      <c r="J24" s="71"/>
      <c r="K24" s="53" t="n">
        <f aca="false">+E24+G24</f>
        <v>0</v>
      </c>
      <c r="L24" s="53"/>
      <c r="M24" s="69" t="n">
        <f aca="false">[1]CORP!M24+[1]EES!M24+[1]ENA!M24+[1]ENW!M24</f>
        <v>38956</v>
      </c>
      <c r="N24" s="56"/>
      <c r="O24" s="72" t="n">
        <f aca="false">(-M24+K24)</f>
        <v>-38956</v>
      </c>
      <c r="P24" s="3" t="e">
        <f aca="false">IF(O24=0,0,O24/K24)</f>
        <v>#DIV/0!</v>
      </c>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customFormat="false" ht="14.25" hidden="true" customHeight="false" outlineLevel="1" collapsed="false">
      <c r="A25" s="2"/>
      <c r="B25" s="51"/>
      <c r="C25" s="56" t="s">
        <v>24</v>
      </c>
      <c r="D25" s="68"/>
      <c r="E25" s="69" t="n">
        <f aca="false">[1]CORP!E25+[1]EES!E25+[1]ENA!E25+[1]ENW!E25</f>
        <v>0</v>
      </c>
      <c r="F25" s="53"/>
      <c r="G25" s="69" t="n">
        <f aca="false">[1]CORP!G25+[1]EES!G25+[1]ENA!G25+[1]ENW!G25</f>
        <v>0</v>
      </c>
      <c r="H25" s="70"/>
      <c r="I25" s="69" t="n">
        <f aca="false">[1]CORP!I25+[1]EES!I25+[1]ENA!I25+[1]ENW!I25</f>
        <v>0</v>
      </c>
      <c r="J25" s="71"/>
      <c r="K25" s="53" t="n">
        <f aca="false">+E25+G25</f>
        <v>0</v>
      </c>
      <c r="L25" s="53"/>
      <c r="M25" s="69" t="n">
        <f aca="false">[1]CORP!M25+[1]EES!M25+[1]ENA!M25+[1]ENW!M25</f>
        <v>8097</v>
      </c>
      <c r="N25" s="56"/>
      <c r="O25" s="72" t="n">
        <f aca="false">(-M25+K25)</f>
        <v>-8097</v>
      </c>
      <c r="P25" s="3" t="e">
        <f aca="false">IF(O25=0,0,O25/K25)</f>
        <v>#DIV/0!</v>
      </c>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customFormat="false" ht="14.25" hidden="true" customHeight="false" outlineLevel="1" collapsed="false">
      <c r="A26" s="2"/>
      <c r="B26" s="51"/>
      <c r="C26" s="56" t="s">
        <v>25</v>
      </c>
      <c r="D26" s="68"/>
      <c r="E26" s="69" t="n">
        <f aca="false">[1]CORP!E26+[1]EES!E26+[1]ENA!E26+[1]ENW!E26</f>
        <v>156213</v>
      </c>
      <c r="F26" s="54"/>
      <c r="G26" s="69" t="n">
        <f aca="false">[1]CORP!G26+[1]EES!G26+[1]ENA!G26+[1]ENW!G26</f>
        <v>110773</v>
      </c>
      <c r="H26" s="70"/>
      <c r="I26" s="69" t="n">
        <f aca="false">[1]CORP!I26+[1]EES!I26+[1]ENA!I26+[1]ENW!I26</f>
        <v>50750</v>
      </c>
      <c r="J26" s="56"/>
      <c r="K26" s="53" t="n">
        <f aca="false">+E26+G26</f>
        <v>266986</v>
      </c>
      <c r="L26" s="54"/>
      <c r="M26" s="69" t="n">
        <f aca="false">[1]CORP!M26+[1]EES!M26+[1]ENA!M26+[1]ENW!M26</f>
        <v>140003</v>
      </c>
      <c r="N26" s="56"/>
      <c r="O26" s="72" t="n">
        <f aca="false">(-M26+K26)</f>
        <v>126983</v>
      </c>
      <c r="P26" s="3" t="n">
        <f aca="false">IF(O26=0,0,O26/K26)</f>
        <v>0.475616699002944</v>
      </c>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customFormat="false" ht="14.25" hidden="true" customHeight="false" outlineLevel="1" collapsed="false">
      <c r="A27" s="2"/>
      <c r="B27" s="51"/>
      <c r="C27" s="56" t="s">
        <v>26</v>
      </c>
      <c r="D27" s="68"/>
      <c r="E27" s="69" t="n">
        <f aca="false">[1]CORP!E27+[1]EES!E27+[1]ENA!E27+[1]ENW!E27</f>
        <v>42559</v>
      </c>
      <c r="F27" s="54"/>
      <c r="G27" s="69" t="n">
        <f aca="false">[1]CORP!G27+[1]EES!G27+[1]ENA!G27+[1]ENW!G27</f>
        <v>30400</v>
      </c>
      <c r="H27" s="70"/>
      <c r="I27" s="69" t="n">
        <f aca="false">[1]CORP!I27+[1]EES!I27+[1]ENA!I27+[1]ENW!I27</f>
        <v>0</v>
      </c>
      <c r="J27" s="56"/>
      <c r="K27" s="53" t="n">
        <f aca="false">+E27+G27</f>
        <v>72959</v>
      </c>
      <c r="L27" s="54"/>
      <c r="M27" s="69" t="n">
        <f aca="false">[1]CORP!M27+[1]EES!M27+[1]ENA!M27+[1]ENW!M27</f>
        <v>9848</v>
      </c>
      <c r="N27" s="56"/>
      <c r="O27" s="72" t="n">
        <f aca="false">(-M27+K27)</f>
        <v>63111</v>
      </c>
      <c r="P27" s="3" t="n">
        <f aca="false">IF(O27=0,0,O27/K27)</f>
        <v>0.86502007977083</v>
      </c>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customFormat="false" ht="14.25" hidden="true" customHeight="false" outlineLevel="1" collapsed="false">
      <c r="A28" s="2"/>
      <c r="B28" s="51"/>
      <c r="C28" s="56" t="s">
        <v>27</v>
      </c>
      <c r="D28" s="68"/>
      <c r="E28" s="69" t="n">
        <f aca="false">[1]CORP!E28+[1]EES!E28+[1]ENA!E28+[1]ENW!E28</f>
        <v>0</v>
      </c>
      <c r="F28" s="53"/>
      <c r="G28" s="69" t="n">
        <f aca="false">[1]CORP!G28+[1]EES!G28+[1]ENA!G28+[1]ENW!G28</f>
        <v>0</v>
      </c>
      <c r="H28" s="70"/>
      <c r="I28" s="69" t="n">
        <f aca="false">[1]CORP!I28+[1]EES!I28+[1]ENA!I28+[1]ENW!I28</f>
        <v>0</v>
      </c>
      <c r="J28" s="71"/>
      <c r="K28" s="53" t="n">
        <f aca="false">+E28+G28</f>
        <v>0</v>
      </c>
      <c r="L28" s="53"/>
      <c r="M28" s="69" t="n">
        <f aca="false">[1]CORP!M28+[1]EES!M28+[1]ENA!M28+[1]ENW!M28</f>
        <v>6700</v>
      </c>
      <c r="N28" s="56"/>
      <c r="O28" s="72" t="n">
        <f aca="false">(-M28+K28)</f>
        <v>-6700</v>
      </c>
      <c r="P28" s="3" t="e">
        <f aca="false">IF(O28=0,0,O28/K28)</f>
        <v>#DIV/0!</v>
      </c>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customFormat="false" ht="15" hidden="false" customHeight="false" outlineLevel="0" collapsed="false">
      <c r="A29" s="58"/>
      <c r="B29" s="59"/>
      <c r="C29" s="60" t="s">
        <v>28</v>
      </c>
      <c r="D29" s="59"/>
      <c r="E29" s="62" t="n">
        <f aca="false">SUM(E30:E31)</f>
        <v>761403</v>
      </c>
      <c r="F29" s="73"/>
      <c r="G29" s="62" t="n">
        <f aca="false">SUM(G30:G31)</f>
        <v>672661.857142857</v>
      </c>
      <c r="H29" s="66"/>
      <c r="I29" s="62" t="n">
        <f aca="false">SUM(I30:I31)</f>
        <v>1443718</v>
      </c>
      <c r="J29" s="60"/>
      <c r="K29" s="62" t="n">
        <f aca="false">+E29+G29</f>
        <v>1434064.85714286</v>
      </c>
      <c r="L29" s="73"/>
      <c r="M29" s="62" t="n">
        <f aca="false">SUM(M30:M31)</f>
        <v>698136</v>
      </c>
      <c r="N29" s="60"/>
      <c r="O29" s="65" t="n">
        <f aca="false">(-M29+K29)</f>
        <v>735928.857142857</v>
      </c>
      <c r="P29" s="3" t="n">
        <f aca="false">IF(O29=0,0,O29/K29)</f>
        <v>0.513176829818616</v>
      </c>
      <c r="Q29" s="4" t="s">
        <v>29</v>
      </c>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c r="IW29" s="58"/>
    </row>
    <row r="30" customFormat="false" ht="14.25" hidden="true" customHeight="false" outlineLevel="1" collapsed="false">
      <c r="A30" s="2"/>
      <c r="B30" s="51"/>
      <c r="C30" s="56" t="s">
        <v>30</v>
      </c>
      <c r="D30" s="68"/>
      <c r="E30" s="69" t="n">
        <f aca="false">[1]CORP!E30+[1]EES!E30+[1]ENA!E30+[1]ENW!E30</f>
        <v>4399</v>
      </c>
      <c r="F30" s="54"/>
      <c r="G30" s="69" t="n">
        <f aca="false">[1]CORP!G30+[1]EES!G30+[1]ENA!G30+[1]ENW!G30</f>
        <v>691</v>
      </c>
      <c r="H30" s="70"/>
      <c r="I30" s="69" t="n">
        <f aca="false">[1]CORP!I30+[1]EES!I30+[1]ENA!I30+[1]ENW!I30</f>
        <v>45333</v>
      </c>
      <c r="J30" s="56"/>
      <c r="K30" s="53" t="n">
        <f aca="false">+E30+G30</f>
        <v>5090</v>
      </c>
      <c r="L30" s="54"/>
      <c r="M30" s="69" t="n">
        <f aca="false">[1]CORP!M30+[1]EES!M30+[1]ENA!M30+[1]ENW!M30</f>
        <v>21984</v>
      </c>
      <c r="N30" s="56"/>
      <c r="O30" s="72" t="n">
        <f aca="false">(-M30+K30)</f>
        <v>-16894</v>
      </c>
      <c r="P30" s="3" t="n">
        <f aca="false">IF(O30=0,0,O30/K30)</f>
        <v>-3.31905697445973</v>
      </c>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4.25" hidden="true" customHeight="false" outlineLevel="1" collapsed="false">
      <c r="A31" s="2"/>
      <c r="B31" s="51"/>
      <c r="C31" s="56" t="s">
        <v>31</v>
      </c>
      <c r="D31" s="68"/>
      <c r="E31" s="69" t="n">
        <f aca="false">[1]CORP!E31+[1]EES!E31+[1]ENA!E31+[1]ENW!E31</f>
        <v>757004</v>
      </c>
      <c r="F31" s="53"/>
      <c r="G31" s="69" t="n">
        <f aca="false">[1]CORP!G31+[1]EES!G31+[1]ENA!G31+[1]ENW!G31</f>
        <v>671970.857142857</v>
      </c>
      <c r="H31" s="70"/>
      <c r="I31" s="69" t="n">
        <f aca="false">[1]CORP!I31+[1]EES!I31+[1]ENA!I31+[1]ENW!I31</f>
        <v>1398385</v>
      </c>
      <c r="J31" s="71"/>
      <c r="K31" s="53" t="n">
        <f aca="false">+E31+G31</f>
        <v>1428974.85714286</v>
      </c>
      <c r="L31" s="53"/>
      <c r="M31" s="69" t="n">
        <f aca="false">[1]CORP!M31+[1]EES!M31+[1]ENA!M31+[1]ENW!M31</f>
        <v>676152</v>
      </c>
      <c r="N31" s="56"/>
      <c r="O31" s="72" t="n">
        <f aca="false">(-M31+K31)</f>
        <v>752822.857142857</v>
      </c>
      <c r="P31" s="3" t="n">
        <f aca="false">IF(O31=0,0,O31/K31)</f>
        <v>0.526827223991945</v>
      </c>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customFormat="false" ht="15" hidden="false" customHeight="false" outlineLevel="0" collapsed="false">
      <c r="A32" s="58"/>
      <c r="B32" s="59"/>
      <c r="C32" s="60" t="s">
        <v>32</v>
      </c>
      <c r="D32" s="59"/>
      <c r="E32" s="62" t="n">
        <f aca="false">SUM(E33:E38)</f>
        <v>1227729</v>
      </c>
      <c r="F32" s="73"/>
      <c r="G32" s="62" t="n">
        <f aca="false">SUM(G33:G38)</f>
        <v>768861.857142857</v>
      </c>
      <c r="H32" s="66"/>
      <c r="I32" s="62" t="n">
        <f aca="false">SUM(I33:I38)</f>
        <v>1130575</v>
      </c>
      <c r="J32" s="60"/>
      <c r="K32" s="62" t="n">
        <f aca="false">+E32+G32</f>
        <v>1996590.85714286</v>
      </c>
      <c r="L32" s="73"/>
      <c r="M32" s="62" t="n">
        <f aca="false">SUM(M33:M38)</f>
        <v>1732880</v>
      </c>
      <c r="N32" s="60"/>
      <c r="O32" s="65" t="n">
        <f aca="false">(-M32+K32)</f>
        <v>263710.857142857</v>
      </c>
      <c r="P32" s="3" t="n">
        <f aca="false">IF(O32=0,0,O32/K32)</f>
        <v>0.132080569336189</v>
      </c>
      <c r="Q32" s="4" t="s">
        <v>33</v>
      </c>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c r="IW32" s="58"/>
    </row>
    <row r="33" customFormat="false" ht="14.25" hidden="true" customHeight="false" outlineLevel="1" collapsed="false">
      <c r="A33" s="2"/>
      <c r="B33" s="51"/>
      <c r="C33" s="56" t="s">
        <v>34</v>
      </c>
      <c r="D33" s="68"/>
      <c r="E33" s="69" t="n">
        <f aca="false">[1]CORP!E33+[1]EES!E33+[1]ENA!E33+[1]ENW!E33</f>
        <v>3157</v>
      </c>
      <c r="F33" s="54"/>
      <c r="G33" s="69" t="n">
        <f aca="false">[1]CORP!G33+[1]EES!G33+[1]ENA!G33+[1]ENW!G33</f>
        <v>2255</v>
      </c>
      <c r="H33" s="70"/>
      <c r="I33" s="69" t="n">
        <f aca="false">[1]CORP!I33+[1]EES!I33+[1]ENA!I33+[1]ENW!I33</f>
        <v>0</v>
      </c>
      <c r="J33" s="56"/>
      <c r="K33" s="53" t="n">
        <f aca="false">+E33+G33</f>
        <v>5412</v>
      </c>
      <c r="L33" s="54"/>
      <c r="M33" s="69" t="n">
        <f aca="false">[1]CORP!M33+[1]EES!M33+[1]ENA!M33+[1]ENW!M33</f>
        <v>12400</v>
      </c>
      <c r="N33" s="56"/>
      <c r="O33" s="72" t="n">
        <f aca="false">(-M33+K33)</f>
        <v>-6988</v>
      </c>
      <c r="P33" s="3" t="n">
        <f aca="false">IF(O33=0,0,O33/K33)</f>
        <v>-1.29120473022912</v>
      </c>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customFormat="false" ht="14.25" hidden="true" customHeight="false" outlineLevel="1" collapsed="false">
      <c r="A34" s="2"/>
      <c r="B34" s="51"/>
      <c r="C34" s="56" t="s">
        <v>35</v>
      </c>
      <c r="D34" s="68"/>
      <c r="E34" s="69" t="n">
        <f aca="false">[1]CORP!E34+[1]EES!E34+[1]ENA!E34+[1]ENW!E34</f>
        <v>224489</v>
      </c>
      <c r="F34" s="54"/>
      <c r="G34" s="69" t="n">
        <f aca="false">[1]CORP!G34+[1]EES!G34+[1]ENA!G34+[1]ENW!G34</f>
        <v>101047</v>
      </c>
      <c r="H34" s="70"/>
      <c r="I34" s="69" t="n">
        <f aca="false">[1]CORP!I34+[1]EES!I34+[1]ENA!I34+[1]ENW!I34</f>
        <v>261634</v>
      </c>
      <c r="J34" s="56"/>
      <c r="K34" s="53" t="n">
        <f aca="false">+E34+G34</f>
        <v>325536</v>
      </c>
      <c r="L34" s="54"/>
      <c r="M34" s="69" t="n">
        <f aca="false">[1]CORP!M34+[1]EES!M34+[1]ENA!M34+[1]ENW!M34</f>
        <v>171672</v>
      </c>
      <c r="N34" s="56"/>
      <c r="O34" s="72" t="n">
        <f aca="false">(-M34+K34)</f>
        <v>153864</v>
      </c>
      <c r="P34" s="3" t="n">
        <f aca="false">IF(O34=0,0,O34/K34)</f>
        <v>0.4726481863757</v>
      </c>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customFormat="false" ht="14.25" hidden="true" customHeight="false" outlineLevel="1" collapsed="false">
      <c r="A35" s="2"/>
      <c r="B35" s="51"/>
      <c r="C35" s="56" t="s">
        <v>36</v>
      </c>
      <c r="D35" s="68"/>
      <c r="E35" s="69" t="n">
        <f aca="false">[1]CORP!E35+[1]EES!E35+[1]ENA!E35+[1]ENW!E35</f>
        <v>15175</v>
      </c>
      <c r="F35" s="54"/>
      <c r="G35" s="69" t="n">
        <f aca="false">[1]CORP!G35+[1]EES!G35+[1]ENA!G35+[1]ENW!G35</f>
        <v>10839</v>
      </c>
      <c r="H35" s="70"/>
      <c r="I35" s="69" t="n">
        <f aca="false">[1]CORP!I35+[1]EES!I35+[1]ENA!I35+[1]ENW!I35</f>
        <v>4500</v>
      </c>
      <c r="J35" s="56"/>
      <c r="K35" s="53" t="n">
        <f aca="false">+E35+G35</f>
        <v>26014</v>
      </c>
      <c r="L35" s="54"/>
      <c r="M35" s="69" t="n">
        <f aca="false">[1]CORP!M35+[1]EES!M35+[1]ENA!M35+[1]ENW!M35</f>
        <v>24754</v>
      </c>
      <c r="N35" s="56"/>
      <c r="O35" s="72" t="n">
        <f aca="false">(-M35+K35)</f>
        <v>1260</v>
      </c>
      <c r="P35" s="3" t="n">
        <f aca="false">IF(O35=0,0,O35/K35)</f>
        <v>0.048435457830399</v>
      </c>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customFormat="false" ht="14.25" hidden="true" customHeight="false" outlineLevel="1" collapsed="false">
      <c r="A36" s="2"/>
      <c r="B36" s="51"/>
      <c r="C36" s="56" t="s">
        <v>37</v>
      </c>
      <c r="D36" s="68"/>
      <c r="E36" s="69" t="n">
        <f aca="false">[1]CORP!E36+[1]EES!E36+[1]ENA!E36+[1]ENW!E36</f>
        <v>2050</v>
      </c>
      <c r="F36" s="54"/>
      <c r="G36" s="69" t="n">
        <f aca="false">[1]CORP!G36+[1]EES!G36+[1]ENA!G36+[1]ENW!G36</f>
        <v>1465</v>
      </c>
      <c r="H36" s="70"/>
      <c r="I36" s="69" t="n">
        <f aca="false">[1]CORP!I36+[1]EES!I36+[1]ENA!I36+[1]ENW!I36</f>
        <v>2996</v>
      </c>
      <c r="J36" s="56"/>
      <c r="K36" s="53" t="n">
        <f aca="false">+E36+G36</f>
        <v>3515</v>
      </c>
      <c r="L36" s="54"/>
      <c r="M36" s="69" t="n">
        <f aca="false">[1]CORP!M36+[1]EES!M36+[1]ENA!M36+[1]ENW!M36</f>
        <v>17240</v>
      </c>
      <c r="N36" s="56"/>
      <c r="O36" s="72" t="n">
        <f aca="false">(-M36+K36)</f>
        <v>-13725</v>
      </c>
      <c r="P36" s="3" t="n">
        <f aca="false">IF(O36=0,0,O36/K36)</f>
        <v>-3.90469416785206</v>
      </c>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customFormat="false" ht="14.25" hidden="true" customHeight="false" outlineLevel="1" collapsed="false">
      <c r="A37" s="2"/>
      <c r="B37" s="51"/>
      <c r="C37" s="56" t="s">
        <v>38</v>
      </c>
      <c r="D37" s="68"/>
      <c r="E37" s="69" t="n">
        <f aca="false">[1]CORP!E37+[1]EES!E37+[1]ENA!E37+[1]ENW!E37</f>
        <v>830293</v>
      </c>
      <c r="F37" s="54"/>
      <c r="G37" s="69" t="n">
        <f aca="false">[1]CORP!G37+[1]EES!G37+[1]ENA!G37+[1]ENW!G37</f>
        <v>540878.857142857</v>
      </c>
      <c r="H37" s="70"/>
      <c r="I37" s="69" t="n">
        <f aca="false">[1]CORP!I37+[1]EES!I37+[1]ENA!I37+[1]ENW!I37</f>
        <v>803498</v>
      </c>
      <c r="J37" s="56"/>
      <c r="K37" s="53" t="n">
        <f aca="false">+E37+G37</f>
        <v>1371171.85714286</v>
      </c>
      <c r="L37" s="54"/>
      <c r="M37" s="69" t="n">
        <f aca="false">[1]CORP!M37+[1]EES!M37+[1]ENA!M37+[1]ENW!M37</f>
        <v>1408650</v>
      </c>
      <c r="N37" s="56"/>
      <c r="O37" s="72" t="n">
        <f aca="false">(-M37+K37)</f>
        <v>-37478.1428571427</v>
      </c>
      <c r="P37" s="3" t="n">
        <f aca="false">IF(O37=0,0,O37/K37)</f>
        <v>-0.0273329288826251</v>
      </c>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customFormat="false" ht="14.25" hidden="true" customHeight="false" outlineLevel="1" collapsed="false">
      <c r="A38" s="2"/>
      <c r="B38" s="51"/>
      <c r="C38" s="56" t="s">
        <v>39</v>
      </c>
      <c r="D38" s="68"/>
      <c r="E38" s="69" t="n">
        <f aca="false">[1]CORP!E38+[1]EES!E38+[1]ENA!E38+[1]ENW!E38</f>
        <v>152565</v>
      </c>
      <c r="F38" s="54"/>
      <c r="G38" s="69" t="n">
        <f aca="false">[1]CORP!G38+[1]EES!G38+[1]ENA!G38+[1]ENW!G38</f>
        <v>112377</v>
      </c>
      <c r="H38" s="70"/>
      <c r="I38" s="69" t="n">
        <f aca="false">[1]CORP!I38+[1]EES!I38+[1]ENA!I38+[1]ENW!I38</f>
        <v>57947</v>
      </c>
      <c r="J38" s="56"/>
      <c r="K38" s="53" t="n">
        <f aca="false">+E38+G38</f>
        <v>264942</v>
      </c>
      <c r="L38" s="54"/>
      <c r="M38" s="69" t="n">
        <f aca="false">[1]CORP!M38+[1]EES!M38+[1]ENA!M38+[1]ENW!M38</f>
        <v>98164</v>
      </c>
      <c r="N38" s="56"/>
      <c r="O38" s="72" t="n">
        <f aca="false">(-M38+K38)</f>
        <v>166778</v>
      </c>
      <c r="P38" s="3" t="n">
        <f aca="false">IF(O38=0,0,O38/K38)</f>
        <v>0.629488718285512</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customFormat="false" ht="15" hidden="false" customHeight="false" outlineLevel="0" collapsed="false">
      <c r="A39" s="58"/>
      <c r="B39" s="59"/>
      <c r="C39" s="60" t="s">
        <v>40</v>
      </c>
      <c r="D39" s="59"/>
      <c r="E39" s="61" t="n">
        <f aca="false">[1]CORP!E39+[1]EES!E39+[1]ENA!E39+[1]ENW!E39</f>
        <v>99152</v>
      </c>
      <c r="F39" s="73"/>
      <c r="G39" s="61" t="n">
        <f aca="false">[1]CORP!G39+[1]EES!G39+[1]ENA!G39+[1]ENW!G39</f>
        <v>88111.2857142857</v>
      </c>
      <c r="H39" s="63"/>
      <c r="I39" s="61" t="n">
        <f aca="false">[1]CORP!I39+[1]EES!I39+[1]ENA!I39+[1]ENW!I39</f>
        <v>156392</v>
      </c>
      <c r="J39" s="60"/>
      <c r="K39" s="62" t="n">
        <f aca="false">+E39+G39</f>
        <v>187263.285714286</v>
      </c>
      <c r="L39" s="73"/>
      <c r="M39" s="61" t="n">
        <f aca="false">[1]CORP!M39+[1]EES!M39+[1]ENA!M39+[1]ENW!M39</f>
        <v>89592</v>
      </c>
      <c r="N39" s="60"/>
      <c r="O39" s="65" t="n">
        <f aca="false">(-M39+K39)</f>
        <v>97671.2857142857</v>
      </c>
      <c r="P39" s="3" t="n">
        <f aca="false">IF(O39=0,0,O39/K39)</f>
        <v>0.521571996036139</v>
      </c>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c r="IU39" s="58"/>
      <c r="IV39" s="58"/>
      <c r="IW39" s="58"/>
    </row>
    <row r="40" customFormat="false" ht="15" hidden="false" customHeight="false" outlineLevel="0" collapsed="false">
      <c r="A40" s="58"/>
      <c r="B40" s="59"/>
      <c r="C40" s="60" t="s">
        <v>41</v>
      </c>
      <c r="D40" s="59"/>
      <c r="E40" s="61" t="n">
        <f aca="false">[1]CORP!E40+[1]EES!E40+[1]ENA!E40+[1]ENW!E40</f>
        <v>0</v>
      </c>
      <c r="F40" s="73"/>
      <c r="G40" s="61" t="n">
        <f aca="false">[1]CORP!G40+[1]EES!G40+[1]ENA!G40+[1]ENW!G40</f>
        <v>0</v>
      </c>
      <c r="H40" s="63"/>
      <c r="I40" s="61" t="n">
        <f aca="false">[1]CORP!I40+[1]EES!I40+[1]ENA!I40+[1]ENW!I40</f>
        <v>0</v>
      </c>
      <c r="J40" s="60"/>
      <c r="K40" s="62" t="n">
        <f aca="false">+E40+G40</f>
        <v>0</v>
      </c>
      <c r="L40" s="73"/>
      <c r="M40" s="61" t="n">
        <f aca="false">[1]CORP!M40+[1]EES!M40+[1]ENA!M40+[1]ENW!M40</f>
        <v>0</v>
      </c>
      <c r="N40" s="60"/>
      <c r="O40" s="65" t="n">
        <f aca="false">(-M40+K40)</f>
        <v>0</v>
      </c>
      <c r="P40" s="3" t="n">
        <f aca="false">IF(O40=0,0,O40/K40)</f>
        <v>0</v>
      </c>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c r="IU40" s="58"/>
      <c r="IV40" s="58"/>
      <c r="IW40" s="58"/>
    </row>
    <row r="41" customFormat="false" ht="15" hidden="false" customHeight="false" outlineLevel="0" collapsed="false">
      <c r="A41" s="58"/>
      <c r="B41" s="59"/>
      <c r="C41" s="60" t="s">
        <v>42</v>
      </c>
      <c r="D41" s="59"/>
      <c r="E41" s="61" t="n">
        <f aca="false">[1]CORP!E41+[1]EES!E41+[1]ENA!E41+[1]ENW!E41</f>
        <v>0</v>
      </c>
      <c r="F41" s="73"/>
      <c r="G41" s="61" t="n">
        <f aca="false">[1]CORP!G41+[1]EES!G41+[1]ENA!G41+[1]ENW!G41</f>
        <v>0</v>
      </c>
      <c r="H41" s="63"/>
      <c r="I41" s="61" t="n">
        <f aca="false">[1]CORP!I41+[1]EES!I41+[1]ENA!I41+[1]ENW!I41</f>
        <v>0</v>
      </c>
      <c r="J41" s="60"/>
      <c r="K41" s="62" t="n">
        <f aca="false">+E41+G41</f>
        <v>0</v>
      </c>
      <c r="L41" s="73"/>
      <c r="M41" s="61" t="n">
        <f aca="false">[1]CORP!M41+[1]EES!M41+[1]ENA!M41+[1]ENW!M41</f>
        <v>0</v>
      </c>
      <c r="N41" s="60"/>
      <c r="O41" s="65" t="n">
        <f aca="false">(-M41+K41)</f>
        <v>0</v>
      </c>
      <c r="P41" s="3" t="n">
        <f aca="false">IF(O41=0,0,O41/K41)</f>
        <v>0</v>
      </c>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c r="GM41" s="58"/>
      <c r="GN41" s="58"/>
      <c r="GO41" s="58"/>
      <c r="GP41" s="58"/>
      <c r="GQ41" s="58"/>
      <c r="GR41" s="58"/>
      <c r="GS41" s="58"/>
      <c r="GT41" s="58"/>
      <c r="GU41" s="58"/>
      <c r="GV41" s="58"/>
      <c r="GW41" s="58"/>
      <c r="GX41" s="58"/>
      <c r="GY41" s="58"/>
      <c r="GZ41" s="58"/>
      <c r="HA41" s="58"/>
      <c r="HB41" s="58"/>
      <c r="HC41" s="58"/>
      <c r="HD41" s="58"/>
      <c r="HE41" s="58"/>
      <c r="HF41" s="58"/>
      <c r="HG41" s="58"/>
      <c r="HH41" s="58"/>
      <c r="HI41" s="58"/>
      <c r="HJ41" s="58"/>
      <c r="HK41" s="58"/>
      <c r="HL41" s="58"/>
      <c r="HM41" s="58"/>
      <c r="HN41" s="58"/>
      <c r="HO41" s="58"/>
      <c r="HP41" s="58"/>
      <c r="HQ41" s="58"/>
      <c r="HR41" s="58"/>
      <c r="HS41" s="58"/>
      <c r="HT41" s="58"/>
      <c r="HU41" s="58"/>
      <c r="HV41" s="58"/>
      <c r="HW41" s="58"/>
      <c r="HX41" s="58"/>
      <c r="HY41" s="58"/>
      <c r="HZ41" s="58"/>
      <c r="IA41" s="58"/>
      <c r="IB41" s="58"/>
      <c r="IC41" s="58"/>
      <c r="ID41" s="58"/>
      <c r="IE41" s="58"/>
      <c r="IF41" s="58"/>
      <c r="IG41" s="58"/>
      <c r="IH41" s="58"/>
      <c r="II41" s="58"/>
      <c r="IJ41" s="58"/>
      <c r="IK41" s="58"/>
      <c r="IL41" s="58"/>
      <c r="IM41" s="58"/>
      <c r="IN41" s="58"/>
      <c r="IO41" s="58"/>
      <c r="IP41" s="58"/>
      <c r="IQ41" s="58"/>
      <c r="IR41" s="58"/>
      <c r="IS41" s="58"/>
      <c r="IT41" s="58"/>
      <c r="IU41" s="58"/>
      <c r="IV41" s="58"/>
      <c r="IW41" s="58"/>
    </row>
    <row r="42" customFormat="false" ht="15" hidden="false" customHeight="false" outlineLevel="0" collapsed="false">
      <c r="A42" s="58"/>
      <c r="B42" s="59"/>
      <c r="C42" s="60" t="s">
        <v>43</v>
      </c>
      <c r="D42" s="59"/>
      <c r="E42" s="61" t="n">
        <f aca="false">[1]CORP!E42+[1]EES!E42+[1]ENA!E42+[1]ENW!E42</f>
        <v>153810</v>
      </c>
      <c r="F42" s="73"/>
      <c r="G42" s="61" t="n">
        <f aca="false">[1]CORP!G42+[1]EES!G42+[1]ENA!G42+[1]ENW!G42</f>
        <v>112475</v>
      </c>
      <c r="H42" s="63"/>
      <c r="I42" s="61" t="n">
        <f aca="false">[1]CORP!I42+[1]EES!I42+[1]ENA!I42+[1]ENW!I42</f>
        <v>215400</v>
      </c>
      <c r="J42" s="60"/>
      <c r="K42" s="62" t="n">
        <f aca="false">+E42+G42</f>
        <v>266285</v>
      </c>
      <c r="L42" s="73"/>
      <c r="M42" s="61" t="n">
        <f aca="false">[1]CORP!M42+[1]EES!M42+[1]ENA!M42+[1]ENW!M42</f>
        <v>0</v>
      </c>
      <c r="N42" s="60"/>
      <c r="O42" s="65" t="n">
        <f aca="false">(-M42+K42)</f>
        <v>266285</v>
      </c>
      <c r="P42" s="3" t="n">
        <f aca="false">IF(O42=0,0,O42/K42)</f>
        <v>1</v>
      </c>
      <c r="Q42" s="4" t="s">
        <v>44</v>
      </c>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c r="IG42" s="58"/>
      <c r="IH42" s="58"/>
      <c r="II42" s="58"/>
      <c r="IJ42" s="58"/>
      <c r="IK42" s="58"/>
      <c r="IL42" s="58"/>
      <c r="IM42" s="58"/>
      <c r="IN42" s="58"/>
      <c r="IO42" s="58"/>
      <c r="IP42" s="58"/>
      <c r="IQ42" s="58"/>
      <c r="IR42" s="58"/>
      <c r="IS42" s="58"/>
      <c r="IT42" s="58"/>
      <c r="IU42" s="58"/>
      <c r="IV42" s="58"/>
      <c r="IW42" s="58"/>
    </row>
    <row r="43" customFormat="false" ht="15" hidden="false" customHeight="false" outlineLevel="0" collapsed="false">
      <c r="A43" s="58"/>
      <c r="B43" s="59"/>
      <c r="C43" s="60" t="s">
        <v>45</v>
      </c>
      <c r="D43" s="59"/>
      <c r="E43" s="62" t="n">
        <f aca="false">SUM(E44:E47)</f>
        <v>153144</v>
      </c>
      <c r="F43" s="73"/>
      <c r="G43" s="62" t="n">
        <f aca="false">SUM(G44:G47)</f>
        <v>605279.571428571</v>
      </c>
      <c r="H43" s="66"/>
      <c r="I43" s="62" t="n">
        <f aca="false">SUM(I44:I47)</f>
        <v>463708</v>
      </c>
      <c r="J43" s="60"/>
      <c r="K43" s="62" t="n">
        <f aca="false">+E43+G43</f>
        <v>758423.571428571</v>
      </c>
      <c r="L43" s="73"/>
      <c r="M43" s="62" t="n">
        <f aca="false">SUM(M44:M47)</f>
        <v>124896</v>
      </c>
      <c r="N43" s="60"/>
      <c r="O43" s="65" t="n">
        <f aca="false">(-M43+K43)</f>
        <v>633527.571428571</v>
      </c>
      <c r="P43" s="3" t="n">
        <f aca="false">IF(O43=0,0,O43/K43)</f>
        <v>0.835321573979109</v>
      </c>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c r="IT43" s="58"/>
      <c r="IU43" s="58"/>
      <c r="IV43" s="58"/>
      <c r="IW43" s="58"/>
    </row>
    <row r="44" customFormat="false" ht="14.25" hidden="true" customHeight="false" outlineLevel="1" collapsed="false">
      <c r="A44" s="2"/>
      <c r="B44" s="51"/>
      <c r="C44" s="56" t="s">
        <v>46</v>
      </c>
      <c r="D44" s="68"/>
      <c r="E44" s="69" t="n">
        <f aca="false">[1]CORP!E44+[1]EES!E44+[1]ENA!E44+[1]ENW!E44</f>
        <v>1488</v>
      </c>
      <c r="F44" s="54"/>
      <c r="G44" s="69" t="n">
        <f aca="false">[1]CORP!G44+[1]EES!G44+[1]ENA!G44+[1]ENW!G44</f>
        <v>1063</v>
      </c>
      <c r="H44" s="70"/>
      <c r="I44" s="69" t="n">
        <f aca="false">[1]CORP!I44+[1]EES!I44+[1]ENA!I44+[1]ENW!I44</f>
        <v>0</v>
      </c>
      <c r="J44" s="56"/>
      <c r="K44" s="53" t="n">
        <f aca="false">+E44+G44</f>
        <v>2551</v>
      </c>
      <c r="L44" s="54"/>
      <c r="M44" s="69" t="n">
        <f aca="false">[1]CORP!M44+[1]EES!M44+[1]ENA!M44+[1]ENW!M44</f>
        <v>0</v>
      </c>
      <c r="N44" s="56"/>
      <c r="O44" s="72" t="n">
        <f aca="false">(-M44+K44)</f>
        <v>2551</v>
      </c>
      <c r="P44" s="3" t="n">
        <f aca="false">IF(O44=0,0,O44/K44)</f>
        <v>1</v>
      </c>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14.25" hidden="true" customHeight="false" outlineLevel="1" collapsed="false">
      <c r="A45" s="2"/>
      <c r="B45" s="51"/>
      <c r="C45" s="56" t="s">
        <v>47</v>
      </c>
      <c r="D45" s="68"/>
      <c r="E45" s="69" t="n">
        <f aca="false">[1]CORP!E45+[1]EES!E45+[1]ENA!E45+[1]ENW!E45</f>
        <v>0</v>
      </c>
      <c r="F45" s="54"/>
      <c r="G45" s="69" t="n">
        <f aca="false">[1]CORP!G45+[1]EES!G45+[1]ENA!G45+[1]ENW!G45</f>
        <v>0</v>
      </c>
      <c r="H45" s="70"/>
      <c r="I45" s="69" t="n">
        <f aca="false">[1]CORP!I45+[1]EES!I45+[1]ENA!I45+[1]ENW!I45</f>
        <v>0</v>
      </c>
      <c r="J45" s="56"/>
      <c r="K45" s="53" t="n">
        <f aca="false">+E45+G45</f>
        <v>0</v>
      </c>
      <c r="L45" s="54"/>
      <c r="M45" s="69" t="n">
        <f aca="false">[1]CORP!M45+[1]EES!M45+[1]ENA!M45+[1]ENW!M45</f>
        <v>3000</v>
      </c>
      <c r="N45" s="56"/>
      <c r="O45" s="72" t="n">
        <f aca="false">(-M45+K45)</f>
        <v>-3000</v>
      </c>
      <c r="P45" s="3" t="e">
        <f aca="false">IF(O45=0,0,O45/K45)</f>
        <v>#DIV/0!</v>
      </c>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14.25" hidden="true" customHeight="false" outlineLevel="1" collapsed="false">
      <c r="A46" s="2"/>
      <c r="B46" s="51"/>
      <c r="C46" s="56" t="s">
        <v>48</v>
      </c>
      <c r="D46" s="68"/>
      <c r="E46" s="69" t="n">
        <f aca="false">[1]CORP!E46+[1]EES!E46+[1]ENA!E46+[1]ENW!E46</f>
        <v>107</v>
      </c>
      <c r="F46" s="54"/>
      <c r="G46" s="69" t="n">
        <f aca="false">[1]CORP!G46+[1]EES!G46+[1]ENA!G46+[1]ENW!G46</f>
        <v>77</v>
      </c>
      <c r="H46" s="70"/>
      <c r="I46" s="69" t="n">
        <f aca="false">[1]CORP!I46+[1]EES!I46+[1]ENA!I46+[1]ENW!I46</f>
        <v>6200</v>
      </c>
      <c r="J46" s="56"/>
      <c r="K46" s="53" t="n">
        <f aca="false">+E46+G46</f>
        <v>184</v>
      </c>
      <c r="L46" s="54"/>
      <c r="M46" s="69" t="n">
        <f aca="false">[1]CORP!M46+[1]EES!M46+[1]ENA!M46+[1]ENW!M46</f>
        <v>1200</v>
      </c>
      <c r="N46" s="56"/>
      <c r="O46" s="72" t="n">
        <f aca="false">(-M46+K46)</f>
        <v>-1016</v>
      </c>
      <c r="P46" s="3" t="n">
        <f aca="false">IF(O46=0,0,O46/K46)</f>
        <v>-5.52173913043478</v>
      </c>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4.25" hidden="true" customHeight="false" outlineLevel="1" collapsed="false">
      <c r="A47" s="2"/>
      <c r="B47" s="51"/>
      <c r="C47" s="56" t="s">
        <v>49</v>
      </c>
      <c r="D47" s="68"/>
      <c r="E47" s="69" t="n">
        <f aca="false">[1]CORP!E47+[1]EES!E47+[1]ENA!E47+[1]ENW!E47</f>
        <v>151549</v>
      </c>
      <c r="F47" s="54"/>
      <c r="G47" s="69" t="n">
        <f aca="false">[1]CORP!G47+[1]EES!G47+[1]ENA!G47+[1]ENW!G47</f>
        <v>604139.571428571</v>
      </c>
      <c r="H47" s="70"/>
      <c r="I47" s="69" t="n">
        <f aca="false">[1]CORP!I47+[1]EES!I47+[1]ENA!I47+[1]ENW!I47</f>
        <v>457508</v>
      </c>
      <c r="J47" s="56"/>
      <c r="K47" s="53" t="n">
        <f aca="false">+E47+G47</f>
        <v>755688.571428571</v>
      </c>
      <c r="L47" s="54"/>
      <c r="M47" s="69" t="n">
        <f aca="false">[1]CORP!M47+[1]EES!M47+[1]ENA!M47+[1]ENW!M47</f>
        <v>120696</v>
      </c>
      <c r="N47" s="56"/>
      <c r="O47" s="72" t="n">
        <f aca="false">(-M47+K47)</f>
        <v>634992.571428571</v>
      </c>
      <c r="P47" s="3" t="n">
        <f aca="false">IF(O47=0,0,O47/K47)</f>
        <v>0.840283412290021</v>
      </c>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15" hidden="false" customHeight="false" outlineLevel="0" collapsed="false">
      <c r="A48" s="58"/>
      <c r="B48" s="59"/>
      <c r="C48" s="60" t="s">
        <v>50</v>
      </c>
      <c r="D48" s="59"/>
      <c r="E48" s="61" t="n">
        <f aca="false">[1]CORP!E48+[1]EES!E48+[1]ENA!E48+[1]ENW!E48</f>
        <v>0</v>
      </c>
      <c r="F48" s="73"/>
      <c r="G48" s="61" t="n">
        <f aca="false">[1]CORP!G48+[1]EES!G48+[1]ENA!G48+[1]ENW!G48</f>
        <v>0</v>
      </c>
      <c r="H48" s="63"/>
      <c r="I48" s="61" t="n">
        <f aca="false">[1]CORP!I48+[1]EES!I48+[1]ENA!I48+[1]ENW!I48</f>
        <v>0</v>
      </c>
      <c r="J48" s="60"/>
      <c r="K48" s="62" t="n">
        <f aca="false">+E48+G48</f>
        <v>0</v>
      </c>
      <c r="L48" s="73"/>
      <c r="M48" s="61" t="n">
        <f aca="false">[1]CORP!M48+[1]EES!M48+[1]ENA!M48+[1]ENW!M48</f>
        <v>0</v>
      </c>
      <c r="N48" s="60"/>
      <c r="O48" s="65" t="n">
        <f aca="false">(-M48+K48)</f>
        <v>0</v>
      </c>
      <c r="P48" s="3" t="n">
        <f aca="false">IF(O48=0,0,O48/K48)</f>
        <v>0</v>
      </c>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c r="IJ48" s="58"/>
      <c r="IK48" s="58"/>
      <c r="IL48" s="58"/>
      <c r="IM48" s="58"/>
      <c r="IN48" s="58"/>
      <c r="IO48" s="58"/>
      <c r="IP48" s="58"/>
      <c r="IQ48" s="58"/>
      <c r="IR48" s="58"/>
      <c r="IS48" s="58"/>
      <c r="IT48" s="58"/>
      <c r="IU48" s="58"/>
      <c r="IV48" s="58"/>
      <c r="IW48" s="58"/>
    </row>
    <row r="49" customFormat="false" ht="15" hidden="false" customHeight="false" outlineLevel="0" collapsed="false">
      <c r="A49" s="58"/>
      <c r="B49" s="59"/>
      <c r="C49" s="60" t="s">
        <v>51</v>
      </c>
      <c r="D49" s="59"/>
      <c r="E49" s="61" t="n">
        <f aca="false">[1]CORP!E49+[1]EES!E49+[1]ENA!E49+[1]ENW!E49</f>
        <v>0</v>
      </c>
      <c r="F49" s="73"/>
      <c r="G49" s="61" t="n">
        <f aca="false">[1]CORP!G49+[1]EES!G49+[1]ENA!G49+[1]ENW!G49</f>
        <v>0</v>
      </c>
      <c r="H49" s="63"/>
      <c r="I49" s="61" t="n">
        <f aca="false">[1]CORP!I49+[1]EES!I49+[1]ENA!I49+[1]ENW!I49</f>
        <v>0</v>
      </c>
      <c r="J49" s="60"/>
      <c r="K49" s="62" t="n">
        <f aca="false">+E49+G49</f>
        <v>0</v>
      </c>
      <c r="L49" s="73"/>
      <c r="M49" s="61" t="n">
        <f aca="false">[1]CORP!M49+[1]EES!M49+[1]ENA!M49+[1]ENW!M49</f>
        <v>0</v>
      </c>
      <c r="N49" s="60"/>
      <c r="O49" s="65" t="n">
        <f aca="false">(-M49+K49)</f>
        <v>0</v>
      </c>
      <c r="P49" s="3" t="n">
        <f aca="false">IF(O49=0,0,O49/K49)</f>
        <v>0</v>
      </c>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c r="IV49" s="58"/>
      <c r="IW49" s="58"/>
    </row>
    <row r="50" customFormat="false" ht="15" hidden="false" customHeight="false" outlineLevel="0" collapsed="false">
      <c r="A50" s="58"/>
      <c r="B50" s="59"/>
      <c r="C50" s="60" t="s">
        <v>52</v>
      </c>
      <c r="D50" s="59"/>
      <c r="E50" s="61" t="n">
        <f aca="false">[1]CORP!E50+[1]EES!E50+[1]ENA!E50+[1]ENW!E50</f>
        <v>15745</v>
      </c>
      <c r="F50" s="73"/>
      <c r="G50" s="61" t="n">
        <f aca="false">[1]CORP!G50+[1]EES!G50+[1]ENA!G50+[1]ENW!G50</f>
        <v>11246</v>
      </c>
      <c r="H50" s="63"/>
      <c r="I50" s="61" t="n">
        <f aca="false">[1]CORP!I50+[1]EES!I50+[1]ENA!I50+[1]ENW!I50</f>
        <v>106925</v>
      </c>
      <c r="J50" s="60"/>
      <c r="K50" s="62" t="n">
        <f aca="false">+E50+G50</f>
        <v>26991</v>
      </c>
      <c r="L50" s="73"/>
      <c r="M50" s="61" t="n">
        <f aca="false">[1]CORP!M50+[1]EES!M50+[1]ENA!M50+[1]ENW!M50</f>
        <v>423711</v>
      </c>
      <c r="N50" s="60"/>
      <c r="O50" s="65" t="n">
        <f aca="false">(-M50+K50)</f>
        <v>-396720</v>
      </c>
      <c r="P50" s="3" t="n">
        <f aca="false">IF(O50=0,0,O50/K50)</f>
        <v>-14.6982327442481</v>
      </c>
      <c r="Q50" s="4" t="s">
        <v>53</v>
      </c>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c r="IB50" s="58"/>
      <c r="IC50" s="58"/>
      <c r="ID50" s="58"/>
      <c r="IE50" s="58"/>
      <c r="IF50" s="58"/>
      <c r="IG50" s="58"/>
      <c r="IH50" s="58"/>
      <c r="II50" s="58"/>
      <c r="IJ50" s="58"/>
      <c r="IK50" s="58"/>
      <c r="IL50" s="58"/>
      <c r="IM50" s="58"/>
      <c r="IN50" s="58"/>
      <c r="IO50" s="58"/>
      <c r="IP50" s="58"/>
      <c r="IQ50" s="58"/>
      <c r="IR50" s="58"/>
      <c r="IS50" s="58"/>
      <c r="IT50" s="58"/>
      <c r="IU50" s="58"/>
      <c r="IV50" s="58"/>
      <c r="IW50" s="58"/>
    </row>
    <row r="51" customFormat="false" ht="15" hidden="false" customHeight="false" outlineLevel="0" collapsed="false">
      <c r="A51" s="74"/>
      <c r="B51" s="51"/>
      <c r="C51" s="52"/>
      <c r="D51" s="75"/>
      <c r="E51" s="76"/>
      <c r="F51" s="77"/>
      <c r="G51" s="76"/>
      <c r="H51" s="78"/>
      <c r="I51" s="53"/>
      <c r="J51" s="56"/>
      <c r="K51" s="53"/>
      <c r="L51" s="54"/>
      <c r="M51" s="53"/>
      <c r="N51" s="56"/>
      <c r="O51" s="79"/>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c r="IV51" s="74"/>
      <c r="IW51" s="74"/>
    </row>
    <row r="52" customFormat="false" ht="15.75" hidden="false" customHeight="false" outlineLevel="0" collapsed="false">
      <c r="B52" s="80"/>
      <c r="C52" s="81" t="s">
        <v>54</v>
      </c>
      <c r="D52" s="82"/>
      <c r="E52" s="83" t="n">
        <f aca="false">+E11+E12+E22+E29+E32+E39+E40+E41+E42+E43+E48+E49+E50</f>
        <v>10323642</v>
      </c>
      <c r="F52" s="84"/>
      <c r="G52" s="83" t="n">
        <f aca="false">+G11+G12+G22+G29+G32+G39+G40+G41+G42+G43+G48+G49+G50</f>
        <v>7486774.57142857</v>
      </c>
      <c r="H52" s="85"/>
      <c r="I52" s="83" t="n">
        <f aca="false">+I11+I12+I22+I29+I32+I39+I40+I41+I42+I43+I48+I49+I50</f>
        <v>14473642</v>
      </c>
      <c r="J52" s="86"/>
      <c r="K52" s="87" t="n">
        <f aca="false">+E52+G52</f>
        <v>17810416.5714286</v>
      </c>
      <c r="L52" s="84"/>
      <c r="M52" s="83" t="n">
        <f aca="false">+M11+M12+M22+M29+M32+M39+M40+M41+M42+M43+M48+M49+M50</f>
        <v>18192723</v>
      </c>
      <c r="N52" s="86"/>
      <c r="O52" s="88" t="n">
        <f aca="false">+O11+O12+O22+O29+O32+O39+O40+O41+O42+O43+O48+O49+O50</f>
        <v>-382306.428571428</v>
      </c>
      <c r="P52" s="3" t="n">
        <f aca="false">IF(O52=0,0,O52/K52)</f>
        <v>-0.021465327722021</v>
      </c>
    </row>
    <row r="53" customFormat="false" ht="15" hidden="false" customHeight="false" outlineLevel="0" collapsed="false">
      <c r="B53" s="89"/>
      <c r="C53" s="90"/>
      <c r="D53" s="59"/>
      <c r="E53" s="91"/>
      <c r="F53" s="92"/>
      <c r="G53" s="62"/>
      <c r="H53" s="66"/>
      <c r="I53" s="93"/>
      <c r="J53" s="60"/>
      <c r="K53" s="93"/>
      <c r="L53" s="92"/>
      <c r="M53" s="91"/>
      <c r="N53" s="92"/>
      <c r="O53" s="65"/>
    </row>
    <row r="54" customFormat="false" ht="15" hidden="false" customHeight="false" outlineLevel="0" collapsed="false">
      <c r="A54" s="41"/>
      <c r="B54" s="89"/>
      <c r="C54" s="90" t="s">
        <v>55</v>
      </c>
      <c r="D54" s="59"/>
      <c r="E54" s="94" t="n">
        <v>0</v>
      </c>
      <c r="F54" s="95"/>
      <c r="G54" s="62" t="n">
        <v>0</v>
      </c>
      <c r="H54" s="66"/>
      <c r="I54" s="94" t="n">
        <v>0</v>
      </c>
      <c r="J54" s="60"/>
      <c r="K54" s="62" t="n">
        <f aca="false">+E54+G54</f>
        <v>0</v>
      </c>
      <c r="L54" s="95"/>
      <c r="M54" s="94" t="n">
        <v>2222000</v>
      </c>
      <c r="N54" s="95"/>
      <c r="O54" s="65" t="n">
        <f aca="false">(-M54+K54)</f>
        <v>-2222000</v>
      </c>
      <c r="P54" s="96"/>
      <c r="Q54" s="96"/>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customFormat="false" ht="15.75" hidden="false" customHeight="false" outlineLevel="0" collapsed="false">
      <c r="B55" s="89"/>
      <c r="C55" s="90"/>
      <c r="D55" s="59"/>
      <c r="E55" s="91"/>
      <c r="F55" s="92"/>
      <c r="G55" s="62"/>
      <c r="H55" s="66"/>
      <c r="I55" s="91"/>
      <c r="J55" s="60"/>
      <c r="K55" s="91"/>
      <c r="L55" s="92"/>
      <c r="M55" s="91"/>
      <c r="N55" s="92"/>
      <c r="O55" s="65"/>
    </row>
    <row r="56" customFormat="false" ht="15.75" hidden="false" customHeight="false" outlineLevel="0" collapsed="false">
      <c r="B56" s="80"/>
      <c r="C56" s="81" t="s">
        <v>56</v>
      </c>
      <c r="D56" s="82"/>
      <c r="E56" s="83" t="n">
        <f aca="false">E52+E54</f>
        <v>10323642</v>
      </c>
      <c r="F56" s="84"/>
      <c r="G56" s="83" t="n">
        <f aca="false">G52+G54</f>
        <v>7486774.57142857</v>
      </c>
      <c r="H56" s="85"/>
      <c r="I56" s="83" t="n">
        <f aca="false">I52+I54</f>
        <v>14473642</v>
      </c>
      <c r="J56" s="86"/>
      <c r="K56" s="83" t="n">
        <f aca="false">E56+G56</f>
        <v>17810416.5714286</v>
      </c>
      <c r="L56" s="84"/>
      <c r="M56" s="83" t="n">
        <f aca="false">M52+M54</f>
        <v>20414723</v>
      </c>
      <c r="N56" s="86"/>
      <c r="O56" s="88" t="n">
        <f aca="false">O52+O54</f>
        <v>-2604306.42857143</v>
      </c>
    </row>
    <row r="57" customFormat="false" ht="15" hidden="false" customHeight="false" outlineLevel="0" collapsed="false">
      <c r="B57" s="89"/>
      <c r="C57" s="90"/>
      <c r="D57" s="59"/>
      <c r="E57" s="91"/>
      <c r="F57" s="92"/>
      <c r="G57" s="91"/>
      <c r="H57" s="66"/>
      <c r="I57" s="91"/>
      <c r="J57" s="60"/>
      <c r="K57" s="62"/>
      <c r="L57" s="92"/>
      <c r="M57" s="91"/>
      <c r="N57" s="92"/>
      <c r="O57" s="65"/>
    </row>
    <row r="58" customFormat="false" ht="15" hidden="false" customHeight="false" outlineLevel="0" collapsed="false">
      <c r="A58" s="58"/>
      <c r="B58" s="97"/>
      <c r="C58" s="90" t="s">
        <v>57</v>
      </c>
      <c r="D58" s="59"/>
      <c r="E58" s="61" t="n">
        <f aca="false">[1]CORP!E58+[1]EES!E58+[1]ENA!E58+[1]ENW!E58</f>
        <v>-1577915</v>
      </c>
      <c r="F58" s="62"/>
      <c r="G58" s="61" t="n">
        <f aca="false">[1]CORP!G58+[1]EES!G58+[1]ENA!G58+[1]ENW!G58</f>
        <v>-11405060</v>
      </c>
      <c r="H58" s="66"/>
      <c r="I58" s="61" t="n">
        <f aca="false">[1]CORP!I58+[1]EES!I58+[1]ENA!I58+[1]ENW!I58</f>
        <v>-489996</v>
      </c>
      <c r="J58" s="60"/>
      <c r="K58" s="62" t="n">
        <f aca="false">+E58+G58-2</f>
        <v>-12982977</v>
      </c>
      <c r="L58" s="62"/>
      <c r="M58" s="61" t="n">
        <f aca="false">[1]CORP!M58+[1]EES!M58+[1]ENA!M58+[1]ENW!M58+983</f>
        <v>-17641765</v>
      </c>
      <c r="N58" s="92"/>
      <c r="O58" s="65" t="n">
        <f aca="false">-M58+K58</f>
        <v>4658788</v>
      </c>
      <c r="P58" s="98" t="n">
        <f aca="false">IF(O58=0,0,O58/K58)</f>
        <v>-0.358838192503923</v>
      </c>
      <c r="Q58" s="4" t="s">
        <v>58</v>
      </c>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c r="IJ58" s="58"/>
      <c r="IK58" s="58"/>
      <c r="IL58" s="58"/>
      <c r="IM58" s="58"/>
      <c r="IN58" s="58"/>
      <c r="IO58" s="58"/>
      <c r="IP58" s="58"/>
      <c r="IQ58" s="58"/>
      <c r="IR58" s="58"/>
      <c r="IS58" s="58"/>
      <c r="IT58" s="58"/>
      <c r="IU58" s="58"/>
      <c r="IV58" s="58"/>
      <c r="IW58" s="58"/>
    </row>
    <row r="59" customFormat="false" ht="15" hidden="false" customHeight="false" outlineLevel="0" collapsed="false">
      <c r="A59" s="58"/>
      <c r="B59" s="97"/>
      <c r="C59" s="90" t="s">
        <v>59</v>
      </c>
      <c r="D59" s="59"/>
      <c r="E59" s="61" t="n">
        <f aca="false">[1]CORP!E59+[1]EES!E59+[1]ENA!E59+[1]ENW!E59</f>
        <v>0</v>
      </c>
      <c r="F59" s="62"/>
      <c r="G59" s="61" t="n">
        <f aca="false">[1]CORP!G59+[1]EES!G59+[1]ENA!G59+[1]ENW!G59</f>
        <v>0</v>
      </c>
      <c r="H59" s="66"/>
      <c r="I59" s="61" t="n">
        <f aca="false">[1]CORP!I59+[1]EES!I59+[1]ENA!I59+[1]ENW!I59</f>
        <v>0</v>
      </c>
      <c r="J59" s="60"/>
      <c r="K59" s="62" t="n">
        <f aca="false">+E59+G59</f>
        <v>0</v>
      </c>
      <c r="L59" s="62"/>
      <c r="M59" s="61" t="n">
        <f aca="false">[1]CORP!M59+[1]EES!M59+[1]ENA!M59+[1]ENW!M59</f>
        <v>0</v>
      </c>
      <c r="N59" s="92"/>
      <c r="O59" s="65" t="n">
        <f aca="false">-M59+K59</f>
        <v>0</v>
      </c>
      <c r="P59" s="98" t="n">
        <f aca="false">IF(O59=0,0,O59/K59)</f>
        <v>0</v>
      </c>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c r="IV59" s="58"/>
      <c r="IW59" s="58"/>
    </row>
    <row r="60" customFormat="false" ht="15.75" hidden="false" customHeight="false" outlineLevel="0" collapsed="false">
      <c r="A60" s="99"/>
      <c r="B60" s="100"/>
      <c r="C60" s="101"/>
      <c r="D60" s="59"/>
      <c r="E60" s="102"/>
      <c r="F60" s="103"/>
      <c r="G60" s="91"/>
      <c r="H60" s="66"/>
      <c r="I60" s="91"/>
      <c r="J60" s="60"/>
      <c r="K60" s="62"/>
      <c r="L60" s="92"/>
      <c r="M60" s="91"/>
      <c r="N60" s="92"/>
      <c r="O60" s="65"/>
      <c r="P60" s="98"/>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99"/>
      <c r="DJ60" s="99"/>
      <c r="DK60" s="99"/>
      <c r="DL60" s="99"/>
      <c r="DM60" s="99"/>
      <c r="DN60" s="99"/>
      <c r="DO60" s="99"/>
      <c r="DP60" s="99"/>
      <c r="DQ60" s="99"/>
      <c r="DR60" s="99"/>
      <c r="DS60" s="99"/>
      <c r="DT60" s="99"/>
      <c r="DU60" s="99"/>
      <c r="DV60" s="99"/>
      <c r="DW60" s="99"/>
      <c r="DX60" s="99"/>
      <c r="DY60" s="99"/>
      <c r="DZ60" s="99"/>
      <c r="EA60" s="99"/>
      <c r="EB60" s="99"/>
      <c r="EC60" s="99"/>
      <c r="ED60" s="99"/>
      <c r="EE60" s="99"/>
      <c r="EF60" s="99"/>
      <c r="EG60" s="99"/>
      <c r="EH60" s="99"/>
      <c r="EI60" s="99"/>
      <c r="EJ60" s="99"/>
      <c r="EK60" s="99"/>
      <c r="EL60" s="99"/>
      <c r="EM60" s="99"/>
      <c r="EN60" s="99"/>
      <c r="EO60" s="99"/>
      <c r="EP60" s="99"/>
      <c r="EQ60" s="99"/>
      <c r="ER60" s="99"/>
      <c r="ES60" s="99"/>
      <c r="ET60" s="99"/>
      <c r="EU60" s="99"/>
      <c r="EV60" s="99"/>
      <c r="EW60" s="99"/>
      <c r="EX60" s="99"/>
      <c r="EY60" s="99"/>
      <c r="EZ60" s="99"/>
      <c r="FA60" s="99"/>
      <c r="FB60" s="99"/>
      <c r="FC60" s="99"/>
      <c r="FD60" s="99"/>
      <c r="FE60" s="99"/>
      <c r="FF60" s="99"/>
      <c r="FG60" s="99"/>
      <c r="FH60" s="99"/>
      <c r="FI60" s="99"/>
      <c r="FJ60" s="99"/>
      <c r="FK60" s="99"/>
      <c r="FL60" s="99"/>
      <c r="FM60" s="99"/>
      <c r="FN60" s="99"/>
      <c r="FO60" s="99"/>
      <c r="FP60" s="99"/>
      <c r="FQ60" s="99"/>
      <c r="FR60" s="99"/>
      <c r="FS60" s="99"/>
      <c r="FT60" s="99"/>
      <c r="FU60" s="99"/>
      <c r="FV60" s="99"/>
      <c r="FW60" s="99"/>
      <c r="FX60" s="99"/>
      <c r="FY60" s="99"/>
      <c r="FZ60" s="99"/>
      <c r="GA60" s="99"/>
      <c r="GB60" s="99"/>
      <c r="GC60" s="99"/>
      <c r="GD60" s="99"/>
      <c r="GE60" s="99"/>
      <c r="GF60" s="99"/>
      <c r="GG60" s="99"/>
      <c r="GH60" s="99"/>
      <c r="GI60" s="99"/>
      <c r="GJ60" s="99"/>
      <c r="GK60" s="99"/>
      <c r="GL60" s="99"/>
      <c r="GM60" s="99"/>
      <c r="GN60" s="99"/>
      <c r="GO60" s="99"/>
      <c r="GP60" s="99"/>
      <c r="GQ60" s="99"/>
      <c r="GR60" s="99"/>
      <c r="GS60" s="99"/>
      <c r="GT60" s="99"/>
      <c r="GU60" s="99"/>
      <c r="GV60" s="99"/>
      <c r="GW60" s="99"/>
      <c r="GX60" s="99"/>
      <c r="GY60" s="99"/>
      <c r="GZ60" s="99"/>
      <c r="HA60" s="99"/>
      <c r="HB60" s="99"/>
      <c r="HC60" s="99"/>
      <c r="HD60" s="99"/>
      <c r="HE60" s="99"/>
      <c r="HF60" s="99"/>
      <c r="HG60" s="99"/>
      <c r="HH60" s="99"/>
      <c r="HI60" s="99"/>
      <c r="HJ60" s="99"/>
      <c r="HK60" s="99"/>
      <c r="HL60" s="99"/>
      <c r="HM60" s="99"/>
      <c r="HN60" s="99"/>
      <c r="HO60" s="99"/>
      <c r="HP60" s="99"/>
      <c r="HQ60" s="99"/>
      <c r="HR60" s="99"/>
      <c r="HS60" s="99"/>
      <c r="HT60" s="99"/>
      <c r="HU60" s="99"/>
      <c r="HV60" s="99"/>
      <c r="HW60" s="99"/>
      <c r="HX60" s="99"/>
      <c r="HY60" s="99"/>
      <c r="HZ60" s="99"/>
      <c r="IA60" s="99"/>
      <c r="IB60" s="99"/>
      <c r="IC60" s="99"/>
      <c r="ID60" s="99"/>
      <c r="IE60" s="99"/>
      <c r="IF60" s="99"/>
      <c r="IG60" s="99"/>
      <c r="IH60" s="99"/>
      <c r="II60" s="99"/>
      <c r="IJ60" s="99"/>
      <c r="IK60" s="99"/>
      <c r="IL60" s="99"/>
      <c r="IM60" s="99"/>
      <c r="IN60" s="99"/>
      <c r="IO60" s="99"/>
      <c r="IP60" s="99"/>
      <c r="IQ60" s="99"/>
      <c r="IR60" s="99"/>
      <c r="IS60" s="99"/>
      <c r="IT60" s="99"/>
      <c r="IU60" s="99"/>
      <c r="IV60" s="99"/>
      <c r="IW60" s="99"/>
    </row>
    <row r="61" customFormat="false" ht="15.75" hidden="false" customHeight="false" outlineLevel="0" collapsed="false">
      <c r="A61" s="99"/>
      <c r="B61" s="100"/>
      <c r="C61" s="104" t="s">
        <v>60</v>
      </c>
      <c r="D61" s="82"/>
      <c r="E61" s="83" t="n">
        <f aca="false">+E52+E58+E59</f>
        <v>8745727</v>
      </c>
      <c r="F61" s="84"/>
      <c r="G61" s="83" t="n">
        <f aca="false">+G52+G58+G59</f>
        <v>-3918285.42857143</v>
      </c>
      <c r="H61" s="85"/>
      <c r="I61" s="83" t="n">
        <f aca="false">+I52+I58+I59</f>
        <v>13983646</v>
      </c>
      <c r="J61" s="86"/>
      <c r="K61" s="83" t="n">
        <f aca="false">K52+K58</f>
        <v>4827439.57142857</v>
      </c>
      <c r="L61" s="84"/>
      <c r="M61" s="83" t="n">
        <f aca="false">M56+M58</f>
        <v>2772958</v>
      </c>
      <c r="N61" s="86"/>
      <c r="O61" s="88" t="n">
        <f aca="false">-M61+K61</f>
        <v>2054481.57142857</v>
      </c>
      <c r="P61" s="98" t="n">
        <f aca="false">IF(O61=0,0,O61/K61)</f>
        <v>0.425584109553254</v>
      </c>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c r="DE61" s="99"/>
      <c r="DF61" s="99"/>
      <c r="DG61" s="99"/>
      <c r="DH61" s="99"/>
      <c r="DI61" s="99"/>
      <c r="DJ61" s="99"/>
      <c r="DK61" s="99"/>
      <c r="DL61" s="99"/>
      <c r="DM61" s="99"/>
      <c r="DN61" s="99"/>
      <c r="DO61" s="99"/>
      <c r="DP61" s="99"/>
      <c r="DQ61" s="99"/>
      <c r="DR61" s="99"/>
      <c r="DS61" s="99"/>
      <c r="DT61" s="99"/>
      <c r="DU61" s="99"/>
      <c r="DV61" s="99"/>
      <c r="DW61" s="99"/>
      <c r="DX61" s="99"/>
      <c r="DY61" s="99"/>
      <c r="DZ61" s="99"/>
      <c r="EA61" s="99"/>
      <c r="EB61" s="99"/>
      <c r="EC61" s="99"/>
      <c r="ED61" s="99"/>
      <c r="EE61" s="99"/>
      <c r="EF61" s="99"/>
      <c r="EG61" s="99"/>
      <c r="EH61" s="99"/>
      <c r="EI61" s="99"/>
      <c r="EJ61" s="99"/>
      <c r="EK61" s="99"/>
      <c r="EL61" s="99"/>
      <c r="EM61" s="99"/>
      <c r="EN61" s="99"/>
      <c r="EO61" s="99"/>
      <c r="EP61" s="99"/>
      <c r="EQ61" s="99"/>
      <c r="ER61" s="99"/>
      <c r="ES61" s="99"/>
      <c r="ET61" s="99"/>
      <c r="EU61" s="99"/>
      <c r="EV61" s="99"/>
      <c r="EW61" s="99"/>
      <c r="EX61" s="99"/>
      <c r="EY61" s="99"/>
      <c r="EZ61" s="99"/>
      <c r="FA61" s="99"/>
      <c r="FB61" s="99"/>
      <c r="FC61" s="99"/>
      <c r="FD61" s="99"/>
      <c r="FE61" s="99"/>
      <c r="FF61" s="99"/>
      <c r="FG61" s="99"/>
      <c r="FH61" s="99"/>
      <c r="FI61" s="99"/>
      <c r="FJ61" s="99"/>
      <c r="FK61" s="99"/>
      <c r="FL61" s="99"/>
      <c r="FM61" s="99"/>
      <c r="FN61" s="99"/>
      <c r="FO61" s="99"/>
      <c r="FP61" s="99"/>
      <c r="FQ61" s="99"/>
      <c r="FR61" s="99"/>
      <c r="FS61" s="99"/>
      <c r="FT61" s="99"/>
      <c r="FU61" s="99"/>
      <c r="FV61" s="99"/>
      <c r="FW61" s="99"/>
      <c r="FX61" s="99"/>
      <c r="FY61" s="99"/>
      <c r="FZ61" s="99"/>
      <c r="GA61" s="99"/>
      <c r="GB61" s="99"/>
      <c r="GC61" s="99"/>
      <c r="GD61" s="99"/>
      <c r="GE61" s="99"/>
      <c r="GF61" s="99"/>
      <c r="GG61" s="99"/>
      <c r="GH61" s="99"/>
      <c r="GI61" s="99"/>
      <c r="GJ61" s="99"/>
      <c r="GK61" s="99"/>
      <c r="GL61" s="99"/>
      <c r="GM61" s="99"/>
      <c r="GN61" s="99"/>
      <c r="GO61" s="99"/>
      <c r="GP61" s="99"/>
      <c r="GQ61" s="99"/>
      <c r="GR61" s="99"/>
      <c r="GS61" s="99"/>
      <c r="GT61" s="99"/>
      <c r="GU61" s="99"/>
      <c r="GV61" s="99"/>
      <c r="GW61" s="99"/>
      <c r="GX61" s="99"/>
      <c r="GY61" s="99"/>
      <c r="GZ61" s="99"/>
      <c r="HA61" s="99"/>
      <c r="HB61" s="99"/>
      <c r="HC61" s="99"/>
      <c r="HD61" s="99"/>
      <c r="HE61" s="99"/>
      <c r="HF61" s="99"/>
      <c r="HG61" s="99"/>
      <c r="HH61" s="99"/>
      <c r="HI61" s="99"/>
      <c r="HJ61" s="99"/>
      <c r="HK61" s="99"/>
      <c r="HL61" s="99"/>
      <c r="HM61" s="99"/>
      <c r="HN61" s="99"/>
      <c r="HO61" s="99"/>
      <c r="HP61" s="99"/>
      <c r="HQ61" s="99"/>
      <c r="HR61" s="99"/>
      <c r="HS61" s="99"/>
      <c r="HT61" s="99"/>
      <c r="HU61" s="99"/>
      <c r="HV61" s="99"/>
      <c r="HW61" s="99"/>
      <c r="HX61" s="99"/>
      <c r="HY61" s="99"/>
      <c r="HZ61" s="99"/>
      <c r="IA61" s="99"/>
      <c r="IB61" s="99"/>
      <c r="IC61" s="99"/>
      <c r="ID61" s="99"/>
      <c r="IE61" s="99"/>
      <c r="IF61" s="99"/>
      <c r="IG61" s="99"/>
      <c r="IH61" s="99"/>
      <c r="II61" s="99"/>
      <c r="IJ61" s="99"/>
      <c r="IK61" s="99"/>
      <c r="IL61" s="99"/>
      <c r="IM61" s="99"/>
      <c r="IN61" s="99"/>
      <c r="IO61" s="99"/>
      <c r="IP61" s="99"/>
      <c r="IQ61" s="99"/>
      <c r="IR61" s="99"/>
      <c r="IS61" s="99"/>
      <c r="IT61" s="99"/>
      <c r="IU61" s="99"/>
      <c r="IV61" s="99"/>
      <c r="IW61" s="99"/>
    </row>
    <row r="62" customFormat="false" ht="15.75" hidden="false" customHeight="false" outlineLevel="0" collapsed="false">
      <c r="A62" s="99"/>
      <c r="B62" s="73"/>
      <c r="C62" s="73"/>
      <c r="D62" s="59"/>
      <c r="E62" s="73"/>
      <c r="F62" s="73"/>
      <c r="G62" s="105"/>
      <c r="H62" s="66"/>
      <c r="I62" s="105"/>
      <c r="J62" s="60"/>
      <c r="K62" s="62"/>
      <c r="L62" s="73"/>
      <c r="M62" s="73"/>
      <c r="N62" s="92"/>
      <c r="O62" s="65"/>
      <c r="P62" s="98"/>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row>
    <row r="63" customFormat="false" ht="15.75" hidden="false" customHeight="false" outlineLevel="0" collapsed="false">
      <c r="A63" s="58"/>
      <c r="B63" s="106" t="s">
        <v>61</v>
      </c>
      <c r="C63" s="107"/>
      <c r="D63" s="108"/>
      <c r="E63" s="109" t="n">
        <f aca="false">[1]CORP!E63+[1]EES!E63+[1]ENA!E63+[1]ENW!E63</f>
        <v>0</v>
      </c>
      <c r="F63" s="110"/>
      <c r="G63" s="111" t="n">
        <f aca="false">[1]CORP!G63+[1]EES!G63+[1]ENA!G63+[1]ENW!G63</f>
        <v>138</v>
      </c>
      <c r="H63" s="112"/>
      <c r="I63" s="111" t="n">
        <f aca="false">[1]CORP!I63+[1]EES!I63+[1]ENA!I63+[1]ENW!I63</f>
        <v>128</v>
      </c>
      <c r="J63" s="113"/>
      <c r="K63" s="114" t="n">
        <f aca="false">+E63+G63</f>
        <v>138</v>
      </c>
      <c r="L63" s="110"/>
      <c r="M63" s="109" t="n">
        <f aca="false">[1]CORP!M63+[1]EES!M63+[1]ENA!M63+[1]ENW!M63</f>
        <v>164</v>
      </c>
      <c r="N63" s="115"/>
      <c r="O63" s="116" t="n">
        <f aca="false">(-M63+K63)</f>
        <v>-26</v>
      </c>
      <c r="P63" s="98" t="n">
        <f aca="false">IF(O63=0,0,O63/K63)</f>
        <v>-0.188405797101449</v>
      </c>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c r="IW63" s="58"/>
    </row>
    <row r="64" customFormat="false" ht="12.75" hidden="false" customHeight="false" outlineLevel="0" collapsed="false">
      <c r="B64" s="5"/>
      <c r="C64" s="5"/>
      <c r="D64" s="5"/>
      <c r="E64" s="46"/>
      <c r="F64" s="46"/>
      <c r="G64" s="46"/>
      <c r="H64" s="46"/>
      <c r="I64" s="46"/>
      <c r="J64" s="46"/>
      <c r="K64" s="46"/>
      <c r="L64" s="46"/>
      <c r="M64" s="46"/>
      <c r="N64" s="46"/>
      <c r="O64" s="46"/>
    </row>
    <row r="65" customFormat="false" ht="12.75" hidden="false" customHeight="false" outlineLevel="0" collapsed="false">
      <c r="B65" s="5" t="s">
        <v>62</v>
      </c>
      <c r="C65" s="5"/>
      <c r="D65" s="5"/>
      <c r="E65" s="46"/>
      <c r="F65" s="46"/>
      <c r="G65" s="46"/>
      <c r="H65" s="46"/>
      <c r="I65" s="46"/>
      <c r="J65" s="46"/>
      <c r="K65" s="46"/>
      <c r="L65" s="46"/>
      <c r="M65" s="46"/>
      <c r="N65" s="46"/>
      <c r="O65" s="46"/>
    </row>
    <row r="66" customFormat="false" ht="12.75" hidden="false" customHeight="false" outlineLevel="0" collapsed="false">
      <c r="C66" s="117" t="s">
        <v>63</v>
      </c>
      <c r="D66" s="5"/>
      <c r="E66" s="46"/>
      <c r="F66" s="46"/>
      <c r="G66" s="46"/>
      <c r="H66" s="46"/>
      <c r="I66" s="46"/>
      <c r="J66" s="46"/>
      <c r="K66" s="46"/>
      <c r="L66" s="46"/>
      <c r="M66" s="46"/>
      <c r="N66" s="46"/>
      <c r="O66" s="46"/>
    </row>
    <row r="67" customFormat="false" ht="12.75" hidden="false" customHeight="false" outlineLevel="0" collapsed="false">
      <c r="B67" s="118" t="s">
        <v>64</v>
      </c>
      <c r="E67" s="2"/>
      <c r="F67" s="2"/>
      <c r="H67" s="119"/>
      <c r="I67" s="119"/>
      <c r="J67" s="2"/>
      <c r="L67" s="2"/>
      <c r="N67" s="2"/>
      <c r="O67" s="2"/>
    </row>
    <row r="68" customFormat="false" ht="12.75" hidden="false" customHeight="false" outlineLevel="0" collapsed="false">
      <c r="A68" s="1" t="s">
        <v>65</v>
      </c>
      <c r="B68" s="118" t="s">
        <v>66</v>
      </c>
    </row>
    <row r="69" customFormat="false" ht="12.75" hidden="false" customHeight="false" outlineLevel="0" collapsed="false">
      <c r="C69" s="120" t="s">
        <v>67</v>
      </c>
    </row>
    <row r="70" customFormat="false" ht="12.75" hidden="false" customHeight="false" outlineLevel="0" collapsed="false">
      <c r="B70" s="118" t="s">
        <v>68</v>
      </c>
    </row>
    <row r="71" customFormat="false" ht="12.75" hidden="false" customHeight="false" outlineLevel="0" collapsed="false">
      <c r="B71" s="118" t="s">
        <v>69</v>
      </c>
    </row>
    <row r="72" customFormat="false" ht="12.75" hidden="false" customHeight="false" outlineLevel="0" collapsed="false">
      <c r="B72" s="118" t="s">
        <v>70</v>
      </c>
    </row>
    <row r="73" customFormat="false" ht="12.75" hidden="false" customHeight="false" outlineLevel="0" collapsed="false">
      <c r="B73" s="118"/>
      <c r="C73" s="1" t="s">
        <v>71</v>
      </c>
    </row>
    <row r="74" customFormat="false" ht="12.75" hidden="false" customHeight="false" outlineLevel="0" collapsed="false">
      <c r="C74" s="1" t="s">
        <v>72</v>
      </c>
    </row>
    <row r="75" customFormat="false" ht="12.75" hidden="false" customHeight="false" outlineLevel="0" collapsed="false">
      <c r="C75" s="1" t="s">
        <v>73</v>
      </c>
    </row>
  </sheetData>
  <mergeCells count="1">
    <mergeCell ref="B3:O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5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IV16384"/>
    </sheetView>
  </sheetViews>
  <sheetFormatPr defaultColWidth="9.0546875" defaultRowHeight="12.75" customHeight="true" zeroHeight="false" outlineLevelRow="0" outlineLevelCol="0"/>
  <cols>
    <col collapsed="false" customWidth="true" hidden="false" outlineLevel="0" max="1" min="1" style="0" width="27.7"/>
    <col collapsed="false" customWidth="true" hidden="false" outlineLevel="0" max="2" min="2" style="0" width="12.85"/>
    <col collapsed="false" customWidth="true" hidden="false" outlineLevel="0" max="3" min="3" style="0" width="7.42"/>
    <col collapsed="false" customWidth="true" hidden="false" outlineLevel="0" max="4" min="4" style="0" width="6.85"/>
    <col collapsed="false" customWidth="true" hidden="false" outlineLevel="0" max="5" min="5" style="0" width="6.13"/>
    <col collapsed="false" customWidth="true" hidden="false" outlineLevel="0" max="6" min="6" style="0" width="2.56"/>
    <col collapsed="false" customWidth="true" hidden="false" outlineLevel="0" max="7" min="7" style="0" width="27.28"/>
    <col collapsed="false" customWidth="true" hidden="false" outlineLevel="0" max="8" min="8" style="0" width="12.28"/>
    <col collapsed="false" customWidth="true" hidden="false" outlineLevel="0" max="9" min="9" style="0" width="7.42"/>
    <col collapsed="false" customWidth="true" hidden="false" outlineLevel="0" max="10" min="10" style="0" width="5.71"/>
    <col collapsed="false" customWidth="true" hidden="false" outlineLevel="0" max="11" min="11" style="0" width="3.7"/>
    <col collapsed="false" customWidth="true" hidden="false" outlineLevel="0" max="13" min="13" style="0" width="12.85"/>
    <col collapsed="false" customWidth="true" hidden="false" outlineLevel="0" max="14" min="14" style="0" width="10.28"/>
    <col collapsed="false" customWidth="true" hidden="false" outlineLevel="0" max="15" min="15" style="0" width="11.28"/>
  </cols>
  <sheetData>
    <row r="1" customFormat="false" ht="15.75" hidden="false" customHeight="false" outlineLevel="0" collapsed="false">
      <c r="A1" s="121" t="s">
        <v>74</v>
      </c>
      <c r="B1" s="121"/>
      <c r="C1" s="121"/>
      <c r="D1" s="121"/>
      <c r="E1" s="121"/>
      <c r="F1" s="121"/>
      <c r="G1" s="121"/>
      <c r="H1" s="121"/>
      <c r="I1" s="121"/>
      <c r="J1" s="121"/>
    </row>
    <row r="2" customFormat="false" ht="15" hidden="false" customHeight="false" outlineLevel="0" collapsed="false">
      <c r="A2" s="122" t="s">
        <v>75</v>
      </c>
      <c r="B2" s="122"/>
      <c r="C2" s="122"/>
      <c r="D2" s="122"/>
      <c r="E2" s="122"/>
      <c r="F2" s="122"/>
      <c r="G2" s="122"/>
      <c r="H2" s="122"/>
      <c r="I2" s="122"/>
      <c r="J2" s="122"/>
    </row>
    <row r="4" customFormat="false" ht="12.75" hidden="false" customHeight="false" outlineLevel="0" collapsed="false">
      <c r="A4" s="123" t="s">
        <v>76</v>
      </c>
      <c r="B4" s="123"/>
      <c r="C4" s="123"/>
      <c r="D4" s="123"/>
      <c r="E4" s="124"/>
      <c r="F4" s="124"/>
      <c r="G4" s="123" t="s">
        <v>77</v>
      </c>
      <c r="H4" s="123"/>
      <c r="I4" s="123"/>
      <c r="J4" s="123"/>
    </row>
    <row r="5" customFormat="false" ht="12.75" hidden="false" customHeight="false" outlineLevel="0" collapsed="false">
      <c r="B5" s="123" t="s">
        <v>78</v>
      </c>
      <c r="C5" s="123" t="s">
        <v>79</v>
      </c>
      <c r="D5" s="123" t="s">
        <v>80</v>
      </c>
      <c r="E5" s="125"/>
      <c r="F5" s="125"/>
      <c r="H5" s="123" t="s">
        <v>78</v>
      </c>
      <c r="I5" s="123" t="s">
        <v>79</v>
      </c>
      <c r="J5" s="123" t="s">
        <v>80</v>
      </c>
    </row>
    <row r="6" customFormat="false" ht="20.25" hidden="false" customHeight="true" outlineLevel="0" collapsed="false">
      <c r="B6" s="125"/>
      <c r="C6" s="125"/>
      <c r="D6" s="124" t="n">
        <v>138</v>
      </c>
      <c r="E6" s="125"/>
      <c r="F6" s="125"/>
      <c r="J6" s="0" t="n">
        <v>164</v>
      </c>
    </row>
    <row r="7" customFormat="false" ht="18.75" hidden="false" customHeight="true" outlineLevel="0" collapsed="false">
      <c r="A7" s="0" t="s">
        <v>81</v>
      </c>
      <c r="B7" s="126" t="n">
        <f aca="false">3000</f>
        <v>3000</v>
      </c>
      <c r="C7" s="127" t="n">
        <f aca="false">+B7/B$40</f>
        <v>0.000168440750152004</v>
      </c>
      <c r="D7" s="128" t="n">
        <f aca="false">+C7*D$6</f>
        <v>0.0232448235209765</v>
      </c>
      <c r="E7" s="126"/>
      <c r="F7" s="126"/>
      <c r="G7" s="0" t="s">
        <v>81</v>
      </c>
      <c r="H7" s="126" t="n">
        <v>0</v>
      </c>
      <c r="I7" s="127" t="n">
        <f aca="false">+H7/H$40</f>
        <v>0</v>
      </c>
      <c r="J7" s="128" t="n">
        <f aca="false">+I7*J$6</f>
        <v>0</v>
      </c>
      <c r="M7" s="126"/>
      <c r="N7" s="126"/>
      <c r="O7" s="126"/>
    </row>
    <row r="8" customFormat="false" ht="12.75" hidden="false" customHeight="false" outlineLevel="0" collapsed="false">
      <c r="A8" s="0" t="s">
        <v>82</v>
      </c>
      <c r="B8" s="126" t="n">
        <f aca="false">996</f>
        <v>996</v>
      </c>
      <c r="C8" s="127" t="n">
        <f aca="false">+B8/B$40</f>
        <v>5.59223290504652E-005</v>
      </c>
      <c r="D8" s="128" t="n">
        <f aca="false">+C8*D$6</f>
        <v>0.0077172814089642</v>
      </c>
      <c r="E8" s="126"/>
      <c r="F8" s="126"/>
      <c r="G8" s="0" t="s">
        <v>82</v>
      </c>
      <c r="H8" s="126" t="n">
        <v>0</v>
      </c>
      <c r="I8" s="127" t="n">
        <f aca="false">+H8/H$40</f>
        <v>0</v>
      </c>
      <c r="J8" s="128" t="n">
        <f aca="false">+I8*J$6</f>
        <v>0</v>
      </c>
      <c r="M8" s="126"/>
      <c r="N8" s="126"/>
      <c r="O8" s="126"/>
    </row>
    <row r="9" customFormat="false" ht="12.75" hidden="false" customHeight="false" outlineLevel="0" collapsed="false">
      <c r="A9" s="0" t="s">
        <v>83</v>
      </c>
      <c r="B9" s="126" t="n">
        <f aca="false">3498</f>
        <v>3498</v>
      </c>
      <c r="C9" s="127" t="n">
        <f aca="false">+B9/B$40</f>
        <v>0.000196401914677236</v>
      </c>
      <c r="D9" s="128" t="n">
        <f aca="false">+C9*D$6</f>
        <v>0.0271034642254586</v>
      </c>
      <c r="E9" s="126"/>
      <c r="F9" s="126"/>
      <c r="G9" s="0" t="s">
        <v>83</v>
      </c>
      <c r="H9" s="126" t="n">
        <v>0</v>
      </c>
      <c r="I9" s="127" t="n">
        <f aca="false">+H9/H$40</f>
        <v>0</v>
      </c>
      <c r="J9" s="128" t="n">
        <f aca="false">+I9*J$6</f>
        <v>0</v>
      </c>
      <c r="M9" s="126"/>
      <c r="N9" s="126"/>
      <c r="O9" s="126"/>
    </row>
    <row r="10" customFormat="false" ht="12.75" hidden="false" customHeight="false" outlineLevel="0" collapsed="false">
      <c r="A10" s="0" t="s">
        <v>84</v>
      </c>
      <c r="B10" s="126" t="n">
        <f aca="false">996</f>
        <v>996</v>
      </c>
      <c r="C10" s="127" t="n">
        <f aca="false">+B10/B$40</f>
        <v>5.59223290504652E-005</v>
      </c>
      <c r="D10" s="128" t="n">
        <f aca="false">+C10*D$6</f>
        <v>0.0077172814089642</v>
      </c>
      <c r="E10" s="126"/>
      <c r="F10" s="126"/>
      <c r="G10" s="0" t="s">
        <v>84</v>
      </c>
      <c r="H10" s="126" t="n">
        <v>0</v>
      </c>
      <c r="I10" s="127" t="n">
        <f aca="false">+H10/H$40</f>
        <v>0</v>
      </c>
      <c r="J10" s="128" t="n">
        <f aca="false">+I10*J$6</f>
        <v>0</v>
      </c>
      <c r="M10" s="126"/>
      <c r="N10" s="126"/>
      <c r="O10" s="126"/>
    </row>
    <row r="11" customFormat="false" ht="12.75" hidden="false" customHeight="false" outlineLevel="0" collapsed="false">
      <c r="A11" s="0" t="s">
        <v>85</v>
      </c>
      <c r="B11" s="126" t="n">
        <f aca="false">991613+401861+66243</f>
        <v>1459717</v>
      </c>
      <c r="C11" s="127" t="n">
        <f aca="false">+B11/B$40</f>
        <v>0.0819586088298775</v>
      </c>
      <c r="D11" s="128" t="n">
        <f aca="false">+C11*D$6</f>
        <v>11.3102880185231</v>
      </c>
      <c r="E11" s="129"/>
      <c r="F11" s="129"/>
      <c r="G11" s="0" t="s">
        <v>85</v>
      </c>
      <c r="H11" s="126" t="n">
        <f aca="false">1658263+158587</f>
        <v>1816850</v>
      </c>
      <c r="I11" s="127" t="n">
        <f aca="false">+H11/H$40</f>
        <v>0.088997044819046</v>
      </c>
      <c r="J11" s="128" t="n">
        <f aca="false">+I11*J$6</f>
        <v>14.5955153503235</v>
      </c>
      <c r="M11" s="126"/>
      <c r="N11" s="126"/>
      <c r="O11" s="126"/>
    </row>
    <row r="12" customFormat="false" ht="12.75" hidden="false" customHeight="false" outlineLevel="0" collapsed="false">
      <c r="A12" s="0" t="s">
        <v>86</v>
      </c>
      <c r="B12" s="126" t="n">
        <f aca="false">47004+109571</f>
        <v>156575</v>
      </c>
      <c r="C12" s="127" t="n">
        <f aca="false">+B12/B$40</f>
        <v>0.00879120348501666</v>
      </c>
      <c r="D12" s="128" t="n">
        <f aca="false">+C12*D$6</f>
        <v>1.2131860809323</v>
      </c>
      <c r="E12" s="126"/>
      <c r="F12" s="126"/>
      <c r="G12" s="0" t="s">
        <v>86</v>
      </c>
      <c r="H12" s="126" t="n">
        <v>1200000</v>
      </c>
      <c r="I12" s="127" t="n">
        <f aca="false">+H12/H$40</f>
        <v>0.0587811067412583</v>
      </c>
      <c r="J12" s="128" t="n">
        <f aca="false">+I12*J$6</f>
        <v>9.64010150556636</v>
      </c>
      <c r="M12" s="126"/>
      <c r="N12" s="126"/>
      <c r="O12" s="126"/>
    </row>
    <row r="13" customFormat="false" ht="12.75" hidden="false" customHeight="false" outlineLevel="0" collapsed="false">
      <c r="A13" s="0" t="s">
        <v>87</v>
      </c>
      <c r="B13" s="130" t="n">
        <f aca="false">99996</f>
        <v>99996</v>
      </c>
      <c r="C13" s="127" t="n">
        <f aca="false">+B13/B$40</f>
        <v>0.00561446708406659</v>
      </c>
      <c r="D13" s="128" t="n">
        <f aca="false">+C13*D$6</f>
        <v>0.774796457601189</v>
      </c>
      <c r="E13" s="126"/>
      <c r="F13" s="126"/>
      <c r="G13" s="0" t="s">
        <v>87</v>
      </c>
      <c r="H13" s="126" t="n">
        <v>0</v>
      </c>
      <c r="I13" s="127" t="n">
        <f aca="false">+H13/H$40</f>
        <v>0</v>
      </c>
      <c r="J13" s="128" t="n">
        <f aca="false">+I13*J$6</f>
        <v>0</v>
      </c>
      <c r="K13" s="126"/>
      <c r="M13" s="126"/>
      <c r="N13" s="126"/>
      <c r="O13" s="126"/>
    </row>
    <row r="14" customFormat="false" ht="12.75" hidden="false" customHeight="false" outlineLevel="0" collapsed="false">
      <c r="A14" s="0" t="s">
        <v>88</v>
      </c>
      <c r="B14" s="126" t="n">
        <f aca="false">11988</f>
        <v>11988</v>
      </c>
      <c r="C14" s="127" t="n">
        <f aca="false">+B14/B$40</f>
        <v>0.000673089237607407</v>
      </c>
      <c r="D14" s="128" t="n">
        <f aca="false">+C14*D$6</f>
        <v>0.0928863147898222</v>
      </c>
      <c r="E14" s="126"/>
      <c r="F14" s="126"/>
      <c r="G14" s="0" t="s">
        <v>88</v>
      </c>
      <c r="H14" s="126" t="n">
        <v>0</v>
      </c>
      <c r="I14" s="127" t="n">
        <f aca="false">+H14/H$40</f>
        <v>0</v>
      </c>
      <c r="J14" s="128" t="n">
        <f aca="false">+I14*J$6</f>
        <v>0</v>
      </c>
      <c r="K14" s="126"/>
      <c r="M14" s="126"/>
      <c r="N14" s="126"/>
      <c r="O14" s="126"/>
    </row>
    <row r="15" customFormat="false" ht="12.75" hidden="false" customHeight="false" outlineLevel="0" collapsed="false">
      <c r="A15" s="0" t="s">
        <v>89</v>
      </c>
      <c r="B15" s="126" t="n">
        <v>68004</v>
      </c>
      <c r="C15" s="127" t="n">
        <f aca="false">+B15/B$40</f>
        <v>0.00381821492444562</v>
      </c>
      <c r="D15" s="128" t="n">
        <f aca="false">+C15*D$6</f>
        <v>0.526913659573496</v>
      </c>
      <c r="E15" s="126"/>
      <c r="F15" s="126"/>
      <c r="G15" s="0" t="s">
        <v>89</v>
      </c>
      <c r="H15" s="126" t="n">
        <v>101948</v>
      </c>
      <c r="I15" s="127" t="n">
        <f aca="false">+H15/H$40</f>
        <v>0.00499384689171484</v>
      </c>
      <c r="J15" s="128" t="n">
        <f aca="false">+I15*J$6</f>
        <v>0.818990890241233</v>
      </c>
      <c r="K15" s="126"/>
      <c r="M15" s="126"/>
      <c r="N15" s="126"/>
      <c r="O15" s="126"/>
    </row>
    <row r="16" customFormat="false" ht="12.75" hidden="false" customHeight="false" outlineLevel="0" collapsed="false">
      <c r="A16" s="0" t="s">
        <v>90</v>
      </c>
      <c r="B16" s="130" t="n">
        <f aca="false">18000+44394</f>
        <v>62394</v>
      </c>
      <c r="C16" s="127" t="n">
        <f aca="false">+B16/B$40</f>
        <v>0.00350323072166137</v>
      </c>
      <c r="D16" s="128" t="n">
        <f aca="false">+C16*D$6+0.03</f>
        <v>0.51344583958927</v>
      </c>
      <c r="E16" s="126"/>
      <c r="F16" s="126"/>
      <c r="G16" s="0" t="s">
        <v>90</v>
      </c>
      <c r="H16" s="126" t="n">
        <v>792706</v>
      </c>
      <c r="I16" s="127" t="n">
        <f aca="false">+H16/H$40</f>
        <v>0.0388301133336966</v>
      </c>
      <c r="J16" s="128" t="n">
        <f aca="false">+I16*J$6</f>
        <v>6.36813858672624</v>
      </c>
      <c r="K16" s="126"/>
      <c r="M16" s="126"/>
      <c r="N16" s="126"/>
      <c r="O16" s="126"/>
    </row>
    <row r="17" customFormat="false" ht="12.75" hidden="false" customHeight="false" outlineLevel="0" collapsed="false">
      <c r="A17" s="0" t="s">
        <v>91</v>
      </c>
      <c r="B17" s="126" t="n">
        <f aca="false">60996+3953519</f>
        <v>4014515</v>
      </c>
      <c r="C17" s="127" t="n">
        <f aca="false">+B17/B$40</f>
        <v>0.22540263936549</v>
      </c>
      <c r="D17" s="131" t="n">
        <f aca="false">+C17*D$6</f>
        <v>31.1055642324377</v>
      </c>
      <c r="E17" s="126"/>
      <c r="F17" s="126"/>
      <c r="G17" s="0" t="s">
        <v>91</v>
      </c>
      <c r="H17" s="126" t="n">
        <v>5123679</v>
      </c>
      <c r="I17" s="127" t="n">
        <f aca="false">+H17/H$40</f>
        <v>0.25097960183912</v>
      </c>
      <c r="J17" s="128" t="n">
        <f aca="false">+I17*J$6</f>
        <v>41.1606547016156</v>
      </c>
      <c r="K17" s="126"/>
      <c r="M17" s="126"/>
      <c r="N17" s="126"/>
      <c r="O17" s="126"/>
    </row>
    <row r="18" customFormat="false" ht="12.75" hidden="false" customHeight="false" outlineLevel="0" collapsed="false">
      <c r="A18" s="0" t="s">
        <v>92</v>
      </c>
      <c r="B18" s="126" t="n">
        <f aca="false">293501+58140</f>
        <v>351641</v>
      </c>
      <c r="C18" s="127" t="n">
        <f aca="false">+B18/B$40</f>
        <v>0.0197435579414002</v>
      </c>
      <c r="D18" s="131" t="n">
        <f aca="false">+C18*D$6</f>
        <v>2.72461099591323</v>
      </c>
      <c r="E18" s="126"/>
      <c r="F18" s="126"/>
      <c r="G18" s="0" t="s">
        <v>92</v>
      </c>
      <c r="H18" s="126" t="n">
        <v>108745</v>
      </c>
      <c r="I18" s="127" t="n">
        <f aca="false">+H18/H$40</f>
        <v>0.00532679287714845</v>
      </c>
      <c r="J18" s="128" t="n">
        <f aca="false">+I18*J$6</f>
        <v>0.873594031852345</v>
      </c>
      <c r="K18" s="126"/>
      <c r="M18" s="126"/>
      <c r="N18" s="126"/>
      <c r="O18" s="126"/>
    </row>
    <row r="19" customFormat="false" ht="12.75" hidden="false" customHeight="false" outlineLevel="0" collapsed="false">
      <c r="A19" s="0" t="s">
        <v>93</v>
      </c>
      <c r="B19" s="126" t="n">
        <f aca="false">25982</f>
        <v>25982</v>
      </c>
      <c r="C19" s="127" t="n">
        <f aca="false">+B19/B$40</f>
        <v>0.00145880919014979</v>
      </c>
      <c r="D19" s="128" t="n">
        <f aca="false">+C19*D$6</f>
        <v>0.201315668240671</v>
      </c>
      <c r="E19" s="126"/>
      <c r="F19" s="126"/>
      <c r="G19" s="0" t="s">
        <v>93</v>
      </c>
      <c r="H19" s="126" t="n">
        <v>0</v>
      </c>
      <c r="I19" s="127" t="n">
        <f aca="false">+H19/H$40</f>
        <v>0</v>
      </c>
      <c r="J19" s="128" t="n">
        <f aca="false">+I19*J$6</f>
        <v>0</v>
      </c>
      <c r="K19" s="126"/>
      <c r="M19" s="126"/>
      <c r="N19" s="126"/>
      <c r="O19" s="126"/>
    </row>
    <row r="20" customFormat="false" ht="12.75" hidden="false" customHeight="false" outlineLevel="0" collapsed="false">
      <c r="A20" s="0" t="s">
        <v>94</v>
      </c>
      <c r="B20" s="126" t="n">
        <f aca="false">10370</f>
        <v>10370</v>
      </c>
      <c r="C20" s="127" t="n">
        <f aca="false">+B20/B$40</f>
        <v>0.00058224352635876</v>
      </c>
      <c r="D20" s="128" t="n">
        <f aca="false">+C20*D$6</f>
        <v>0.0803496066375088</v>
      </c>
      <c r="E20" s="126"/>
      <c r="F20" s="126"/>
      <c r="G20" s="0" t="s">
        <v>94</v>
      </c>
      <c r="H20" s="126" t="n">
        <f aca="false">16724</f>
        <v>16724</v>
      </c>
      <c r="I20" s="127" t="n">
        <f aca="false">+H20/H$40</f>
        <v>0.00081921269095067</v>
      </c>
      <c r="J20" s="128" t="n">
        <f aca="false">+I20*J$6</f>
        <v>0.13435088131591</v>
      </c>
      <c r="K20" s="126"/>
      <c r="M20" s="126"/>
      <c r="N20" s="126"/>
      <c r="O20" s="126"/>
    </row>
    <row r="21" customFormat="false" ht="12.75" hidden="false" customHeight="false" outlineLevel="0" collapsed="false">
      <c r="A21" s="0" t="s">
        <v>95</v>
      </c>
      <c r="B21" s="126" t="n">
        <f aca="false">5004</f>
        <v>5004</v>
      </c>
      <c r="C21" s="127" t="n">
        <f aca="false">+B21/B$40</f>
        <v>0.000280959171253542</v>
      </c>
      <c r="D21" s="128" t="n">
        <f aca="false">+C21*D$6</f>
        <v>0.0387723656329888</v>
      </c>
      <c r="E21" s="126"/>
      <c r="F21" s="126"/>
      <c r="G21" s="0" t="s">
        <v>95</v>
      </c>
      <c r="H21" s="126" t="n">
        <v>0</v>
      </c>
      <c r="I21" s="127" t="n">
        <f aca="false">+H21/H$40</f>
        <v>0</v>
      </c>
      <c r="J21" s="128" t="n">
        <f aca="false">+I21*J$6</f>
        <v>0</v>
      </c>
      <c r="K21" s="126"/>
      <c r="M21" s="126"/>
      <c r="N21" s="126"/>
      <c r="O21" s="126"/>
    </row>
    <row r="22" customFormat="false" ht="12.75" hidden="false" customHeight="false" outlineLevel="0" collapsed="false">
      <c r="A22" s="0" t="s">
        <v>96</v>
      </c>
      <c r="B22" s="126" t="n">
        <f aca="false">3000+129816</f>
        <v>132816</v>
      </c>
      <c r="C22" s="127" t="n">
        <f aca="false">+B22/B$40</f>
        <v>0.00745720889072951</v>
      </c>
      <c r="D22" s="128" t="n">
        <f aca="false">+C22*D$6</f>
        <v>1.02909482692067</v>
      </c>
      <c r="E22" s="126"/>
      <c r="F22" s="126"/>
      <c r="G22" s="0" t="s">
        <v>96</v>
      </c>
      <c r="H22" s="126" t="n">
        <v>0</v>
      </c>
      <c r="I22" s="127" t="n">
        <f aca="false">+H22/H$40</f>
        <v>0</v>
      </c>
      <c r="J22" s="128" t="n">
        <f aca="false">+I22*J$6</f>
        <v>0</v>
      </c>
      <c r="K22" s="126"/>
      <c r="M22" s="126"/>
      <c r="N22" s="126"/>
      <c r="O22" s="126"/>
    </row>
    <row r="23" customFormat="false" ht="12.75" hidden="false" customHeight="false" outlineLevel="0" collapsed="false">
      <c r="A23" s="0" t="s">
        <v>97</v>
      </c>
      <c r="B23" s="126" t="n">
        <f aca="false">18996+891107+112635</f>
        <v>1022738</v>
      </c>
      <c r="C23" s="127" t="n">
        <f aca="false">+B23/B$40</f>
        <v>0.0574235853096533</v>
      </c>
      <c r="D23" s="128" t="n">
        <f aca="false">+C23*D$6</f>
        <v>7.92445477273216</v>
      </c>
      <c r="E23" s="126"/>
      <c r="F23" s="126"/>
      <c r="G23" s="0" t="s">
        <v>97</v>
      </c>
      <c r="H23" s="126" t="n">
        <v>1487661</v>
      </c>
      <c r="I23" s="127" t="n">
        <f aca="false">+H23/H$40</f>
        <v>0.0728719666965059</v>
      </c>
      <c r="J23" s="128" t="n">
        <f aca="false">+I23*J$6</f>
        <v>11.951002538227</v>
      </c>
      <c r="K23" s="126"/>
      <c r="M23" s="126"/>
      <c r="N23" s="126"/>
      <c r="O23" s="126"/>
    </row>
    <row r="24" customFormat="false" ht="12.75" hidden="false" customHeight="false" outlineLevel="0" collapsed="false">
      <c r="A24" s="0" t="s">
        <v>98</v>
      </c>
      <c r="B24" s="126" t="n">
        <f aca="false">5004+810548+70578</f>
        <v>886130</v>
      </c>
      <c r="C24" s="127" t="n">
        <f aca="false">+B24/B$40</f>
        <v>0.0497534673107317</v>
      </c>
      <c r="D24" s="128" t="n">
        <f aca="false">+C24*D$6</f>
        <v>6.86597848888097</v>
      </c>
      <c r="E24" s="126"/>
      <c r="F24" s="126"/>
      <c r="G24" s="0" t="s">
        <v>98</v>
      </c>
      <c r="H24" s="126" t="n">
        <v>922323</v>
      </c>
      <c r="I24" s="127" t="n">
        <f aca="false">+H24/H$40</f>
        <v>0.045179305594098</v>
      </c>
      <c r="J24" s="128" t="n">
        <f aca="false">+I24*J$6</f>
        <v>7.40940611743207</v>
      </c>
      <c r="K24" s="126"/>
      <c r="M24" s="126"/>
      <c r="N24" s="126"/>
      <c r="O24" s="126"/>
    </row>
    <row r="25" customFormat="false" ht="12.75" hidden="false" customHeight="false" outlineLevel="0" collapsed="false">
      <c r="A25" s="0" t="s">
        <v>99</v>
      </c>
      <c r="B25" s="126" t="n">
        <f aca="false">498</f>
        <v>498</v>
      </c>
      <c r="C25" s="127" t="n">
        <f aca="false">+B25/B$40</f>
        <v>2.79611645252326E-005</v>
      </c>
      <c r="D25" s="128" t="n">
        <f aca="false">+C25*D$6</f>
        <v>0.0038586407044821</v>
      </c>
      <c r="E25" s="126"/>
      <c r="F25" s="126"/>
      <c r="G25" s="0" t="s">
        <v>99</v>
      </c>
      <c r="H25" s="126" t="n">
        <v>0</v>
      </c>
      <c r="I25" s="127" t="n">
        <f aca="false">+H25/H$40</f>
        <v>0</v>
      </c>
      <c r="J25" s="128" t="n">
        <f aca="false">+I25*J$6</f>
        <v>0</v>
      </c>
      <c r="K25" s="126"/>
      <c r="M25" s="126"/>
      <c r="N25" s="126"/>
      <c r="O25" s="126"/>
    </row>
    <row r="26" customFormat="false" ht="12.75" hidden="false" customHeight="false" outlineLevel="0" collapsed="false">
      <c r="A26" s="132" t="s">
        <v>100</v>
      </c>
      <c r="B26" s="133" t="n">
        <f aca="false">66996+4552197+208249-2</f>
        <v>4827440</v>
      </c>
      <c r="C26" s="134" t="n">
        <f aca="false">+B26/B$40</f>
        <v>0.27104587163793</v>
      </c>
      <c r="D26" s="135" t="n">
        <f aca="false">+C26*D$6</f>
        <v>37.4043302860343</v>
      </c>
      <c r="E26" s="132"/>
      <c r="F26" s="132"/>
      <c r="G26" s="132" t="s">
        <v>100</v>
      </c>
      <c r="H26" s="133" t="n">
        <f aca="false">2772958+0.4</f>
        <v>2772958.4</v>
      </c>
      <c r="I26" s="136" t="n">
        <f aca="false">+H26/H$40</f>
        <v>0.135831303082891</v>
      </c>
      <c r="J26" s="137" t="n">
        <f aca="false">+I26*J$6</f>
        <v>22.2763337055941</v>
      </c>
      <c r="K26" s="126"/>
      <c r="M26" s="126"/>
      <c r="N26" s="126"/>
      <c r="O26" s="126"/>
    </row>
    <row r="27" customFormat="false" ht="12.75" hidden="false" customHeight="false" outlineLevel="0" collapsed="false">
      <c r="A27" s="0" t="s">
        <v>101</v>
      </c>
      <c r="B27" s="126" t="n">
        <f aca="false">30000+457717+3779417</f>
        <v>4267134</v>
      </c>
      <c r="C27" s="127" t="n">
        <f aca="false">+B27/B$40</f>
        <v>0.239586417319707</v>
      </c>
      <c r="D27" s="128" t="n">
        <f aca="false">+C27*D$6</f>
        <v>33.0629255901195</v>
      </c>
      <c r="E27" s="126"/>
      <c r="F27" s="126"/>
      <c r="G27" s="0" t="s">
        <v>101</v>
      </c>
      <c r="H27" s="126" t="n">
        <f aca="false">5642824+0.4</f>
        <v>5642824.4</v>
      </c>
      <c r="I27" s="127" t="n">
        <f aca="false">+H27/H$40</f>
        <v>0.276409552815481</v>
      </c>
      <c r="J27" s="128" t="n">
        <f aca="false">+I27*J$6</f>
        <v>45.3311666617389</v>
      </c>
      <c r="K27" s="126"/>
      <c r="M27" s="126"/>
      <c r="N27" s="126"/>
      <c r="O27" s="126"/>
    </row>
    <row r="28" customFormat="false" ht="12.75" hidden="false" customHeight="false" outlineLevel="0" collapsed="false">
      <c r="A28" s="0" t="s">
        <v>102</v>
      </c>
      <c r="B28" s="126" t="n">
        <f aca="false">34286</f>
        <v>34286</v>
      </c>
      <c r="C28" s="127" t="n">
        <f aca="false">+B28/B$40</f>
        <v>0.00192505318657053</v>
      </c>
      <c r="D28" s="128" t="n">
        <f aca="false">+C28*D$6</f>
        <v>0.265657339746734</v>
      </c>
      <c r="E28" s="126"/>
      <c r="F28" s="126"/>
      <c r="G28" s="0" t="s">
        <v>102</v>
      </c>
      <c r="H28" s="126" t="n">
        <f aca="false">165015</f>
        <v>165015</v>
      </c>
      <c r="I28" s="127" t="n">
        <f aca="false">+H28/H$40</f>
        <v>0.00808313694075729</v>
      </c>
      <c r="J28" s="128" t="n">
        <f aca="false">+I28*J$6</f>
        <v>1.32563445828419</v>
      </c>
      <c r="K28" s="126"/>
      <c r="M28" s="126"/>
      <c r="N28" s="126"/>
      <c r="O28" s="126"/>
    </row>
    <row r="29" customFormat="false" ht="12.75" hidden="false" customHeight="false" outlineLevel="0" collapsed="false">
      <c r="A29" s="0" t="s">
        <v>103</v>
      </c>
      <c r="B29" s="126" t="n">
        <f aca="false">32004</f>
        <v>32004</v>
      </c>
      <c r="C29" s="127" t="n">
        <f aca="false">+B29/B$40</f>
        <v>0.00179692592262158</v>
      </c>
      <c r="D29" s="128" t="n">
        <f aca="false">+C29*D$6</f>
        <v>0.247975777321777</v>
      </c>
      <c r="E29" s="126"/>
      <c r="F29" s="126"/>
      <c r="G29" s="0" t="s">
        <v>103</v>
      </c>
      <c r="H29" s="126" t="n">
        <v>0</v>
      </c>
      <c r="I29" s="127" t="n">
        <f aca="false">+H29/H$40</f>
        <v>0</v>
      </c>
      <c r="J29" s="128" t="n">
        <f aca="false">+I29*J$6</f>
        <v>0</v>
      </c>
      <c r="K29" s="126"/>
    </row>
    <row r="30" customFormat="false" ht="12.75" hidden="false" customHeight="false" outlineLevel="0" collapsed="false">
      <c r="A30" s="0" t="s">
        <v>104</v>
      </c>
      <c r="B30" s="126" t="n">
        <f aca="false">9000+134730+16825</f>
        <v>160555</v>
      </c>
      <c r="C30" s="127" t="n">
        <f aca="false">+B30/B$40</f>
        <v>0.00901466821355165</v>
      </c>
      <c r="D30" s="128" t="n">
        <f aca="false">+C30*D$6</f>
        <v>1.24402421347013</v>
      </c>
      <c r="E30" s="126"/>
      <c r="F30" s="126"/>
      <c r="G30" s="0" t="s">
        <v>104</v>
      </c>
      <c r="H30" s="126" t="n">
        <f aca="false">195323</f>
        <v>195323</v>
      </c>
      <c r="I30" s="127" t="n">
        <f aca="false">+H30/H$40</f>
        <v>0.009567751760019</v>
      </c>
      <c r="J30" s="128" t="n">
        <f aca="false">+I30*J$6</f>
        <v>1.56911128864312</v>
      </c>
      <c r="K30" s="126"/>
    </row>
    <row r="31" customFormat="false" ht="12.75" hidden="false" customHeight="false" outlineLevel="0" collapsed="false">
      <c r="A31" s="0" t="s">
        <v>105</v>
      </c>
      <c r="B31" s="126" t="n">
        <f aca="false">12000</f>
        <v>12000</v>
      </c>
      <c r="C31" s="127" t="n">
        <f aca="false">+B31/B$40</f>
        <v>0.000673763000608015</v>
      </c>
      <c r="D31" s="128" t="n">
        <f aca="false">+C31*D$6</f>
        <v>0.0929792940839061</v>
      </c>
      <c r="E31" s="129"/>
      <c r="F31" s="129"/>
      <c r="G31" s="0" t="s">
        <v>105</v>
      </c>
      <c r="H31" s="126" t="n">
        <v>0</v>
      </c>
      <c r="I31" s="127" t="n">
        <f aca="false">+H31/H$40</f>
        <v>0</v>
      </c>
      <c r="J31" s="128" t="n">
        <f aca="false">+I31*J$6</f>
        <v>0</v>
      </c>
      <c r="K31" s="126"/>
    </row>
    <row r="32" customFormat="false" ht="12.75" hidden="false" customHeight="false" outlineLevel="0" collapsed="false">
      <c r="A32" s="0" t="s">
        <v>106</v>
      </c>
      <c r="B32" s="126" t="n">
        <f aca="false">3996</f>
        <v>3996</v>
      </c>
      <c r="C32" s="127" t="n">
        <f aca="false">+B32/B$40</f>
        <v>0.000224363079202469</v>
      </c>
      <c r="D32" s="128" t="n">
        <f aca="false">+C32*D$6</f>
        <v>0.0309621049299407</v>
      </c>
      <c r="E32" s="126"/>
      <c r="F32" s="126"/>
      <c r="G32" s="0" t="s">
        <v>106</v>
      </c>
      <c r="H32" s="126" t="n">
        <v>0</v>
      </c>
      <c r="I32" s="127" t="n">
        <f aca="false">+H32/H$40</f>
        <v>0</v>
      </c>
      <c r="J32" s="128" t="n">
        <f aca="false">+I32*J$6</f>
        <v>0</v>
      </c>
      <c r="K32" s="126"/>
    </row>
    <row r="33" customFormat="false" ht="12.75" hidden="false" customHeight="false" outlineLevel="0" collapsed="false">
      <c r="A33" s="0" t="s">
        <v>107</v>
      </c>
      <c r="B33" s="126" t="n">
        <f aca="false">14004</f>
        <v>14004</v>
      </c>
      <c r="C33" s="127" t="n">
        <f aca="false">+B33/B$40</f>
        <v>0.000786281421709554</v>
      </c>
      <c r="D33" s="128" t="n">
        <f aca="false">+C33*D$6</f>
        <v>0.108506836195918</v>
      </c>
      <c r="E33" s="126"/>
      <c r="F33" s="126"/>
      <c r="G33" s="0" t="s">
        <v>107</v>
      </c>
      <c r="H33" s="126" t="n">
        <v>0</v>
      </c>
      <c r="I33" s="127" t="n">
        <f aca="false">+H33/H$40</f>
        <v>0</v>
      </c>
      <c r="J33" s="128" t="n">
        <f aca="false">+I33*J$6</f>
        <v>0</v>
      </c>
      <c r="K33" s="126"/>
    </row>
    <row r="34" customFormat="false" ht="12.75" hidden="false" customHeight="false" outlineLevel="0" collapsed="false">
      <c r="A34" s="0" t="s">
        <v>108</v>
      </c>
      <c r="B34" s="126" t="n">
        <f aca="false">14004+59136</f>
        <v>73140</v>
      </c>
      <c r="C34" s="127" t="n">
        <f aca="false">+B34/B$40+0.002</f>
        <v>0.00610658548870585</v>
      </c>
      <c r="D34" s="131" t="n">
        <f aca="false">+C34*D$6</f>
        <v>0.842708797441408</v>
      </c>
      <c r="E34" s="126"/>
      <c r="F34" s="126"/>
      <c r="G34" s="0" t="s">
        <v>108</v>
      </c>
      <c r="H34" s="126" t="n">
        <v>0</v>
      </c>
      <c r="I34" s="127" t="n">
        <f aca="false">+H34/H$40</f>
        <v>0</v>
      </c>
      <c r="J34" s="128" t="n">
        <f aca="false">+I34*J$6</f>
        <v>0</v>
      </c>
      <c r="K34" s="126"/>
    </row>
    <row r="35" customFormat="false" ht="12.75" hidden="false" customHeight="false" outlineLevel="0" collapsed="false">
      <c r="A35" s="0" t="s">
        <v>109</v>
      </c>
      <c r="B35" s="126" t="n">
        <f aca="false">47004</f>
        <v>47004</v>
      </c>
      <c r="C35" s="127" t="n">
        <f aca="false">+B35/B$40</f>
        <v>0.00263912967338159</v>
      </c>
      <c r="D35" s="128" t="n">
        <f aca="false">+C35*D$6+0.2</f>
        <v>0.56419989492666</v>
      </c>
      <c r="E35" s="126"/>
      <c r="F35" s="126"/>
      <c r="G35" s="0" t="s">
        <v>109</v>
      </c>
      <c r="H35" s="126" t="n">
        <v>0</v>
      </c>
      <c r="I35" s="127" t="n">
        <f aca="false">+H35/H$40</f>
        <v>0</v>
      </c>
      <c r="J35" s="128" t="n">
        <f aca="false">+I35*J$6</f>
        <v>0</v>
      </c>
    </row>
    <row r="36" customFormat="false" ht="12.75" hidden="false" customHeight="false" outlineLevel="0" collapsed="false">
      <c r="A36" s="0" t="s">
        <v>110</v>
      </c>
      <c r="B36" s="126" t="n">
        <f aca="false">6996</f>
        <v>6996</v>
      </c>
      <c r="C36" s="127" t="n">
        <f aca="false">+B36/B$40</f>
        <v>0.000392803829354473</v>
      </c>
      <c r="D36" s="128" t="n">
        <f aca="false">+C36*D$6</f>
        <v>0.0542069284509172</v>
      </c>
      <c r="E36" s="126"/>
      <c r="F36" s="126"/>
      <c r="G36" s="0" t="s">
        <v>110</v>
      </c>
      <c r="H36" s="126" t="n">
        <v>0</v>
      </c>
      <c r="I36" s="127" t="n">
        <f aca="false">+H36/H$40</f>
        <v>0</v>
      </c>
      <c r="J36" s="128" t="n">
        <f aca="false">+I36*J$6</f>
        <v>0</v>
      </c>
    </row>
    <row r="37" customFormat="false" ht="12.75" hidden="false" customHeight="false" outlineLevel="0" collapsed="false">
      <c r="A37" s="0" t="s">
        <v>111</v>
      </c>
      <c r="B37" s="126" t="n">
        <f aca="false">9000</f>
        <v>9000</v>
      </c>
      <c r="C37" s="127" t="n">
        <f aca="false">+B37/B$40</f>
        <v>0.000505322250456011</v>
      </c>
      <c r="D37" s="128" t="n">
        <f aca="false">+C37*D$6</f>
        <v>0.0697344705629295</v>
      </c>
      <c r="E37" s="126"/>
      <c r="F37" s="126"/>
      <c r="G37" s="0" t="s">
        <v>111</v>
      </c>
      <c r="H37" s="126" t="n">
        <v>0</v>
      </c>
      <c r="I37" s="127" t="n">
        <f aca="false">+H37/H$40</f>
        <v>0</v>
      </c>
      <c r="J37" s="128" t="n">
        <f aca="false">+I37*J$6</f>
        <v>0</v>
      </c>
    </row>
    <row r="38" customFormat="false" ht="12.75" hidden="false" customHeight="false" outlineLevel="0" collapsed="false">
      <c r="A38" s="0" t="s">
        <v>112</v>
      </c>
      <c r="B38" s="126" t="n">
        <f aca="false">6000</f>
        <v>6000</v>
      </c>
      <c r="C38" s="127" t="n">
        <f aca="false">+B38/B$40</f>
        <v>0.000336881500304008</v>
      </c>
      <c r="D38" s="128" t="n">
        <f aca="false">+C38*D$6</f>
        <v>0.046489647041953</v>
      </c>
      <c r="E38" s="129"/>
      <c r="F38" s="129"/>
      <c r="G38" s="0" t="s">
        <v>112</v>
      </c>
      <c r="H38" s="126" t="n">
        <v>0</v>
      </c>
      <c r="I38" s="127" t="n">
        <f aca="false">+H38/H$40</f>
        <v>0</v>
      </c>
      <c r="J38" s="128" t="n">
        <f aca="false">+I38*J$6</f>
        <v>0</v>
      </c>
    </row>
    <row r="39" customFormat="false" ht="12.75" hidden="false" customHeight="false" outlineLevel="0" collapsed="false">
      <c r="A39" s="0" t="s">
        <v>113</v>
      </c>
      <c r="B39" s="138" t="n">
        <v>0</v>
      </c>
      <c r="C39" s="139" t="n">
        <f aca="false">+B39/B$40</f>
        <v>0</v>
      </c>
      <c r="D39" s="140" t="n">
        <f aca="false">+C39*D$6</f>
        <v>0</v>
      </c>
      <c r="E39" s="126"/>
      <c r="F39" s="126"/>
      <c r="G39" s="0" t="s">
        <v>113</v>
      </c>
      <c r="H39" s="138" t="n">
        <v>67966</v>
      </c>
      <c r="I39" s="139" t="n">
        <f aca="false">+H39/H$40</f>
        <v>0.00332926391731364</v>
      </c>
      <c r="J39" s="140" t="n">
        <f aca="false">+I39*J$6</f>
        <v>0.545999282439436</v>
      </c>
    </row>
    <row r="40" customFormat="false" ht="12.75" hidden="false" customHeight="false" outlineLevel="0" collapsed="false">
      <c r="A40" s="0" t="s">
        <v>114</v>
      </c>
      <c r="B40" s="126" t="n">
        <f aca="false">SUM(B7:B39)</f>
        <v>17810417</v>
      </c>
      <c r="C40" s="127" t="n">
        <f aca="false">SUM(C7:C39)</f>
        <v>1.002</v>
      </c>
      <c r="D40" s="141" t="n">
        <f aca="false">SUM(D7:D39)-0.5</f>
        <v>138.006</v>
      </c>
      <c r="E40" s="126"/>
      <c r="F40" s="126"/>
      <c r="G40" s="0" t="s">
        <v>115</v>
      </c>
      <c r="H40" s="126" t="n">
        <f aca="false">SUM(H7:H39)</f>
        <v>20414722.8</v>
      </c>
      <c r="I40" s="127" t="n">
        <f aca="false">SUM(I7:I39)</f>
        <v>1</v>
      </c>
      <c r="J40" s="141" t="n">
        <f aca="false">SUM(J7:J39)</f>
        <v>164</v>
      </c>
    </row>
    <row r="41" customFormat="false" ht="12.75" hidden="false" customHeight="false" outlineLevel="0" collapsed="false">
      <c r="B41" s="126"/>
      <c r="C41" s="127"/>
      <c r="D41" s="141"/>
      <c r="E41" s="126"/>
      <c r="F41" s="126"/>
      <c r="H41" s="126"/>
      <c r="I41" s="127"/>
      <c r="J41" s="141"/>
    </row>
    <row r="42" customFormat="false" ht="12.75" hidden="false" customHeight="false" outlineLevel="0" collapsed="false">
      <c r="A42" s="142" t="s">
        <v>116</v>
      </c>
      <c r="B42" s="126"/>
      <c r="D42" s="141" t="n">
        <f aca="false">+D40-D26</f>
        <v>100.601669713966</v>
      </c>
      <c r="G42" s="142" t="s">
        <v>116</v>
      </c>
      <c r="H42" s="126"/>
      <c r="J42" s="141" t="n">
        <f aca="false">J40-J26</f>
        <v>141.723666294406</v>
      </c>
    </row>
    <row r="43" customFormat="false" ht="12.75" hidden="false" customHeight="false" outlineLevel="0" collapsed="false">
      <c r="A43" s="142" t="s">
        <v>117</v>
      </c>
      <c r="D43" s="141" t="n">
        <f aca="false">D26</f>
        <v>37.4043302860343</v>
      </c>
      <c r="G43" s="142" t="s">
        <v>117</v>
      </c>
      <c r="J43" s="141" t="n">
        <f aca="false">J26</f>
        <v>22.2763337055941</v>
      </c>
    </row>
    <row r="46" customFormat="false" ht="12.75" hidden="false" customHeight="false" outlineLevel="0" collapsed="false">
      <c r="A46" s="126" t="s">
        <v>118</v>
      </c>
      <c r="B46" s="126"/>
      <c r="H46" s="126"/>
    </row>
    <row r="47" customFormat="false" ht="12.75" hidden="false" customHeight="false" outlineLevel="0" collapsed="false">
      <c r="A47" s="0" t="s">
        <v>119</v>
      </c>
      <c r="B47" s="143"/>
      <c r="H47" s="143"/>
    </row>
    <row r="49" customFormat="false" ht="12.75" hidden="false" customHeight="false" outlineLevel="0" collapsed="false">
      <c r="A49" s="144"/>
    </row>
    <row r="50" customFormat="false" ht="12.75" hidden="false" customHeight="false" outlineLevel="0" collapsed="false">
      <c r="A50" s="126"/>
    </row>
    <row r="51" customFormat="false" ht="12.75" hidden="false" customHeight="false" outlineLevel="0" collapsed="false">
      <c r="A51" s="145"/>
    </row>
    <row r="52" customFormat="false" ht="12.75" hidden="false" customHeight="false" outlineLevel="0" collapsed="false">
      <c r="A52" s="145"/>
    </row>
    <row r="53" customFormat="false" ht="12.75" hidden="false" customHeight="false" outlineLevel="0" collapsed="false">
      <c r="A53" s="145"/>
    </row>
    <row r="54" customFormat="false" ht="12.75" hidden="false" customHeight="false" outlineLevel="0" collapsed="false">
      <c r="A54" s="145"/>
    </row>
  </sheetData>
  <mergeCells count="4">
    <mergeCell ref="A1:J1"/>
    <mergeCell ref="A2:J2"/>
    <mergeCell ref="A4:D4"/>
    <mergeCell ref="G4:J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46" width="16.7"/>
    <col collapsed="false" customWidth="true" hidden="false" outlineLevel="0" max="2" min="2" style="146" width="13.7"/>
    <col collapsed="false" customWidth="true" hidden="false" outlineLevel="0" max="4" min="3" style="147" width="12.14"/>
    <col collapsed="false" customWidth="true" hidden="false" outlineLevel="0" max="5" min="5" style="147" width="13.99"/>
    <col collapsed="false" customWidth="true" hidden="false" outlineLevel="0" max="7" min="6" style="147" width="13.14"/>
    <col collapsed="false" customWidth="true" hidden="false" outlineLevel="0" max="8" min="8" style="147" width="12.85"/>
    <col collapsed="false" customWidth="true" hidden="false" outlineLevel="0" max="9" min="9" style="147" width="13.14"/>
    <col collapsed="false" customWidth="true" hidden="false" outlineLevel="0" max="10" min="10" style="147" width="11.7"/>
    <col collapsed="false" customWidth="true" hidden="false" outlineLevel="0" max="11" min="11" style="147" width="15.13"/>
    <col collapsed="false" customWidth="true" hidden="false" outlineLevel="0" max="12" min="12" style="147" width="13.41"/>
    <col collapsed="false" customWidth="true" hidden="false" outlineLevel="0" max="13" min="13" style="147" width="10.71"/>
    <col collapsed="false" customWidth="true" hidden="false" outlineLevel="0" max="14" min="14" style="147" width="11.7"/>
    <col collapsed="false" customWidth="true" hidden="false" outlineLevel="0" max="15" min="15" style="147" width="13.41"/>
    <col collapsed="false" customWidth="true" hidden="false" outlineLevel="0" max="16" min="16" style="147" width="11.7"/>
    <col collapsed="false" customWidth="true" hidden="false" outlineLevel="0" max="17" min="17" style="147" width="16.13"/>
    <col collapsed="false" customWidth="false" hidden="false" outlineLevel="0" max="18" min="18" style="148" width="9.14"/>
    <col collapsed="false" customWidth="false" hidden="false" outlineLevel="0" max="19" min="19" style="147" width="9.14"/>
    <col collapsed="false" customWidth="true" hidden="false" outlineLevel="0" max="20" min="20" style="147" width="15.28"/>
    <col collapsed="false" customWidth="false" hidden="false" outlineLevel="0" max="21" min="21" style="148" width="9.14"/>
    <col collapsed="false" customWidth="false" hidden="false" outlineLevel="0" max="22" min="22" style="147" width="9.14"/>
    <col collapsed="false" customWidth="true" hidden="false" outlineLevel="0" max="23" min="23" style="147" width="15.56"/>
    <col collapsed="false" customWidth="false" hidden="false" outlineLevel="0" max="257" min="24" style="147" width="9.14"/>
  </cols>
  <sheetData>
    <row r="1" customFormat="false" ht="45" hidden="false" customHeight="false" outlineLevel="0" collapsed="false">
      <c r="A1" s="149" t="s">
        <v>120</v>
      </c>
      <c r="B1" s="149" t="s">
        <v>121</v>
      </c>
      <c r="C1" s="149" t="s">
        <v>122</v>
      </c>
      <c r="D1" s="149" t="s">
        <v>123</v>
      </c>
      <c r="E1" s="149" t="s">
        <v>124</v>
      </c>
      <c r="F1" s="149" t="s">
        <v>125</v>
      </c>
      <c r="G1" s="149" t="s">
        <v>126</v>
      </c>
      <c r="H1" s="149" t="s">
        <v>127</v>
      </c>
      <c r="I1" s="149" t="s">
        <v>128</v>
      </c>
      <c r="J1" s="150" t="s">
        <v>129</v>
      </c>
      <c r="K1" s="150" t="s">
        <v>130</v>
      </c>
      <c r="L1" s="151" t="s">
        <v>131</v>
      </c>
      <c r="M1" s="150" t="s">
        <v>132</v>
      </c>
      <c r="N1" s="150" t="s">
        <v>133</v>
      </c>
      <c r="O1" s="151" t="s">
        <v>134</v>
      </c>
      <c r="P1" s="152"/>
      <c r="Q1" s="152"/>
      <c r="R1" s="153"/>
      <c r="S1" s="152"/>
      <c r="T1" s="152"/>
      <c r="U1" s="153"/>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2"/>
      <c r="EJ1" s="152"/>
      <c r="EK1" s="152"/>
      <c r="EL1" s="152"/>
      <c r="EM1" s="152"/>
      <c r="EN1" s="152"/>
      <c r="EO1" s="152"/>
      <c r="EP1" s="152"/>
      <c r="EQ1" s="152"/>
      <c r="ER1" s="152"/>
      <c r="ES1" s="152"/>
      <c r="ET1" s="152"/>
      <c r="EU1" s="152"/>
      <c r="EV1" s="152"/>
      <c r="EW1" s="152"/>
      <c r="EX1" s="152"/>
      <c r="EY1" s="152"/>
      <c r="EZ1" s="152"/>
      <c r="FA1" s="152"/>
      <c r="FB1" s="152"/>
      <c r="FC1" s="152"/>
      <c r="FD1" s="152"/>
      <c r="FE1" s="152"/>
      <c r="FF1" s="152"/>
      <c r="FG1" s="152"/>
      <c r="FH1" s="152"/>
      <c r="FI1" s="152"/>
      <c r="FJ1" s="152"/>
      <c r="FK1" s="152"/>
      <c r="FL1" s="152"/>
      <c r="FM1" s="152"/>
      <c r="FN1" s="152"/>
      <c r="FO1" s="152"/>
      <c r="FP1" s="152"/>
      <c r="FQ1" s="152"/>
      <c r="FR1" s="152"/>
      <c r="FS1" s="152"/>
      <c r="FT1" s="152"/>
      <c r="FU1" s="152"/>
      <c r="FV1" s="152"/>
      <c r="FW1" s="152"/>
      <c r="FX1" s="152"/>
      <c r="FY1" s="152"/>
      <c r="FZ1" s="152"/>
      <c r="GA1" s="152"/>
      <c r="GB1" s="152"/>
      <c r="GC1" s="152"/>
      <c r="GD1" s="152"/>
      <c r="GE1" s="152"/>
      <c r="GF1" s="152"/>
      <c r="GG1" s="152"/>
      <c r="GH1" s="152"/>
      <c r="GI1" s="152"/>
      <c r="GJ1" s="152"/>
      <c r="GK1" s="152"/>
      <c r="GL1" s="152"/>
      <c r="GM1" s="152"/>
      <c r="GN1" s="152"/>
      <c r="GO1" s="152"/>
      <c r="GP1" s="152"/>
      <c r="GQ1" s="152"/>
      <c r="GR1" s="152"/>
      <c r="GS1" s="152"/>
      <c r="GT1" s="152"/>
      <c r="GU1" s="152"/>
      <c r="GV1" s="152"/>
      <c r="GW1" s="152"/>
      <c r="GX1" s="152"/>
      <c r="GY1" s="152"/>
      <c r="GZ1" s="152"/>
      <c r="HA1" s="152"/>
      <c r="HB1" s="152"/>
      <c r="HC1" s="152"/>
      <c r="HD1" s="152"/>
      <c r="HE1" s="152"/>
      <c r="HF1" s="152"/>
      <c r="HG1" s="152"/>
      <c r="HH1" s="152"/>
      <c r="HI1" s="152"/>
      <c r="HJ1" s="152"/>
      <c r="HK1" s="152"/>
      <c r="HL1" s="152"/>
      <c r="HM1" s="152"/>
      <c r="HN1" s="152"/>
      <c r="HO1" s="152"/>
      <c r="HP1" s="152"/>
      <c r="HQ1" s="152"/>
      <c r="HR1" s="152"/>
      <c r="HS1" s="152"/>
      <c r="HT1" s="152"/>
      <c r="HU1" s="152"/>
      <c r="HV1" s="152"/>
      <c r="HW1" s="152"/>
      <c r="HX1" s="152"/>
      <c r="HY1" s="152"/>
      <c r="HZ1" s="152"/>
      <c r="IA1" s="152"/>
      <c r="IB1" s="152"/>
      <c r="IC1" s="152"/>
      <c r="ID1" s="152"/>
      <c r="IE1" s="152"/>
      <c r="IF1" s="152"/>
      <c r="IG1" s="152"/>
      <c r="IH1" s="152"/>
      <c r="II1" s="152"/>
      <c r="IJ1" s="152"/>
      <c r="IK1" s="152"/>
      <c r="IL1" s="152"/>
      <c r="IM1" s="152"/>
      <c r="IN1" s="152"/>
      <c r="IO1" s="152"/>
      <c r="IP1" s="152"/>
      <c r="IQ1" s="152"/>
      <c r="IR1" s="152"/>
      <c r="IS1" s="152"/>
      <c r="IT1" s="152"/>
      <c r="IU1" s="152"/>
      <c r="IV1" s="152"/>
      <c r="IW1" s="152"/>
    </row>
    <row r="2" customFormat="false" ht="15.75" hidden="false" customHeight="true" outlineLevel="0" collapsed="false">
      <c r="A2" s="154" t="s">
        <v>135</v>
      </c>
      <c r="B2" s="155" t="n">
        <v>1117</v>
      </c>
      <c r="C2" s="156" t="n">
        <f aca="false">(+D2/$D$19*$C$19)+43259+0.4</f>
        <v>335373.481555192</v>
      </c>
      <c r="D2" s="156" t="n">
        <f aca="false">814848-60000-96000</f>
        <v>658848</v>
      </c>
      <c r="E2" s="156" t="n">
        <f aca="false">+B2/$B$20*$E$19</f>
        <v>42492.1025943396</v>
      </c>
      <c r="F2" s="156" t="n">
        <f aca="false">+[2]Sheet2!H2*$F$23</f>
        <v>237577.583048694</v>
      </c>
      <c r="G2" s="156" t="n">
        <f aca="false">+[2]Sheet2!E2*$G$23</f>
        <v>383101.596059113</v>
      </c>
      <c r="H2" s="156" t="n">
        <f aca="false">+[2]Sheet2!B2*$H$19</f>
        <v>524454.646958175</v>
      </c>
      <c r="I2" s="156" t="n">
        <f aca="false">55189-0.4</f>
        <v>55188.6</v>
      </c>
      <c r="J2" s="157" t="n">
        <f aca="false">(+B2/($B$17)*$J$21)</f>
        <v>97007.0989022701</v>
      </c>
      <c r="K2" s="157" t="n">
        <f aca="false">+B2/$B$19*$K$19</f>
        <v>113920.0783416</v>
      </c>
      <c r="L2" s="158" t="n">
        <f aca="false">SUM(C2:K2)</f>
        <v>2447963.18745938</v>
      </c>
      <c r="M2" s="157" t="n">
        <v>4329</v>
      </c>
      <c r="N2" s="157" t="n">
        <v>320666</v>
      </c>
      <c r="O2" s="158" t="n">
        <f aca="false">SUM(L2:N2)</f>
        <v>2772958.18745938</v>
      </c>
      <c r="P2" s="126"/>
    </row>
    <row r="3" customFormat="false" ht="15.75" hidden="false" customHeight="true" outlineLevel="0" collapsed="false">
      <c r="A3" s="154" t="s">
        <v>136</v>
      </c>
      <c r="B3" s="155" t="n">
        <v>0</v>
      </c>
      <c r="C3" s="156" t="n">
        <v>0</v>
      </c>
      <c r="D3" s="156" t="n">
        <v>96000</v>
      </c>
      <c r="E3" s="156" t="n">
        <v>0</v>
      </c>
      <c r="F3" s="156" t="n">
        <v>0</v>
      </c>
      <c r="G3" s="156" t="n">
        <v>0</v>
      </c>
      <c r="H3" s="156" t="n">
        <v>0</v>
      </c>
      <c r="I3" s="156" t="n">
        <v>0</v>
      </c>
      <c r="J3" s="157" t="n">
        <f aca="false">(+B3/($B$17)*$J$21)</f>
        <v>0</v>
      </c>
      <c r="K3" s="157" t="n">
        <v>0</v>
      </c>
      <c r="L3" s="158" t="n">
        <f aca="false">SUM(C3:K3)</f>
        <v>96000</v>
      </c>
      <c r="M3" s="157" t="n">
        <v>170</v>
      </c>
      <c r="N3" s="157" t="n">
        <v>12575</v>
      </c>
      <c r="O3" s="158" t="n">
        <f aca="false">SUM(L3:N3)</f>
        <v>108745</v>
      </c>
      <c r="P3" s="126"/>
    </row>
    <row r="4" customFormat="false" ht="15.75" hidden="false" customHeight="true" outlineLevel="0" collapsed="false">
      <c r="A4" s="159" t="s">
        <v>137</v>
      </c>
      <c r="B4" s="155" t="n">
        <v>0</v>
      </c>
      <c r="C4" s="156" t="n">
        <v>0</v>
      </c>
      <c r="D4" s="156" t="n">
        <v>60000</v>
      </c>
      <c r="E4" s="156" t="n">
        <v>0</v>
      </c>
      <c r="F4" s="156" t="n">
        <v>0</v>
      </c>
      <c r="G4" s="156" t="n">
        <v>0</v>
      </c>
      <c r="H4" s="156" t="n">
        <v>0</v>
      </c>
      <c r="I4" s="156" t="n">
        <v>0</v>
      </c>
      <c r="J4" s="157" t="n">
        <f aca="false">(+B4/($B$17)*$J$21)</f>
        <v>0</v>
      </c>
      <c r="K4" s="157" t="n">
        <v>0</v>
      </c>
      <c r="L4" s="158" t="n">
        <f aca="false">SUM(C4:K4)</f>
        <v>60000</v>
      </c>
      <c r="M4" s="157" t="n">
        <v>106</v>
      </c>
      <c r="N4" s="157" t="n">
        <v>7860</v>
      </c>
      <c r="O4" s="158" t="n">
        <f aca="false">SUM(L4:N4)</f>
        <v>67966</v>
      </c>
      <c r="P4" s="126"/>
    </row>
    <row r="5" customFormat="false" ht="15.75" hidden="false" customHeight="true" outlineLevel="0" collapsed="false">
      <c r="A5" s="154" t="s">
        <v>138</v>
      </c>
      <c r="B5" s="155" t="n">
        <v>417</v>
      </c>
      <c r="C5" s="156" t="n">
        <f aca="false">180900+0.4</f>
        <v>180900.4</v>
      </c>
      <c r="D5" s="156" t="n">
        <v>407166</v>
      </c>
      <c r="E5" s="156" t="n">
        <f aca="false">+B5/$B$20*$E$19</f>
        <v>15863.2110849057</v>
      </c>
      <c r="F5" s="156" t="n">
        <f aca="false">+[2]Sheet2!H3*$F$23</f>
        <v>246398.95999743</v>
      </c>
      <c r="G5" s="156" t="n">
        <f aca="false">+[2]Sheet2!E3*$G$23</f>
        <v>133252.729064039</v>
      </c>
      <c r="H5" s="156" t="n">
        <f aca="false">+[2]Sheet2!B3*$H$19</f>
        <v>195790.141254753</v>
      </c>
      <c r="I5" s="156" t="n">
        <f aca="false">55189-0.4</f>
        <v>55188.6</v>
      </c>
      <c r="J5" s="157" t="n">
        <f aca="false">(+B5/($B$17)*$J$21)</f>
        <v>36214.8256421187</v>
      </c>
      <c r="K5" s="157" t="n">
        <f aca="false">+B5/$B$19*$K$19</f>
        <v>42528.8027470431</v>
      </c>
      <c r="L5" s="158" t="n">
        <f aca="false">SUM(C5:K5)</f>
        <v>1313303.66979029</v>
      </c>
      <c r="M5" s="157" t="n">
        <v>2323</v>
      </c>
      <c r="N5" s="157" t="n">
        <v>172034</v>
      </c>
      <c r="O5" s="158" t="n">
        <f aca="false">SUM(L5:N5)</f>
        <v>1487660.66979029</v>
      </c>
      <c r="P5" s="126"/>
    </row>
    <row r="6" customFormat="false" ht="15.75" hidden="false" customHeight="true" outlineLevel="0" collapsed="false">
      <c r="A6" s="154" t="s">
        <v>139</v>
      </c>
      <c r="B6" s="155" t="n">
        <v>274</v>
      </c>
      <c r="C6" s="156" t="n">
        <v>130607</v>
      </c>
      <c r="D6" s="156" t="n">
        <v>293966</v>
      </c>
      <c r="E6" s="156" t="n">
        <f aca="false">+B6/$B$20*$E$19</f>
        <v>10423.3089622642</v>
      </c>
      <c r="F6" s="156" t="n">
        <f aca="false">+[2]Sheet2!H4*$F$23</f>
        <v>119907.275735955</v>
      </c>
      <c r="G6" s="156" t="n">
        <f aca="false">+[2]Sheet2!E4*$G$23</f>
        <v>66626.3645320197</v>
      </c>
      <c r="H6" s="156" t="n">
        <f aca="false">+[2]Sheet2!B4*$H$19</f>
        <v>85765.7852978454</v>
      </c>
      <c r="I6" s="156" t="n">
        <v>55189</v>
      </c>
      <c r="J6" s="157" t="n">
        <f aca="false">(+B6/($B$17)*$J$21)</f>
        <v>23795.8326761164</v>
      </c>
      <c r="K6" s="157" t="n">
        <f aca="false">+B6/$B$19*$K$19</f>
        <v>27944.5850184408</v>
      </c>
      <c r="L6" s="158" t="n">
        <f aca="false">SUM(C6:K6)</f>
        <v>814225.152222642</v>
      </c>
      <c r="M6" s="157" t="n">
        <v>1440</v>
      </c>
      <c r="N6" s="157" t="n">
        <v>106658</v>
      </c>
      <c r="O6" s="158" t="n">
        <f aca="false">SUM(L6:N6)</f>
        <v>922323.152222642</v>
      </c>
      <c r="P6" s="126"/>
    </row>
    <row r="7" customFormat="false" ht="15.75" hidden="false" customHeight="true" outlineLevel="0" collapsed="false">
      <c r="A7" s="154" t="s">
        <v>140</v>
      </c>
      <c r="B7" s="155" t="n">
        <v>270</v>
      </c>
      <c r="C7" s="156" t="n">
        <v>70778</v>
      </c>
      <c r="D7" s="156" t="n">
        <v>159306</v>
      </c>
      <c r="E7" s="156" t="n">
        <f aca="false">+B7/$B$20*$E$19</f>
        <v>10271.1438679245</v>
      </c>
      <c r="F7" s="156" t="n">
        <f aca="false">+[2]Sheet2!H5*$F$23</f>
        <v>218786.23871451</v>
      </c>
      <c r="G7" s="156" t="n">
        <f aca="false">+[2]Sheet2!E5*$G$23</f>
        <v>49969.7733990148</v>
      </c>
      <c r="H7" s="156" t="n">
        <f aca="false">+[2]Sheet2!B5*$H$19</f>
        <v>84513.7300380228</v>
      </c>
      <c r="I7" s="156" t="n">
        <v>55189</v>
      </c>
      <c r="J7" s="157" t="n">
        <f aca="false">(+B7/($B$17)*$J$21)</f>
        <v>23448.4482574869</v>
      </c>
      <c r="K7" s="157" t="n">
        <f aca="false">+B7/$B$19*$K$19</f>
        <v>27536.6348721862</v>
      </c>
      <c r="L7" s="158" t="n">
        <f aca="false">SUM(C7:K7)</f>
        <v>699798.969149145</v>
      </c>
      <c r="M7" s="157" t="n">
        <v>1238</v>
      </c>
      <c r="N7" s="157" t="n">
        <v>91669</v>
      </c>
      <c r="O7" s="158" t="n">
        <f aca="false">SUM(L7:N7)</f>
        <v>792705.969149145</v>
      </c>
      <c r="P7" s="126"/>
    </row>
    <row r="8" customFormat="false" ht="15.75" hidden="false" customHeight="true" outlineLevel="0" collapsed="false">
      <c r="A8" s="154" t="s">
        <v>141</v>
      </c>
      <c r="B8" s="155" t="n">
        <v>2610</v>
      </c>
      <c r="C8" s="156" t="n">
        <v>618209</v>
      </c>
      <c r="D8" s="156" t="n">
        <v>1397692</v>
      </c>
      <c r="E8" s="156" t="n">
        <f aca="false">+B8/$B$20*$E$19</f>
        <v>99287.7240566038</v>
      </c>
      <c r="F8" s="156" t="n">
        <f aca="false">+[2]Sheet2!H6*$F$23</f>
        <v>1189163.00242431</v>
      </c>
      <c r="G8" s="156" t="n">
        <f aca="false">+[2]Sheet2!E6*$G$23</f>
        <v>516354.325123153</v>
      </c>
      <c r="H8" s="156" t="n">
        <f aca="false">+[2]Sheet2!B6*$H$19</f>
        <v>612724.542775665</v>
      </c>
      <c r="I8" s="156" t="n">
        <v>55189</v>
      </c>
      <c r="J8" s="157" t="n">
        <f aca="false">(+B8/($B$17)*$J$21)</f>
        <v>226668.333155707</v>
      </c>
      <c r="K8" s="157" t="n">
        <f aca="false">+B8/$B$19*$K$19</f>
        <v>266187.470431133</v>
      </c>
      <c r="L8" s="158" t="n">
        <f aca="false">SUM(C8:K8)</f>
        <v>4981475.39796657</v>
      </c>
      <c r="M8" s="157" t="n">
        <v>8810</v>
      </c>
      <c r="N8" s="157" t="n">
        <v>652539</v>
      </c>
      <c r="O8" s="158" t="n">
        <f aca="false">SUM(L8:N8)</f>
        <v>5642824.39796657</v>
      </c>
      <c r="P8" s="126"/>
    </row>
    <row r="9" customFormat="false" ht="15.75" hidden="false" customHeight="true" outlineLevel="0" collapsed="false">
      <c r="A9" s="154" t="s">
        <v>142</v>
      </c>
      <c r="B9" s="155" t="n">
        <v>400</v>
      </c>
      <c r="C9" s="156" t="n">
        <v>0</v>
      </c>
      <c r="D9" s="156" t="n">
        <v>765587</v>
      </c>
      <c r="E9" s="156" t="n">
        <f aca="false">+B9/$B$20*$E$19</f>
        <v>15216.5094339623</v>
      </c>
      <c r="F9" s="156" t="n">
        <f aca="false">+[2]Sheet2!H7*$F$23</f>
        <v>116598.120909482</v>
      </c>
      <c r="G9" s="156" t="n">
        <f aca="false">+[2]Sheet2!E7*$G$23</f>
        <v>124924.433497537</v>
      </c>
      <c r="H9" s="156" t="n">
        <f aca="false">+[2]Sheet2!B7*$H$19</f>
        <v>46952.072243346</v>
      </c>
      <c r="I9" s="156" t="n">
        <v>55189</v>
      </c>
      <c r="J9" s="157" t="n">
        <f aca="false">(+B9/($B$17)*$J$21)</f>
        <v>34738.4418629436</v>
      </c>
      <c r="K9" s="157" t="n">
        <f aca="false">+B9/$B$19*$K$19-0.5</f>
        <v>40794.514625461</v>
      </c>
      <c r="L9" s="158" t="n">
        <f aca="false">SUM(C9:K9)</f>
        <v>1200000.09257273</v>
      </c>
      <c r="M9" s="157" t="n">
        <v>0</v>
      </c>
      <c r="N9" s="157" t="n">
        <v>0</v>
      </c>
      <c r="O9" s="158" t="n">
        <f aca="false">SUM(L9:N9)</f>
        <v>1200000.09257273</v>
      </c>
      <c r="P9" s="126"/>
    </row>
    <row r="10" customFormat="false" ht="15.75" hidden="false" customHeight="true" outlineLevel="0" collapsed="false">
      <c r="A10" s="154" t="s">
        <v>143</v>
      </c>
      <c r="B10" s="155" t="n">
        <v>1375</v>
      </c>
      <c r="C10" s="156" t="n">
        <v>0</v>
      </c>
      <c r="D10" s="156" t="n">
        <v>2342961</v>
      </c>
      <c r="E10" s="156" t="n">
        <v>0</v>
      </c>
      <c r="F10" s="156" t="n">
        <f aca="false">+[2]Sheet2!H8*$F$23</f>
        <v>803371.714211926</v>
      </c>
      <c r="G10" s="156" t="n">
        <f aca="false">+[2]Sheet2!E8*$G$23</f>
        <v>416414.778325123</v>
      </c>
      <c r="H10" s="156" t="n">
        <f aca="false">+[2]Sheet2!B8*$H$19</f>
        <v>645590.993346008</v>
      </c>
      <c r="I10" s="156" t="n">
        <v>55189</v>
      </c>
      <c r="J10" s="157" t="n">
        <f aca="false">(+B10/($B$17)*$J$21)</f>
        <v>119413.393903869</v>
      </c>
      <c r="K10" s="157" t="n">
        <f aca="false">+B10/$B$19*$K$19</f>
        <v>140232.862775022</v>
      </c>
      <c r="L10" s="158" t="n">
        <f aca="false">SUM(C10:K10)</f>
        <v>4523173.74256195</v>
      </c>
      <c r="M10" s="157" t="n">
        <v>8000</v>
      </c>
      <c r="N10" s="157" t="n">
        <v>592505</v>
      </c>
      <c r="O10" s="158" t="n">
        <f aca="false">SUM(L10:N10)</f>
        <v>5123678.74256195</v>
      </c>
      <c r="P10" s="126"/>
    </row>
    <row r="11" customFormat="false" ht="15.75" hidden="false" customHeight="true" outlineLevel="0" collapsed="false">
      <c r="A11" s="154" t="s">
        <v>144</v>
      </c>
      <c r="B11" s="155" t="n">
        <v>1400</v>
      </c>
      <c r="C11" s="156" t="n">
        <v>0</v>
      </c>
      <c r="D11" s="156" t="n">
        <f aca="false">688135-145675</f>
        <v>542460</v>
      </c>
      <c r="E11" s="156" t="n">
        <v>0</v>
      </c>
      <c r="F11" s="156" t="n">
        <f aca="false">+[2]Sheet2!H10*$F$23</f>
        <v>383198.104957694</v>
      </c>
      <c r="G11" s="156" t="n">
        <f aca="false">+[2]Sheet2!E9*$G$21</f>
        <v>0</v>
      </c>
      <c r="H11" s="156" t="n">
        <f aca="false">+[2]Sheet2!B10*$H$19</f>
        <v>273887.088086185</v>
      </c>
      <c r="I11" s="156" t="n">
        <v>0</v>
      </c>
      <c r="J11" s="157" t="n">
        <f aca="false">(+B11/($B$17)*$J$21)</f>
        <v>121584.546520303</v>
      </c>
      <c r="K11" s="157" t="n">
        <f aca="false">+B11/$B$19*$K$19</f>
        <v>142782.551189114</v>
      </c>
      <c r="L11" s="158" t="n">
        <f aca="false">SUM(C11:K11)</f>
        <v>1463912.2907533</v>
      </c>
      <c r="M11" s="157" t="n">
        <v>2589</v>
      </c>
      <c r="N11" s="157" t="n">
        <v>191762</v>
      </c>
      <c r="O11" s="158" t="n">
        <f aca="false">SUM(L11:N11)</f>
        <v>1658263.2907533</v>
      </c>
      <c r="P11" s="126"/>
    </row>
    <row r="12" customFormat="false" ht="15.75" hidden="false" customHeight="true" outlineLevel="0" collapsed="false">
      <c r="A12" s="159" t="s">
        <v>145</v>
      </c>
      <c r="B12" s="155" t="n">
        <v>0</v>
      </c>
      <c r="C12" s="156" t="n">
        <v>0</v>
      </c>
      <c r="D12" s="156" t="n">
        <v>145675</v>
      </c>
      <c r="E12" s="156" t="n">
        <v>0</v>
      </c>
      <c r="F12" s="156" t="n">
        <v>0</v>
      </c>
      <c r="G12" s="156" t="n">
        <v>0</v>
      </c>
      <c r="H12" s="156" t="n">
        <v>0</v>
      </c>
      <c r="I12" s="156" t="n">
        <v>0</v>
      </c>
      <c r="J12" s="157" t="n">
        <f aca="false">(+B12/($B$17)*$J$21)</f>
        <v>0</v>
      </c>
      <c r="K12" s="157" t="n">
        <v>0</v>
      </c>
      <c r="L12" s="158" t="n">
        <f aca="false">SUM(C12:K12)</f>
        <v>145675</v>
      </c>
      <c r="M12" s="157" t="n">
        <v>258</v>
      </c>
      <c r="N12" s="157" t="n">
        <v>19082</v>
      </c>
      <c r="O12" s="158" t="n">
        <f aca="false">SUM(L12:N12)</f>
        <v>165015</v>
      </c>
      <c r="P12" s="126"/>
    </row>
    <row r="13" customFormat="false" ht="15.75" hidden="false" customHeight="true" outlineLevel="0" collapsed="false">
      <c r="A13" s="154" t="s">
        <v>146</v>
      </c>
      <c r="B13" s="155" t="n">
        <v>0</v>
      </c>
      <c r="C13" s="156" t="n">
        <v>0</v>
      </c>
      <c r="D13" s="156" t="n">
        <v>0</v>
      </c>
      <c r="E13" s="156" t="n">
        <v>0</v>
      </c>
      <c r="F13" s="156" t="n">
        <v>0</v>
      </c>
      <c r="G13" s="160" t="n">
        <v>140000</v>
      </c>
      <c r="H13" s="156" t="n">
        <v>0</v>
      </c>
      <c r="I13" s="156" t="n">
        <v>0</v>
      </c>
      <c r="J13" s="157" t="n">
        <f aca="false">(+B13/($B$17)*$J$21)</f>
        <v>0</v>
      </c>
      <c r="K13" s="157" t="n">
        <v>0</v>
      </c>
      <c r="L13" s="158" t="n">
        <f aca="false">SUM(C13:K13)</f>
        <v>140000</v>
      </c>
      <c r="M13" s="157" t="n">
        <v>248</v>
      </c>
      <c r="N13" s="157" t="n">
        <v>18339</v>
      </c>
      <c r="O13" s="158" t="n">
        <f aca="false">SUM(L13:N13)</f>
        <v>158587</v>
      </c>
      <c r="P13" s="126"/>
    </row>
    <row r="14" customFormat="false" ht="15.75" hidden="false" customHeight="true" outlineLevel="0" collapsed="false">
      <c r="A14" s="154" t="s">
        <v>147</v>
      </c>
      <c r="B14" s="155" t="n">
        <v>170</v>
      </c>
      <c r="C14" s="156" t="n">
        <v>0</v>
      </c>
      <c r="D14" s="156" t="n">
        <v>0</v>
      </c>
      <c r="E14" s="156" t="n">
        <v>0</v>
      </c>
      <c r="F14" s="156" t="n">
        <f aca="false">+[2]Sheet2!H11*$F$23</f>
        <v>0</v>
      </c>
      <c r="G14" s="156" t="n">
        <v>0</v>
      </c>
      <c r="H14" s="156" t="n">
        <f aca="false">+[2]Sheet2!B11*$H$19</f>
        <v>0</v>
      </c>
      <c r="I14" s="156" t="n">
        <v>0</v>
      </c>
      <c r="J14" s="157" t="n">
        <f aca="false">(+B14/($B$17)*$J$21)</f>
        <v>14763.837791751</v>
      </c>
      <c r="K14" s="156" t="n">
        <v>0</v>
      </c>
      <c r="L14" s="158" t="n">
        <f aca="false">SUM(C14:K14)</f>
        <v>14763.837791751</v>
      </c>
      <c r="M14" s="156" t="n">
        <v>26</v>
      </c>
      <c r="N14" s="157" t="n">
        <v>1934</v>
      </c>
      <c r="O14" s="158" t="n">
        <f aca="false">SUM(L14:N14)</f>
        <v>16723.837791751</v>
      </c>
      <c r="P14" s="126"/>
    </row>
    <row r="15" customFormat="false" ht="15.75" hidden="false" customHeight="true" outlineLevel="0" collapsed="false">
      <c r="A15" s="154" t="s">
        <v>148</v>
      </c>
      <c r="B15" s="155" t="n">
        <v>1350</v>
      </c>
      <c r="C15" s="156" t="n">
        <v>0</v>
      </c>
      <c r="D15" s="156" t="n">
        <v>0</v>
      </c>
      <c r="E15" s="156" t="n">
        <v>0</v>
      </c>
      <c r="F15" s="156" t="n">
        <v>0</v>
      </c>
      <c r="G15" s="156" t="n">
        <v>0</v>
      </c>
      <c r="H15" s="156" t="n">
        <f aca="false">+[2]Sheet2!B12*$H$19</f>
        <v>0</v>
      </c>
      <c r="I15" s="156" t="n">
        <v>55189</v>
      </c>
      <c r="J15" s="157" t="n">
        <f aca="false">(+B15/($B$17)*$J$21)</f>
        <v>117242.241287435</v>
      </c>
      <c r="K15" s="157" t="n">
        <v>0</v>
      </c>
      <c r="L15" s="158" t="n">
        <f aca="false">SUM(C15:K15)</f>
        <v>172431.241287435</v>
      </c>
      <c r="M15" s="157" t="n">
        <v>305</v>
      </c>
      <c r="N15" s="157" t="n">
        <v>22587</v>
      </c>
      <c r="O15" s="158" t="n">
        <f aca="false">SUM(L15:N15)</f>
        <v>195323.241287435</v>
      </c>
      <c r="P15" s="126"/>
    </row>
    <row r="16" customFormat="false" ht="15.75" hidden="false" customHeight="true" outlineLevel="0" collapsed="false">
      <c r="A16" s="161" t="s">
        <v>149</v>
      </c>
      <c r="B16" s="162" t="n">
        <v>0</v>
      </c>
      <c r="C16" s="156" t="n">
        <v>0</v>
      </c>
      <c r="D16" s="156" t="n">
        <v>0</v>
      </c>
      <c r="E16" s="156" t="n">
        <v>0</v>
      </c>
      <c r="F16" s="156" t="n">
        <f aca="false">+[2]Sheet2!H13*$F$23</f>
        <v>0</v>
      </c>
      <c r="G16" s="156" t="n">
        <v>0</v>
      </c>
      <c r="H16" s="156" t="n">
        <f aca="false">+[2]Sheet2!B13*$H$19</f>
        <v>0</v>
      </c>
      <c r="I16" s="163" t="n">
        <v>0</v>
      </c>
      <c r="J16" s="157" t="n">
        <v>90000</v>
      </c>
      <c r="K16" s="156" t="n">
        <v>0</v>
      </c>
      <c r="L16" s="158" t="n">
        <f aca="false">SUM(C16:K16)</f>
        <v>90000</v>
      </c>
      <c r="M16" s="156" t="n">
        <v>158</v>
      </c>
      <c r="N16" s="157" t="n">
        <v>11790</v>
      </c>
      <c r="O16" s="158" t="n">
        <f aca="false">SUM(L16:N16)</f>
        <v>101948</v>
      </c>
      <c r="P16" s="126"/>
    </row>
    <row r="17" customFormat="false" ht="24" hidden="false" customHeight="true" outlineLevel="0" collapsed="false">
      <c r="A17" s="164" t="s">
        <v>150</v>
      </c>
      <c r="B17" s="165" t="n">
        <f aca="false">SUM(B2:B16)</f>
        <v>9383</v>
      </c>
      <c r="C17" s="166" t="n">
        <f aca="false">SUM(C2:C11)</f>
        <v>1335867.88155519</v>
      </c>
      <c r="D17" s="166" t="n">
        <f aca="false">SUM(D2:D16)</f>
        <v>6869661</v>
      </c>
      <c r="E17" s="166" t="n">
        <f aca="false">SUM(E2:E11)</f>
        <v>193554</v>
      </c>
      <c r="F17" s="166" t="n">
        <f aca="false">SUM(F2:F11)</f>
        <v>3315001</v>
      </c>
      <c r="G17" s="166" t="n">
        <f aca="false">SUM(G2:G16)</f>
        <v>1830644</v>
      </c>
      <c r="H17" s="166" t="n">
        <f aca="false">SUM(H2:H16)</f>
        <v>2469679</v>
      </c>
      <c r="I17" s="166" t="n">
        <f aca="false">SUM(I2:I16)</f>
        <v>441511.2</v>
      </c>
      <c r="J17" s="167" t="n">
        <f aca="false">SUM(J2:J16)</f>
        <v>904877</v>
      </c>
      <c r="K17" s="167" t="n">
        <f aca="false">SUM(K2:K11)</f>
        <v>801927.5</v>
      </c>
      <c r="L17" s="168" t="n">
        <f aca="false">SUM(L2:L16)</f>
        <v>18162722.5815552</v>
      </c>
      <c r="M17" s="167" t="n">
        <f aca="false">SUM(M2:M16)</f>
        <v>30000</v>
      </c>
      <c r="N17" s="167" t="n">
        <f aca="false">SUM(N2:N16)</f>
        <v>2222000</v>
      </c>
      <c r="O17" s="168" t="n">
        <f aca="false">SUM(O2:O16)</f>
        <v>20414722.5815552</v>
      </c>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169"/>
      <c r="CO17" s="169"/>
      <c r="CP17" s="169"/>
      <c r="CQ17" s="169"/>
      <c r="CR17" s="169"/>
      <c r="CS17" s="169"/>
      <c r="CT17" s="169"/>
      <c r="CU17" s="169"/>
      <c r="CV17" s="169"/>
      <c r="CW17" s="169"/>
      <c r="CX17" s="169"/>
      <c r="CY17" s="169"/>
      <c r="CZ17" s="169"/>
      <c r="DA17" s="169"/>
      <c r="DB17" s="169"/>
      <c r="DC17" s="169"/>
      <c r="DD17" s="169"/>
      <c r="DE17" s="169"/>
      <c r="DF17" s="169"/>
      <c r="DG17" s="169"/>
      <c r="DH17" s="169"/>
      <c r="DI17" s="169"/>
      <c r="DJ17" s="169"/>
      <c r="DK17" s="169"/>
      <c r="DL17" s="169"/>
      <c r="DM17" s="169"/>
      <c r="DN17" s="169"/>
      <c r="DO17" s="169"/>
      <c r="DP17" s="169"/>
      <c r="DQ17" s="169"/>
      <c r="DR17" s="169"/>
      <c r="DS17" s="169"/>
      <c r="DT17" s="169"/>
      <c r="DU17" s="169"/>
      <c r="DV17" s="169"/>
      <c r="DW17" s="169"/>
      <c r="DX17" s="169"/>
      <c r="DY17" s="169"/>
      <c r="DZ17" s="169"/>
      <c r="EA17" s="169"/>
      <c r="EB17" s="169"/>
      <c r="EC17" s="169"/>
      <c r="ED17" s="169"/>
      <c r="EE17" s="169"/>
      <c r="EF17" s="169"/>
      <c r="EG17" s="169"/>
      <c r="EH17" s="169"/>
      <c r="EI17" s="169"/>
      <c r="EJ17" s="169"/>
      <c r="EK17" s="169"/>
      <c r="EL17" s="169"/>
      <c r="EM17" s="169"/>
      <c r="EN17" s="169"/>
      <c r="EO17" s="169"/>
      <c r="EP17" s="169"/>
      <c r="EQ17" s="169"/>
      <c r="ER17" s="169"/>
      <c r="ES17" s="169"/>
      <c r="ET17" s="169"/>
      <c r="EU17" s="169"/>
      <c r="EV17" s="169"/>
      <c r="EW17" s="169"/>
      <c r="EX17" s="169"/>
      <c r="EY17" s="169"/>
      <c r="EZ17" s="169"/>
      <c r="FA17" s="169"/>
      <c r="FB17" s="169"/>
      <c r="FC17" s="169"/>
      <c r="FD17" s="169"/>
      <c r="FE17" s="169"/>
      <c r="FF17" s="169"/>
      <c r="FG17" s="169"/>
      <c r="FH17" s="169"/>
      <c r="FI17" s="169"/>
      <c r="FJ17" s="169"/>
      <c r="FK17" s="169"/>
      <c r="FL17" s="169"/>
      <c r="FM17" s="169"/>
      <c r="FN17" s="169"/>
      <c r="FO17" s="169"/>
      <c r="FP17" s="169"/>
      <c r="FQ17" s="169"/>
      <c r="FR17" s="169"/>
      <c r="FS17" s="169"/>
      <c r="FT17" s="169"/>
      <c r="FU17" s="169"/>
      <c r="FV17" s="169"/>
      <c r="FW17" s="169"/>
      <c r="FX17" s="169"/>
      <c r="FY17" s="169"/>
      <c r="FZ17" s="169"/>
      <c r="GA17" s="169"/>
      <c r="GB17" s="169"/>
      <c r="GC17" s="169"/>
      <c r="GD17" s="169"/>
      <c r="GE17" s="169"/>
      <c r="GF17" s="169"/>
      <c r="GG17" s="169"/>
      <c r="GH17" s="169"/>
      <c r="GI17" s="169"/>
      <c r="GJ17" s="169"/>
      <c r="GK17" s="169"/>
      <c r="GL17" s="169"/>
      <c r="GM17" s="169"/>
      <c r="GN17" s="169"/>
      <c r="GO17" s="169"/>
      <c r="GP17" s="169"/>
      <c r="GQ17" s="169"/>
      <c r="GR17" s="169"/>
      <c r="GS17" s="169"/>
      <c r="GT17" s="169"/>
      <c r="GU17" s="169"/>
      <c r="GV17" s="169"/>
      <c r="GW17" s="169"/>
      <c r="GX17" s="169"/>
      <c r="GY17" s="169"/>
      <c r="GZ17" s="169"/>
      <c r="HA17" s="169"/>
      <c r="HB17" s="169"/>
      <c r="HC17" s="169"/>
      <c r="HD17" s="169"/>
      <c r="HE17" s="169"/>
      <c r="HF17" s="169"/>
      <c r="HG17" s="169"/>
      <c r="HH17" s="169"/>
      <c r="HI17" s="169"/>
      <c r="HJ17" s="169"/>
      <c r="HK17" s="169"/>
      <c r="HL17" s="169"/>
      <c r="HM17" s="169"/>
      <c r="HN17" s="169"/>
      <c r="HO17" s="169"/>
      <c r="HP17" s="169"/>
      <c r="HQ17" s="169"/>
      <c r="HR17" s="169"/>
      <c r="HS17" s="169"/>
      <c r="HT17" s="169"/>
      <c r="HU17" s="169"/>
      <c r="HV17" s="169"/>
      <c r="HW17" s="169"/>
      <c r="HX17" s="169"/>
      <c r="HY17" s="169"/>
      <c r="HZ17" s="169"/>
      <c r="IA17" s="169"/>
      <c r="IB17" s="169"/>
      <c r="IC17" s="169"/>
      <c r="ID17" s="169"/>
      <c r="IE17" s="169"/>
      <c r="IF17" s="169"/>
      <c r="IG17" s="169"/>
      <c r="IH17" s="169"/>
      <c r="II17" s="169"/>
      <c r="IJ17" s="169"/>
      <c r="IK17" s="169"/>
      <c r="IL17" s="169"/>
      <c r="IM17" s="169"/>
      <c r="IN17" s="169"/>
      <c r="IO17" s="169"/>
      <c r="IP17" s="169"/>
      <c r="IQ17" s="169"/>
      <c r="IR17" s="169"/>
      <c r="IS17" s="169"/>
      <c r="IT17" s="169"/>
      <c r="IU17" s="169"/>
      <c r="IV17" s="169"/>
      <c r="IW17" s="169"/>
    </row>
    <row r="18" customFormat="false" ht="15.75" hidden="false" customHeight="true" outlineLevel="0" collapsed="false">
      <c r="F18" s="170"/>
      <c r="K18" s="170"/>
      <c r="L18" s="171" t="n">
        <f aca="false">+L26</f>
        <v>2800000</v>
      </c>
      <c r="M18" s="147" t="s">
        <v>151</v>
      </c>
    </row>
    <row r="19" customFormat="false" ht="15.75" hidden="false" customHeight="true" outlineLevel="0" collapsed="false">
      <c r="A19" s="146" t="s">
        <v>152</v>
      </c>
      <c r="B19" s="172" t="n">
        <f aca="false">SUM(B2:B11)</f>
        <v>7863</v>
      </c>
      <c r="C19" s="170" t="n">
        <v>1335867</v>
      </c>
      <c r="D19" s="147" t="n">
        <f aca="false">SUM(D2:D8)-60000</f>
        <v>3012978</v>
      </c>
      <c r="E19" s="170" t="n">
        <v>193554</v>
      </c>
      <c r="F19" s="147" t="n">
        <v>2668213</v>
      </c>
      <c r="G19" s="147" t="n">
        <v>1592794</v>
      </c>
      <c r="H19" s="170" t="n">
        <v>2469679</v>
      </c>
      <c r="I19" s="170" t="n">
        <v>391552</v>
      </c>
      <c r="J19" s="170" t="n">
        <f aca="false">904877</f>
        <v>904877</v>
      </c>
      <c r="K19" s="170" t="n">
        <v>801928</v>
      </c>
      <c r="L19" s="170" t="n">
        <f aca="false">L17+L18</f>
        <v>20962722.5815552</v>
      </c>
    </row>
    <row r="20" customFormat="false" ht="15.75" hidden="false" customHeight="true" outlineLevel="0" collapsed="false">
      <c r="A20" s="146" t="s">
        <v>153</v>
      </c>
      <c r="B20" s="172" t="n">
        <f aca="false">SUM(B2:B9)</f>
        <v>5088</v>
      </c>
      <c r="F20" s="147" t="n">
        <v>31932</v>
      </c>
      <c r="G20" s="173" t="n">
        <v>237850</v>
      </c>
      <c r="J20" s="174" t="n">
        <v>-90000</v>
      </c>
    </row>
    <row r="21" customFormat="false" ht="15.75" hidden="false" customHeight="true" outlineLevel="0" collapsed="false">
      <c r="A21" s="146" t="s">
        <v>65</v>
      </c>
      <c r="F21" s="147" t="n">
        <v>352833</v>
      </c>
      <c r="G21" s="170" t="n">
        <f aca="false">SUM(G19:G20)</f>
        <v>1830644</v>
      </c>
      <c r="J21" s="147" t="n">
        <f aca="false">SUM(J19:J20)</f>
        <v>814877</v>
      </c>
      <c r="L21" s="170"/>
    </row>
    <row r="22" customFormat="false" ht="15.75" hidden="false" customHeight="true" outlineLevel="0" collapsed="false">
      <c r="F22" s="173" t="n">
        <v>262023</v>
      </c>
      <c r="G22" s="173" t="n">
        <f aca="false">-G13</f>
        <v>-140000</v>
      </c>
    </row>
    <row r="23" customFormat="false" ht="15.75" hidden="false" customHeight="true" outlineLevel="0" collapsed="false">
      <c r="F23" s="170" t="n">
        <f aca="false">SUM(F19:F22)</f>
        <v>3315001</v>
      </c>
      <c r="G23" s="147" t="n">
        <f aca="false">SUM(G21:G22)</f>
        <v>1690644</v>
      </c>
    </row>
    <row r="24" customFormat="false" ht="15.75" hidden="false" customHeight="true" outlineLevel="0" collapsed="false"/>
    <row r="25" customFormat="false" ht="15.75" hidden="false" customHeight="true" outlineLevel="0" collapsed="false">
      <c r="A25" s="175"/>
    </row>
    <row r="26" customFormat="false" ht="15.75" hidden="false" customHeight="true" outlineLevel="0" collapsed="false">
      <c r="A26" s="176" t="s">
        <v>154</v>
      </c>
      <c r="B26" s="177" t="n">
        <v>1350</v>
      </c>
      <c r="C26" s="178" t="n">
        <v>343063</v>
      </c>
      <c r="D26" s="179" t="n">
        <v>1671548</v>
      </c>
      <c r="E26" s="179" t="n">
        <v>0</v>
      </c>
      <c r="F26" s="179" t="n">
        <v>0</v>
      </c>
      <c r="G26" s="179" t="n">
        <v>486268</v>
      </c>
      <c r="H26" s="179" t="n">
        <v>299121</v>
      </c>
      <c r="I26" s="179" t="n">
        <v>0</v>
      </c>
      <c r="J26" s="179" t="n">
        <f aca="false">+[2]Sheet2!D23*$H$19</f>
        <v>0</v>
      </c>
      <c r="K26" s="180" t="n">
        <v>0</v>
      </c>
      <c r="L26" s="181" t="n">
        <f aca="false">SUM(C26:K26)</f>
        <v>2800000</v>
      </c>
      <c r="M26" s="0"/>
      <c r="N26" s="0"/>
      <c r="O26" s="0"/>
    </row>
    <row r="27" customFormat="false" ht="15.75" hidden="false" customHeight="true" outlineLevel="0" collapsed="false">
      <c r="A27" s="175"/>
    </row>
    <row r="28" customFormat="false" ht="15.75" hidden="false" customHeight="true" outlineLevel="0" collapsed="false">
      <c r="A28" s="175"/>
    </row>
    <row r="29" customFormat="false" ht="15.75" hidden="false" customHeight="true" outlineLevel="0" collapsed="false">
      <c r="A29" s="175"/>
    </row>
    <row r="30" customFormat="false" ht="15.75" hidden="false" customHeight="true" outlineLevel="0" collapsed="false"/>
    <row r="31" customFormat="false" ht="15.75" hidden="false" customHeight="tru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2001-09-26T11:30:13Z</dcterms:created>
  <dc:creator>Edie Leschber</dc:creator>
  <dc:description/>
  <dc:language>en-US</dc:language>
  <cp:lastModifiedBy>Edie Leschber</cp:lastModifiedBy>
  <dcterms:modified xsi:type="dcterms:W3CDTF">2001-09-26T11:32:20Z</dcterms:modified>
  <cp:revision>0</cp:revision>
  <dc:subject/>
  <dc:title/>
</cp:coreProperties>
</file>